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pwojtanowicz\Desktop\"/>
    </mc:Choice>
  </mc:AlternateContent>
  <bookViews>
    <workbookView xWindow="12690" yWindow="315" windowWidth="12510" windowHeight="11400" activeTab="1"/>
  </bookViews>
  <sheets>
    <sheet name="OBLICZENIA" sheetId="1" r:id="rId1"/>
    <sheet name="BAZA DANYCH" sheetId="3" r:id="rId2"/>
    <sheet name="DRUK - wyciąg z obliczeń" sheetId="2" r:id="rId3"/>
    <sheet name="DRUK - produkcja" sheetId="5" r:id="rId4"/>
  </sheets>
  <externalReferences>
    <externalReference r:id="rId5"/>
  </externalReferences>
  <definedNames>
    <definedName name="_GoBack" localSheetId="0">OBLICZENIA!$B$1148</definedName>
    <definedName name="_xlnm.Print_Area" localSheetId="3">'DRUK - produkcja'!$A$1:$M$63</definedName>
    <definedName name="_xlnm.Print_Area" localSheetId="2">'DRUK - wyciąg z obliczeń'!$A$1:$M$51</definedName>
    <definedName name="_xlnm.Print_Area" localSheetId="0">OBLICZENIA!$C$71:$J$1196</definedName>
    <definedName name="podpis1">INDEX([1]roboczy!$I$44:$I$48,MATCH([1]roboczy!$E$42,[1]roboczy!$D$44:$D$48,0),1)</definedName>
    <definedName name="podpis2">INDEX([1]roboczy!$I$55:$I$58,MATCH([1]roboczy!$E$53,[1]roboczy!$D$55:$D$58,0),1)</definedName>
  </definedNames>
  <calcPr calcId="152511"/>
</workbook>
</file>

<file path=xl/calcChain.xml><?xml version="1.0" encoding="utf-8"?>
<calcChain xmlns="http://schemas.openxmlformats.org/spreadsheetml/2006/main">
  <c r="BB21" i="3" l="1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20" i="3"/>
  <c r="AX21" i="3" l="1"/>
  <c r="AY21" i="3" s="1"/>
  <c r="AZ21" i="3" s="1"/>
  <c r="BA21" i="3" s="1"/>
  <c r="AX22" i="3"/>
  <c r="AY22" i="3"/>
  <c r="AZ22" i="3"/>
  <c r="BA22" i="3"/>
  <c r="AX23" i="3"/>
  <c r="AY23" i="3" s="1"/>
  <c r="AZ23" i="3" s="1"/>
  <c r="BA23" i="3" s="1"/>
  <c r="AX24" i="3"/>
  <c r="AY24" i="3"/>
  <c r="AZ24" i="3"/>
  <c r="BA24" i="3"/>
  <c r="AX25" i="3"/>
  <c r="AY25" i="3" s="1"/>
  <c r="AZ25" i="3" s="1"/>
  <c r="BA25" i="3" s="1"/>
  <c r="AX26" i="3"/>
  <c r="AY26" i="3"/>
  <c r="AZ26" i="3"/>
  <c r="BA26" i="3"/>
  <c r="AX27" i="3"/>
  <c r="AY27" i="3" s="1"/>
  <c r="AZ27" i="3" s="1"/>
  <c r="BA27" i="3" s="1"/>
  <c r="AX28" i="3"/>
  <c r="AY28" i="3"/>
  <c r="AZ28" i="3"/>
  <c r="BA28" i="3"/>
  <c r="AX29" i="3"/>
  <c r="AY29" i="3" s="1"/>
  <c r="AZ29" i="3" s="1"/>
  <c r="BA29" i="3" s="1"/>
  <c r="AX30" i="3"/>
  <c r="AY30" i="3"/>
  <c r="AZ30" i="3"/>
  <c r="BA30" i="3"/>
  <c r="AX31" i="3"/>
  <c r="AY31" i="3" s="1"/>
  <c r="AZ31" i="3" s="1"/>
  <c r="BA31" i="3" s="1"/>
  <c r="AX32" i="3"/>
  <c r="AY32" i="3"/>
  <c r="AZ32" i="3"/>
  <c r="BA32" i="3"/>
  <c r="AX33" i="3"/>
  <c r="AY33" i="3" s="1"/>
  <c r="AZ33" i="3" s="1"/>
  <c r="BA33" i="3" s="1"/>
  <c r="AX34" i="3"/>
  <c r="AY34" i="3"/>
  <c r="AZ34" i="3"/>
  <c r="BA34" i="3"/>
  <c r="AX35" i="3"/>
  <c r="AY35" i="3" s="1"/>
  <c r="AZ35" i="3" s="1"/>
  <c r="BA35" i="3" s="1"/>
  <c r="AX36" i="3"/>
  <c r="AY36" i="3"/>
  <c r="AZ36" i="3"/>
  <c r="BA36" i="3"/>
  <c r="AX37" i="3"/>
  <c r="AY37" i="3" s="1"/>
  <c r="AZ37" i="3" s="1"/>
  <c r="BA37" i="3" s="1"/>
  <c r="AX38" i="3"/>
  <c r="AY38" i="3"/>
  <c r="AZ38" i="3"/>
  <c r="BA38" i="3"/>
  <c r="AX39" i="3"/>
  <c r="AY39" i="3" s="1"/>
  <c r="AZ39" i="3" s="1"/>
  <c r="BA39" i="3" s="1"/>
  <c r="AX40" i="3"/>
  <c r="AY40" i="3"/>
  <c r="AZ40" i="3"/>
  <c r="BA40" i="3"/>
  <c r="BA20" i="3"/>
  <c r="AZ20" i="3"/>
  <c r="AY20" i="3"/>
  <c r="AX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20" i="3"/>
  <c r="AU39" i="3" l="1"/>
  <c r="AU40" i="3"/>
  <c r="AU34" i="3"/>
  <c r="AU33" i="3"/>
  <c r="AP40" i="3"/>
  <c r="AP39" i="3"/>
  <c r="AP38" i="3"/>
  <c r="AU38" i="3" s="1"/>
  <c r="AP37" i="3"/>
  <c r="AU37" i="3" s="1"/>
  <c r="AP36" i="3"/>
  <c r="AU36" i="3" s="1"/>
  <c r="AP35" i="3"/>
  <c r="AU35" i="3" s="1"/>
  <c r="AP34" i="3"/>
  <c r="AT34" i="3" s="1"/>
  <c r="AP33" i="3"/>
  <c r="AT33" i="3" s="1"/>
  <c r="AP31" i="3"/>
  <c r="AT31" i="3" s="1"/>
  <c r="AP32" i="3"/>
  <c r="AU32" i="3" s="1"/>
  <c r="AU31" i="3" l="1"/>
  <c r="AT32" i="3"/>
  <c r="G62" i="5"/>
  <c r="G50" i="2"/>
  <c r="AK9" i="3" l="1"/>
  <c r="B4" i="3"/>
  <c r="I40" i="5" l="1"/>
  <c r="I39" i="5"/>
  <c r="K59" i="5" l="1"/>
  <c r="F36" i="5"/>
  <c r="F35" i="5"/>
  <c r="F30" i="5"/>
  <c r="K47" i="2"/>
  <c r="F31" i="2"/>
  <c r="F32" i="2"/>
  <c r="L25" i="2"/>
  <c r="E234" i="1"/>
  <c r="E226" i="1"/>
  <c r="E208" i="1"/>
  <c r="E207" i="1"/>
  <c r="F186" i="1"/>
  <c r="D55" i="5" s="1"/>
  <c r="H42" i="1"/>
  <c r="G133" i="1" s="1"/>
  <c r="G42" i="1"/>
  <c r="F42" i="1"/>
  <c r="E42" i="1"/>
  <c r="D42" i="1"/>
  <c r="AB54" i="1"/>
  <c r="H913" i="1"/>
  <c r="H707" i="1" l="1"/>
  <c r="K48" i="5"/>
  <c r="F48" i="5"/>
  <c r="S517" i="1"/>
  <c r="S537" i="1" l="1"/>
  <c r="G154" i="1" l="1"/>
  <c r="H1079" i="1"/>
  <c r="D76" i="1"/>
  <c r="E76" i="1" s="1"/>
  <c r="AN75" i="3"/>
  <c r="AN76" i="3"/>
  <c r="AN73" i="3"/>
  <c r="AM74" i="3"/>
  <c r="AN74" i="3" s="1"/>
  <c r="AM75" i="3"/>
  <c r="AM76" i="3"/>
  <c r="AM73" i="3"/>
  <c r="M50" i="1"/>
  <c r="L137" i="1" s="1"/>
  <c r="E205" i="1" s="1"/>
  <c r="L50" i="1"/>
  <c r="K137" i="1" s="1"/>
  <c r="E204" i="1" s="1"/>
  <c r="K50" i="1"/>
  <c r="J137" i="1" s="1"/>
  <c r="J50" i="1"/>
  <c r="I137" i="1" s="1"/>
  <c r="H1133" i="1" s="1"/>
  <c r="I50" i="1"/>
  <c r="H137" i="1" s="1"/>
  <c r="H50" i="1"/>
  <c r="G137" i="1" s="1"/>
  <c r="G50" i="1"/>
  <c r="F137" i="1" s="1"/>
  <c r="H1082" i="1" s="1"/>
  <c r="F50" i="1"/>
  <c r="E137" i="1" s="1"/>
  <c r="E50" i="1"/>
  <c r="D137" i="1" s="1"/>
  <c r="D50" i="1"/>
  <c r="C137" i="1" s="1"/>
  <c r="AP27" i="3"/>
  <c r="AP28" i="3"/>
  <c r="AP29" i="3"/>
  <c r="AP30" i="3"/>
  <c r="AP26" i="3"/>
  <c r="AP20" i="3"/>
  <c r="D1133" i="1" l="1"/>
  <c r="F133" i="1"/>
  <c r="E133" i="1"/>
  <c r="F49" i="5" s="1"/>
  <c r="D133" i="1"/>
  <c r="C133" i="1"/>
  <c r="I37" i="1"/>
  <c r="H129" i="1" s="1"/>
  <c r="H37" i="1"/>
  <c r="G129" i="1" s="1"/>
  <c r="F26" i="5" s="1"/>
  <c r="G37" i="1"/>
  <c r="F37" i="1"/>
  <c r="E37" i="1"/>
  <c r="D129" i="1" s="1"/>
  <c r="D37" i="1"/>
  <c r="L48" i="5" l="1"/>
  <c r="F50" i="5"/>
  <c r="H705" i="1"/>
  <c r="H708" i="1" s="1"/>
  <c r="H709" i="1" s="1"/>
  <c r="F47" i="5"/>
  <c r="J48" i="5"/>
  <c r="F28" i="5"/>
  <c r="K27" i="5"/>
  <c r="F27" i="5"/>
  <c r="J26" i="5"/>
  <c r="F24" i="2"/>
  <c r="L23" i="2"/>
  <c r="F25" i="2"/>
  <c r="E129" i="1"/>
  <c r="F129" i="1"/>
  <c r="C129" i="1"/>
  <c r="E32" i="1"/>
  <c r="D125" i="1" s="1"/>
  <c r="J32" i="1"/>
  <c r="I125" i="1" s="1"/>
  <c r="J41" i="5" s="1"/>
  <c r="I32" i="1"/>
  <c r="H125" i="1" s="1"/>
  <c r="H32" i="1"/>
  <c r="G125" i="1" s="1"/>
  <c r="H40" i="5" s="1"/>
  <c r="G32" i="1"/>
  <c r="F125" i="1" s="1"/>
  <c r="F32" i="1"/>
  <c r="E125" i="1" s="1"/>
  <c r="H39" i="5" s="1"/>
  <c r="D32" i="1"/>
  <c r="C125" i="1" s="1"/>
  <c r="H27" i="1"/>
  <c r="G121" i="1" s="1"/>
  <c r="G27" i="1"/>
  <c r="F27" i="1"/>
  <c r="E121" i="1" s="1"/>
  <c r="E27" i="1"/>
  <c r="D121" i="1" s="1"/>
  <c r="K44" i="5" s="1"/>
  <c r="D27" i="1"/>
  <c r="I44" i="5" l="1"/>
  <c r="I41" i="5" s="1"/>
  <c r="K41" i="5" s="1"/>
  <c r="H710" i="1"/>
  <c r="H711" i="1" s="1"/>
  <c r="U72" i="1" s="1"/>
  <c r="L33" i="5"/>
  <c r="E41" i="5"/>
  <c r="H41" i="5"/>
  <c r="F25" i="5"/>
  <c r="K26" i="5"/>
  <c r="L26" i="5" s="1"/>
  <c r="E40" i="5"/>
  <c r="J40" i="5"/>
  <c r="K40" i="5" s="1"/>
  <c r="E39" i="5"/>
  <c r="J39" i="5"/>
  <c r="K39" i="5" s="1"/>
  <c r="F34" i="5"/>
  <c r="F29" i="5"/>
  <c r="J27" i="5"/>
  <c r="L27" i="5" s="1"/>
  <c r="J61" i="5"/>
  <c r="F33" i="5"/>
  <c r="D1" i="5"/>
  <c r="F30" i="2"/>
  <c r="K29" i="2"/>
  <c r="L24" i="2"/>
  <c r="K30" i="2"/>
  <c r="F29" i="2"/>
  <c r="D3" i="1"/>
  <c r="J49" i="2"/>
  <c r="D1" i="2"/>
  <c r="K31" i="2"/>
  <c r="F23" i="2"/>
  <c r="E409" i="1"/>
  <c r="E407" i="1"/>
  <c r="E408" i="1"/>
  <c r="S528" i="1"/>
  <c r="S548" i="1"/>
  <c r="S527" i="1"/>
  <c r="S547" i="1"/>
  <c r="F121" i="1"/>
  <c r="C121" i="1"/>
  <c r="I756" i="1" l="1"/>
  <c r="L39" i="5"/>
  <c r="L41" i="5"/>
  <c r="L28" i="5"/>
  <c r="L40" i="5"/>
  <c r="L32" i="1"/>
  <c r="D415" i="1"/>
  <c r="S546" i="1"/>
  <c r="T65" i="1"/>
  <c r="S526" i="1"/>
  <c r="AB66" i="1"/>
  <c r="L42" i="5" l="1"/>
  <c r="L35" i="2"/>
  <c r="AB61" i="1"/>
  <c r="H1067" i="1"/>
  <c r="H979" i="1"/>
  <c r="G416" i="1"/>
  <c r="F416" i="1"/>
  <c r="L33" i="1"/>
  <c r="F19" i="2"/>
  <c r="AG28" i="3"/>
  <c r="AG29" i="3" s="1"/>
  <c r="AF28" i="3"/>
  <c r="AF29" i="3" s="1"/>
  <c r="AE28" i="3"/>
  <c r="AE29" i="3" s="1"/>
  <c r="AD28" i="3"/>
  <c r="AD29" i="3" s="1"/>
  <c r="AC28" i="3"/>
  <c r="AC29" i="3" s="1"/>
  <c r="AB28" i="3"/>
  <c r="AB29" i="3" s="1"/>
  <c r="AA28" i="3"/>
  <c r="AA29" i="3" s="1"/>
  <c r="Z28" i="3"/>
  <c r="Z29" i="3" s="1"/>
  <c r="Y28" i="3"/>
  <c r="Y29" i="3" s="1"/>
  <c r="X28" i="3"/>
  <c r="X29" i="3" s="1"/>
  <c r="W28" i="3"/>
  <c r="W29" i="3" s="1"/>
  <c r="V28" i="3"/>
  <c r="V29" i="3" s="1"/>
  <c r="U28" i="3"/>
  <c r="U29" i="3" s="1"/>
  <c r="T28" i="3"/>
  <c r="T29" i="3" s="1"/>
  <c r="S28" i="3"/>
  <c r="S29" i="3" s="1"/>
  <c r="T13" i="3"/>
  <c r="T16" i="3" s="1"/>
  <c r="S13" i="3"/>
  <c r="S16" i="3" s="1"/>
  <c r="T17" i="3" l="1"/>
  <c r="T18" i="3"/>
  <c r="S18" i="3"/>
  <c r="S17" i="3"/>
  <c r="S15" i="3"/>
  <c r="S19" i="3" s="1"/>
  <c r="T15" i="3"/>
  <c r="T19" i="3" s="1"/>
  <c r="E230" i="1" l="1"/>
  <c r="E294" i="1" s="1"/>
  <c r="G294" i="1" s="1"/>
  <c r="F297" i="1"/>
  <c r="E237" i="1"/>
  <c r="H1080" i="1"/>
  <c r="G156" i="1"/>
  <c r="H689" i="1"/>
  <c r="H726" i="1"/>
  <c r="G147" i="1"/>
  <c r="H732" i="1"/>
  <c r="H730" i="1"/>
  <c r="E638" i="1"/>
  <c r="H1131" i="1"/>
  <c r="E177" i="1"/>
  <c r="G177" i="1" s="1"/>
  <c r="D1023" i="1"/>
  <c r="D1049" i="1" s="1"/>
  <c r="G165" i="1"/>
  <c r="G163" i="1"/>
  <c r="H1089" i="1"/>
  <c r="H1124" i="1" s="1"/>
  <c r="H1129" i="1" s="1"/>
  <c r="H1088" i="1"/>
  <c r="E167" i="1"/>
  <c r="G167" i="1" s="1"/>
  <c r="E166" i="1"/>
  <c r="G166" i="1" s="1"/>
  <c r="E164" i="1"/>
  <c r="D1131" i="1"/>
  <c r="H1084" i="1"/>
  <c r="D941" i="1"/>
  <c r="D969" i="1" s="1"/>
  <c r="H920" i="1"/>
  <c r="D901" i="1"/>
  <c r="G176" i="1"/>
  <c r="G171" i="1"/>
  <c r="E158" i="1"/>
  <c r="G158" i="1" s="1"/>
  <c r="E155" i="1"/>
  <c r="E157" i="1"/>
  <c r="D853" i="1" s="1"/>
  <c r="G148" i="1"/>
  <c r="E206" i="1"/>
  <c r="E209" i="1" s="1"/>
  <c r="G209" i="1" s="1"/>
  <c r="G207" i="1"/>
  <c r="G208" i="1"/>
  <c r="G226" i="1"/>
  <c r="F283" i="1"/>
  <c r="G234" i="1"/>
  <c r="G172" i="1"/>
  <c r="G180" i="1"/>
  <c r="H469" i="1"/>
  <c r="H706" i="1"/>
  <c r="H722" i="1"/>
  <c r="H724" i="1"/>
  <c r="H863" i="1"/>
  <c r="H712" i="1" l="1"/>
  <c r="H894" i="1"/>
  <c r="U78" i="1"/>
  <c r="U75" i="1"/>
  <c r="H897" i="1"/>
  <c r="G155" i="1"/>
  <c r="S519" i="1"/>
  <c r="S539" i="1"/>
  <c r="S543" i="1"/>
  <c r="S523" i="1"/>
  <c r="G164" i="1"/>
  <c r="S542" i="1"/>
  <c r="S522" i="1"/>
  <c r="H1113" i="1"/>
  <c r="H1114" i="1" s="1"/>
  <c r="D191" i="1"/>
  <c r="E191" i="1" s="1"/>
  <c r="G191" i="1" s="1"/>
  <c r="H733" i="1"/>
  <c r="H728" i="1" s="1"/>
  <c r="H729" i="1" s="1"/>
  <c r="F331" i="1"/>
  <c r="E333" i="1" s="1"/>
  <c r="G333" i="1" s="1"/>
  <c r="D888" i="1" s="1"/>
  <c r="G145" i="1"/>
  <c r="G645" i="1" s="1"/>
  <c r="D612" i="1"/>
  <c r="G206" i="1"/>
  <c r="E238" i="1"/>
  <c r="G238" i="1" s="1"/>
  <c r="E211" i="1"/>
  <c r="E219" i="1" s="1"/>
  <c r="E770" i="1"/>
  <c r="H861" i="1"/>
  <c r="D921" i="1"/>
  <c r="G146" i="1"/>
  <c r="E645" i="1" s="1"/>
  <c r="D464" i="1"/>
  <c r="D1124" i="1"/>
  <c r="D1129" i="1" s="1"/>
  <c r="G230" i="1"/>
  <c r="H922" i="1"/>
  <c r="D956" i="1" s="1"/>
  <c r="S541" i="1"/>
  <c r="H862" i="1"/>
  <c r="H694" i="1"/>
  <c r="D538" i="1"/>
  <c r="I765" i="1"/>
  <c r="E325" i="1"/>
  <c r="G237" i="1"/>
  <c r="E329" i="1"/>
  <c r="G329" i="1" s="1"/>
  <c r="E290" i="1"/>
  <c r="H736" i="1"/>
  <c r="H824" i="1"/>
  <c r="H727" i="1"/>
  <c r="D546" i="1"/>
  <c r="D190" i="1"/>
  <c r="G157" i="1"/>
  <c r="E229" i="1"/>
  <c r="D604" i="1"/>
  <c r="D948" i="1"/>
  <c r="I906" i="1"/>
  <c r="H693" i="1"/>
  <c r="D193" i="1"/>
  <c r="E193" i="1" s="1"/>
  <c r="G193" i="1" s="1"/>
  <c r="D1132" i="1"/>
  <c r="D1134" i="1" s="1"/>
  <c r="H1132" i="1"/>
  <c r="H1134" i="1" s="1"/>
  <c r="D1135" i="1"/>
  <c r="H1135" i="1" s="1"/>
  <c r="H1083" i="1"/>
  <c r="H1115" i="1" s="1"/>
  <c r="D1122" i="1" s="1"/>
  <c r="D1141" i="1" s="1"/>
  <c r="H869" i="1" l="1"/>
  <c r="L539" i="1"/>
  <c r="F776" i="1"/>
  <c r="T61" i="1"/>
  <c r="S524" i="1"/>
  <c r="S544" i="1"/>
  <c r="S540" i="1"/>
  <c r="S520" i="1"/>
  <c r="S545" i="1"/>
  <c r="S521" i="1"/>
  <c r="I422" i="1"/>
  <c r="I427" i="1" s="1"/>
  <c r="I517" i="1"/>
  <c r="I432" i="1"/>
  <c r="I447" i="1" s="1"/>
  <c r="H540" i="1"/>
  <c r="I522" i="1"/>
  <c r="M577" i="1"/>
  <c r="I572" i="1"/>
  <c r="I579" i="1" s="1"/>
  <c r="H606" i="1"/>
  <c r="E192" i="1"/>
  <c r="G192" i="1" s="1"/>
  <c r="D192" i="1"/>
  <c r="F645" i="1"/>
  <c r="E328" i="1"/>
  <c r="E330" i="1" s="1"/>
  <c r="G330" i="1" s="1"/>
  <c r="H605" i="1"/>
  <c r="E215" i="1"/>
  <c r="D766" i="1" s="1"/>
  <c r="D767" i="1" s="1"/>
  <c r="G211" i="1"/>
  <c r="E239" i="1"/>
  <c r="E324" i="1"/>
  <c r="G324" i="1" s="1"/>
  <c r="H541" i="1"/>
  <c r="I441" i="1"/>
  <c r="H735" i="1"/>
  <c r="H607" i="1"/>
  <c r="H901" i="1"/>
  <c r="H825" i="1"/>
  <c r="H826" i="1" s="1"/>
  <c r="H485" i="1"/>
  <c r="L905" i="1"/>
  <c r="I995" i="1" s="1"/>
  <c r="H827" i="1"/>
  <c r="I421" i="1"/>
  <c r="I426" i="1"/>
  <c r="I521" i="1"/>
  <c r="H539" i="1"/>
  <c r="I446" i="1"/>
  <c r="I516" i="1"/>
  <c r="D1138" i="1"/>
  <c r="D1139" i="1" s="1"/>
  <c r="D1145" i="1" s="1"/>
  <c r="I436" i="1"/>
  <c r="D1036" i="1"/>
  <c r="H923" i="1"/>
  <c r="D920" i="1" s="1"/>
  <c r="D924" i="1" s="1"/>
  <c r="I431" i="1"/>
  <c r="H1138" i="1"/>
  <c r="H1139" i="1" s="1"/>
  <c r="D1031" i="1"/>
  <c r="E190" i="1"/>
  <c r="G325" i="1"/>
  <c r="E295" i="1"/>
  <c r="G229" i="1"/>
  <c r="E299" i="1"/>
  <c r="G299" i="1" s="1"/>
  <c r="E291" i="1"/>
  <c r="G291" i="1" s="1"/>
  <c r="H731" i="1"/>
  <c r="G290" i="1"/>
  <c r="H734" i="1"/>
  <c r="H739" i="1" s="1"/>
  <c r="G219" i="1"/>
  <c r="E315" i="1"/>
  <c r="G315" i="1" s="1"/>
  <c r="E319" i="1"/>
  <c r="G319" i="1" s="1"/>
  <c r="H1122" i="1"/>
  <c r="H1141" i="1" s="1"/>
  <c r="G239" i="1" l="1"/>
  <c r="F36" i="2"/>
  <c r="S75" i="1"/>
  <c r="E894" i="1"/>
  <c r="S530" i="1"/>
  <c r="S550" i="1"/>
  <c r="I519" i="1"/>
  <c r="F652" i="1" s="1"/>
  <c r="E652" i="1" s="1"/>
  <c r="I437" i="1"/>
  <c r="I439" i="1" s="1"/>
  <c r="F649" i="1" s="1"/>
  <c r="E649" i="1" s="1"/>
  <c r="I434" i="1"/>
  <c r="F648" i="1" s="1"/>
  <c r="E648" i="1" s="1"/>
  <c r="I442" i="1"/>
  <c r="I444" i="1" s="1"/>
  <c r="F650" i="1" s="1"/>
  <c r="E650" i="1" s="1"/>
  <c r="I424" i="1"/>
  <c r="F646" i="1" s="1"/>
  <c r="E646" i="1" s="1"/>
  <c r="I524" i="1"/>
  <c r="E531" i="1" s="1"/>
  <c r="D929" i="1"/>
  <c r="E292" i="1"/>
  <c r="G292" i="1" s="1"/>
  <c r="E281" i="1"/>
  <c r="G281" i="1" s="1"/>
  <c r="E277" i="1"/>
  <c r="G277" i="1" s="1"/>
  <c r="G328" i="1"/>
  <c r="E285" i="1"/>
  <c r="G285" i="1" s="1"/>
  <c r="G307" i="1" s="1"/>
  <c r="H1145" i="1"/>
  <c r="I580" i="1" s="1"/>
  <c r="G215" i="1"/>
  <c r="F766" i="1" s="1"/>
  <c r="F767" i="1" s="1"/>
  <c r="E326" i="1"/>
  <c r="G326" i="1" s="1"/>
  <c r="D1005" i="1"/>
  <c r="H866" i="1"/>
  <c r="H738" i="1"/>
  <c r="H741" i="1" s="1"/>
  <c r="I905" i="1"/>
  <c r="I909" i="1" s="1"/>
  <c r="I429" i="1"/>
  <c r="F647" i="1" s="1"/>
  <c r="E647" i="1" s="1"/>
  <c r="I449" i="1"/>
  <c r="F651" i="1" s="1"/>
  <c r="E651" i="1" s="1"/>
  <c r="I573" i="1"/>
  <c r="I585" i="1"/>
  <c r="I571" i="1"/>
  <c r="I576" i="1" s="1"/>
  <c r="F654" i="1" s="1"/>
  <c r="E654" i="1" s="1"/>
  <c r="D952" i="1"/>
  <c r="D1010" i="1"/>
  <c r="D925" i="1"/>
  <c r="D922" i="1" s="1"/>
  <c r="D923" i="1" s="1"/>
  <c r="D926" i="1" s="1"/>
  <c r="L935" i="1" s="1"/>
  <c r="D931" i="1" s="1"/>
  <c r="D947" i="1"/>
  <c r="D951" i="1" s="1"/>
  <c r="E895" i="1"/>
  <c r="G295" i="1"/>
  <c r="E296" i="1"/>
  <c r="G296" i="1" s="1"/>
  <c r="G190" i="1"/>
  <c r="G194" i="1" s="1"/>
  <c r="G197" i="1" s="1"/>
  <c r="E194" i="1"/>
  <c r="E197" i="1" s="1"/>
  <c r="V76" i="1" l="1"/>
  <c r="U76" i="1"/>
  <c r="I770" i="1"/>
  <c r="D776" i="1"/>
  <c r="S61" i="1"/>
  <c r="D536" i="1"/>
  <c r="D544" i="1" s="1"/>
  <c r="E529" i="1"/>
  <c r="F653" i="1"/>
  <c r="E653" i="1" s="1"/>
  <c r="E530" i="1"/>
  <c r="H530" i="1" s="1"/>
  <c r="H713" i="1" s="1"/>
  <c r="E307" i="1"/>
  <c r="I578" i="1"/>
  <c r="I583" i="1" s="1"/>
  <c r="F655" i="1" s="1"/>
  <c r="E655" i="1" s="1"/>
  <c r="E455" i="1"/>
  <c r="H455" i="1" s="1"/>
  <c r="H698" i="1" s="1"/>
  <c r="H858" i="1"/>
  <c r="H462" i="1"/>
  <c r="D462" i="1"/>
  <c r="D465" i="1" s="1"/>
  <c r="L462" i="1"/>
  <c r="L463" i="1"/>
  <c r="E454" i="1"/>
  <c r="H690" i="1" s="1"/>
  <c r="E456" i="1"/>
  <c r="D928" i="1"/>
  <c r="D930" i="1"/>
  <c r="I581" i="1"/>
  <c r="I582" i="1" s="1"/>
  <c r="L602" i="1"/>
  <c r="E596" i="1" s="1"/>
  <c r="H596" i="1" s="1"/>
  <c r="I574" i="1"/>
  <c r="I575" i="1" s="1"/>
  <c r="D949" i="1"/>
  <c r="D950" i="1" s="1"/>
  <c r="D953" i="1" s="1"/>
  <c r="L953" i="1" s="1"/>
  <c r="D958" i="1" s="1"/>
  <c r="M576" i="1"/>
  <c r="E280" i="1"/>
  <c r="D1071" i="1"/>
  <c r="E276" i="1"/>
  <c r="E314" i="1"/>
  <c r="E318" i="1"/>
  <c r="E220" i="1"/>
  <c r="H695" i="1"/>
  <c r="H696" i="1" s="1"/>
  <c r="H857" i="1"/>
  <c r="F35" i="2" l="1"/>
  <c r="S83" i="1"/>
  <c r="G877" i="1"/>
  <c r="J878" i="1" s="1"/>
  <c r="G756" i="1"/>
  <c r="G750" i="1"/>
  <c r="U61" i="1"/>
  <c r="V61" i="1"/>
  <c r="S69" i="1"/>
  <c r="S72" i="1"/>
  <c r="D537" i="1"/>
  <c r="D543" i="1"/>
  <c r="D539" i="1"/>
  <c r="D540" i="1" s="1"/>
  <c r="H714" i="1"/>
  <c r="M583" i="1"/>
  <c r="D1029" i="1" s="1"/>
  <c r="D470" i="1"/>
  <c r="D471" i="1" s="1"/>
  <c r="D467" i="1"/>
  <c r="H468" i="1" s="1"/>
  <c r="D480" i="1"/>
  <c r="H480" i="1" s="1"/>
  <c r="H463" i="1"/>
  <c r="D469" i="1"/>
  <c r="D463" i="1"/>
  <c r="H464" i="1" s="1"/>
  <c r="M474" i="1"/>
  <c r="D934" i="1"/>
  <c r="D937" i="1" s="1"/>
  <c r="D602" i="1"/>
  <c r="D605" i="1" s="1"/>
  <c r="E595" i="1"/>
  <c r="E597" i="1"/>
  <c r="I996" i="1"/>
  <c r="I999" i="1" s="1"/>
  <c r="L999" i="1" s="1"/>
  <c r="I586" i="1"/>
  <c r="I590" i="1" s="1"/>
  <c r="F656" i="1" s="1"/>
  <c r="E656" i="1" s="1"/>
  <c r="D955" i="1"/>
  <c r="D957" i="1"/>
  <c r="D959" i="1" s="1"/>
  <c r="D545" i="1"/>
  <c r="D541" i="1"/>
  <c r="L547" i="1"/>
  <c r="G220" i="1"/>
  <c r="D1022" i="1"/>
  <c r="D1048" i="1" s="1"/>
  <c r="D977" i="1"/>
  <c r="D940" i="1"/>
  <c r="L970" i="1"/>
  <c r="L1052" i="1" s="1"/>
  <c r="E320" i="1"/>
  <c r="G318" i="1"/>
  <c r="G280" i="1"/>
  <c r="E282" i="1"/>
  <c r="G314" i="1"/>
  <c r="E316" i="1"/>
  <c r="D468" i="1"/>
  <c r="H465" i="1"/>
  <c r="D466" i="1"/>
  <c r="E278" i="1"/>
  <c r="G276" i="1"/>
  <c r="V84" i="1" l="1"/>
  <c r="U84" i="1"/>
  <c r="I878" i="1"/>
  <c r="V70" i="1"/>
  <c r="U70" i="1"/>
  <c r="D542" i="1"/>
  <c r="I757" i="1"/>
  <c r="J757" i="1"/>
  <c r="U73" i="1"/>
  <c r="V73" i="1"/>
  <c r="J751" i="1"/>
  <c r="I751" i="1"/>
  <c r="D1003" i="1"/>
  <c r="H492" i="1"/>
  <c r="D1032" i="1"/>
  <c r="D1030" i="1" s="1"/>
  <c r="D1033" i="1" s="1"/>
  <c r="L1033" i="1" s="1"/>
  <c r="D1037" i="1" s="1"/>
  <c r="D1006" i="1"/>
  <c r="D1004" i="1" s="1"/>
  <c r="H481" i="1"/>
  <c r="H483" i="1"/>
  <c r="H484" i="1"/>
  <c r="H467" i="1"/>
  <c r="H466" i="1"/>
  <c r="H491" i="1"/>
  <c r="H482" i="1"/>
  <c r="H471" i="1"/>
  <c r="H474" i="1" s="1"/>
  <c r="H475" i="1" s="1"/>
  <c r="D603" i="1"/>
  <c r="D609" i="1"/>
  <c r="D610" i="1"/>
  <c r="D611" i="1" s="1"/>
  <c r="D613" i="1" s="1"/>
  <c r="H602" i="1" s="1"/>
  <c r="D962" i="1"/>
  <c r="D965" i="1" s="1"/>
  <c r="Z61" i="1" s="1"/>
  <c r="AB62" i="1" s="1"/>
  <c r="D547" i="1"/>
  <c r="H542" i="1"/>
  <c r="G320" i="1"/>
  <c r="G339" i="1" s="1"/>
  <c r="E339" i="1"/>
  <c r="G316" i="1"/>
  <c r="G337" i="1" s="1"/>
  <c r="S65" i="1" s="1"/>
  <c r="E337" i="1"/>
  <c r="G282" i="1"/>
  <c r="G305" i="1" s="1"/>
  <c r="E305" i="1"/>
  <c r="D1055" i="1"/>
  <c r="D1061" i="1" s="1"/>
  <c r="D983" i="1"/>
  <c r="D985" i="1"/>
  <c r="H486" i="1"/>
  <c r="D968" i="1"/>
  <c r="D970" i="1" s="1"/>
  <c r="D944" i="1"/>
  <c r="G278" i="1"/>
  <c r="G303" i="1" s="1"/>
  <c r="E303" i="1"/>
  <c r="D606" i="1"/>
  <c r="D608" i="1"/>
  <c r="D979" i="1" l="1"/>
  <c r="S54" i="1"/>
  <c r="S55" i="1"/>
  <c r="S53" i="1"/>
  <c r="D504" i="1"/>
  <c r="V65" i="1"/>
  <c r="U65" i="1"/>
  <c r="T53" i="1"/>
  <c r="F504" i="1"/>
  <c r="D561" i="1"/>
  <c r="D628" i="1"/>
  <c r="H493" i="1"/>
  <c r="H494" i="1" s="1"/>
  <c r="D1007" i="1"/>
  <c r="L1007" i="1" s="1"/>
  <c r="D1009" i="1" s="1"/>
  <c r="L492" i="1"/>
  <c r="H470" i="1"/>
  <c r="L470" i="1" s="1"/>
  <c r="L491" i="1"/>
  <c r="D607" i="1"/>
  <c r="L613" i="1"/>
  <c r="D973" i="1"/>
  <c r="D1038" i="1"/>
  <c r="D1035" i="1"/>
  <c r="H536" i="1"/>
  <c r="H538" i="1"/>
  <c r="H537" i="1"/>
  <c r="L546" i="1"/>
  <c r="H717" i="1"/>
  <c r="H488" i="1"/>
  <c r="H489" i="1" s="1"/>
  <c r="D887" i="1"/>
  <c r="D890" i="1" s="1"/>
  <c r="E893" i="1" s="1"/>
  <c r="H608" i="1"/>
  <c r="H603" i="1"/>
  <c r="H604" i="1"/>
  <c r="L612" i="1"/>
  <c r="D989" i="1" l="1"/>
  <c r="D913" i="1"/>
  <c r="Z54" i="1"/>
  <c r="AB55" i="1" s="1"/>
  <c r="S78" i="1"/>
  <c r="E897" i="1"/>
  <c r="G505" i="1"/>
  <c r="F505" i="1"/>
  <c r="V53" i="1"/>
  <c r="U53" i="1"/>
  <c r="D1012" i="1"/>
  <c r="D1011" i="1"/>
  <c r="D1042" i="1"/>
  <c r="D1045" i="1" s="1"/>
  <c r="D1052" i="1" s="1"/>
  <c r="H545" i="1"/>
  <c r="H546" i="1" s="1"/>
  <c r="T54" i="1" s="1"/>
  <c r="H611" i="1"/>
  <c r="H612" i="1" s="1"/>
  <c r="V79" i="1" l="1"/>
  <c r="U79" i="1"/>
  <c r="T55" i="1"/>
  <c r="V54" i="1"/>
  <c r="U54" i="1"/>
  <c r="F628" i="1"/>
  <c r="D552" i="1"/>
  <c r="D553" i="1" s="1"/>
  <c r="F561" i="1"/>
  <c r="D1016" i="1"/>
  <c r="D1019" i="1" s="1"/>
  <c r="D1026" i="1" s="1"/>
  <c r="D1057" i="1"/>
  <c r="D1073" i="1"/>
  <c r="D618" i="1"/>
  <c r="D619" i="1" s="1"/>
  <c r="V55" i="1" l="1"/>
  <c r="T57" i="1"/>
  <c r="T58" i="1" s="1"/>
  <c r="U55" i="1"/>
  <c r="G777" i="1"/>
  <c r="F777" i="1"/>
  <c r="G629" i="1"/>
  <c r="F629" i="1"/>
  <c r="F562" i="1"/>
  <c r="G562" i="1"/>
  <c r="D1063" i="1"/>
  <c r="L36" i="2" l="1"/>
  <c r="D1067" i="1"/>
  <c r="Z66" i="1"/>
  <c r="AB67" i="1" l="1"/>
  <c r="AB71" i="1"/>
</calcChain>
</file>

<file path=xl/sharedStrings.xml><?xml version="1.0" encoding="utf-8"?>
<sst xmlns="http://schemas.openxmlformats.org/spreadsheetml/2006/main" count="2030" uniqueCount="944">
  <si>
    <t>obl.</t>
  </si>
  <si>
    <t>kN/m</t>
  </si>
  <si>
    <r>
      <rPr>
        <i/>
        <sz val="11"/>
        <color indexed="8"/>
        <rFont val="Symbol"/>
        <family val="1"/>
        <charset val="2"/>
      </rPr>
      <t>S</t>
    </r>
    <r>
      <rPr>
        <i/>
        <sz val="11"/>
        <color indexed="8"/>
        <rFont val="Czcionka tekstu podstawowego"/>
        <charset val="238"/>
      </rPr>
      <t xml:space="preserve">G = </t>
    </r>
  </si>
  <si>
    <t>MPa</t>
  </si>
  <si>
    <t>cm</t>
  </si>
  <si>
    <t>m</t>
  </si>
  <si>
    <t>mm</t>
  </si>
  <si>
    <t>Oznaczenie produktu</t>
  </si>
  <si>
    <t>Przekrój betonowy</t>
  </si>
  <si>
    <t>Parametry otworu montażowego</t>
  </si>
  <si>
    <t>Belka hybrydowa</t>
  </si>
  <si>
    <t>BH 20-250</t>
  </si>
  <si>
    <t>BH 20-300</t>
  </si>
  <si>
    <t>BH 27-300</t>
  </si>
  <si>
    <t>BH 27-350</t>
  </si>
  <si>
    <t>BH 32-350</t>
  </si>
  <si>
    <t>BH 32-400</t>
  </si>
  <si>
    <t>BH 32-450</t>
  </si>
  <si>
    <t>BH 40-400</t>
  </si>
  <si>
    <t>BH 40-450</t>
  </si>
  <si>
    <t>BH 45-400</t>
  </si>
  <si>
    <t>BH 45-450</t>
  </si>
  <si>
    <t>BH 45-500</t>
  </si>
  <si>
    <t>BH 50-500</t>
  </si>
  <si>
    <t>BH 50-550</t>
  </si>
  <si>
    <t>Zbrojenie</t>
  </si>
  <si>
    <t>górne</t>
  </si>
  <si>
    <t>dolne</t>
  </si>
  <si>
    <t>poprzeczne</t>
  </si>
  <si>
    <t>n</t>
  </si>
  <si>
    <t>Przekrój stalowy</t>
  </si>
  <si>
    <t>środnik [mm]</t>
  </si>
  <si>
    <t>półka dolna [mm]</t>
  </si>
  <si>
    <r>
      <rPr>
        <b/>
        <sz val="9"/>
        <color theme="1"/>
        <rFont val="Arial"/>
        <family val="2"/>
        <charset val="238"/>
      </rPr>
      <t>hs</t>
    </r>
    <r>
      <rPr>
        <sz val="9"/>
        <color theme="1"/>
        <rFont val="Czcionka tekstu podstawowego"/>
        <family val="2"/>
        <charset val="238"/>
      </rPr>
      <t xml:space="preserve"> [mm]</t>
    </r>
  </si>
  <si>
    <r>
      <rPr>
        <b/>
        <sz val="9"/>
        <color theme="1"/>
        <rFont val="Arial"/>
        <family val="2"/>
        <charset val="238"/>
      </rPr>
      <t>ts</t>
    </r>
    <r>
      <rPr>
        <sz val="9"/>
        <color theme="1"/>
        <rFont val="Czcionka tekstu podstawowego"/>
        <family val="2"/>
        <charset val="238"/>
      </rPr>
      <t xml:space="preserve"> [mm]</t>
    </r>
  </si>
  <si>
    <r>
      <rPr>
        <b/>
        <sz val="9"/>
        <color theme="1"/>
        <rFont val="Arial"/>
        <family val="2"/>
        <charset val="238"/>
      </rPr>
      <t>B</t>
    </r>
    <r>
      <rPr>
        <sz val="9"/>
        <color theme="1"/>
        <rFont val="Czcionka tekstu podstawowego"/>
        <family val="2"/>
        <charset val="238"/>
      </rPr>
      <t xml:space="preserve"> [mm]</t>
    </r>
  </si>
  <si>
    <r>
      <rPr>
        <b/>
        <sz val="9"/>
        <color theme="1"/>
        <rFont val="Arial"/>
        <family val="2"/>
        <charset val="238"/>
      </rPr>
      <t>Bf</t>
    </r>
    <r>
      <rPr>
        <sz val="9"/>
        <color theme="1"/>
        <rFont val="Czcionka tekstu podstawowego"/>
        <family val="2"/>
        <charset val="238"/>
      </rPr>
      <t xml:space="preserve"> [mm]</t>
    </r>
  </si>
  <si>
    <r>
      <rPr>
        <b/>
        <sz val="9"/>
        <color theme="1"/>
        <rFont val="Arial"/>
        <family val="2"/>
        <charset val="238"/>
      </rPr>
      <t>tf</t>
    </r>
    <r>
      <rPr>
        <sz val="9"/>
        <color theme="1"/>
        <rFont val="Czcionka tekstu podstawowego"/>
        <family val="2"/>
        <charset val="238"/>
      </rPr>
      <t xml:space="preserve"> [mm]</t>
    </r>
  </si>
  <si>
    <t>Bolec spęczniony</t>
  </si>
  <si>
    <r>
      <t>cm</t>
    </r>
    <r>
      <rPr>
        <vertAlign val="superscript"/>
        <sz val="11"/>
        <color theme="1"/>
        <rFont val="Czcionka tekstu podstawowego"/>
        <charset val="238"/>
      </rPr>
      <t>2</t>
    </r>
  </si>
  <si>
    <r>
      <t>E</t>
    </r>
    <r>
      <rPr>
        <i/>
        <vertAlign val="subscript"/>
        <sz val="11"/>
        <color indexed="8"/>
        <rFont val="Czcionka tekstu podstawowego"/>
        <charset val="238"/>
      </rPr>
      <t>cm</t>
    </r>
    <r>
      <rPr>
        <i/>
        <sz val="11"/>
        <color indexed="8"/>
        <rFont val="Czcionka tekstu podstawowego"/>
        <charset val="238"/>
      </rPr>
      <t xml:space="preserve"> = </t>
    </r>
  </si>
  <si>
    <r>
      <t xml:space="preserve"> 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cd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</si>
  <si>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 xml:space="preserve"> 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ctk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</si>
  <si>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 xml:space="preserve"> 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ctd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</si>
  <si>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>g</t>
    </r>
    <r>
      <rPr>
        <i/>
        <vertAlign val="subscript"/>
        <sz val="11"/>
        <color theme="1"/>
        <rFont val="Arial"/>
        <family val="2"/>
        <charset val="238"/>
      </rPr>
      <t>c</t>
    </r>
    <r>
      <rPr>
        <i/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Arial"/>
        <family val="2"/>
        <charset val="238"/>
      </rPr>
      <t>=</t>
    </r>
  </si>
  <si>
    <r>
      <t>g/cm</t>
    </r>
    <r>
      <rPr>
        <vertAlign val="superscript"/>
        <sz val="11"/>
        <color theme="1"/>
        <rFont val="Czcionka tekstu podstawowego"/>
        <charset val="238"/>
      </rPr>
      <t>3</t>
    </r>
  </si>
  <si>
    <t>kN</t>
  </si>
  <si>
    <r>
      <t>kN/m</t>
    </r>
    <r>
      <rPr>
        <vertAlign val="superscript"/>
        <sz val="11"/>
        <color theme="1"/>
        <rFont val="Czcionka tekstu podstawowego"/>
        <charset val="238"/>
      </rPr>
      <t>2</t>
    </r>
  </si>
  <si>
    <t>fugi</t>
  </si>
  <si>
    <t>prefabrykat</t>
  </si>
  <si>
    <r>
      <t>g</t>
    </r>
    <r>
      <rPr>
        <i/>
        <vertAlign val="subscript"/>
        <sz val="11"/>
        <color theme="1"/>
        <rFont val="Czcionka tekstu podstawowego"/>
        <charset val="238"/>
      </rPr>
      <t>L</t>
    </r>
    <r>
      <rPr>
        <i/>
        <sz val="11"/>
        <color theme="1"/>
        <rFont val="Czcionka tekstu podstawowego"/>
        <charset val="238"/>
      </rPr>
      <t>=</t>
    </r>
  </si>
  <si>
    <r>
      <t>p</t>
    </r>
    <r>
      <rPr>
        <i/>
        <vertAlign val="subscript"/>
        <sz val="11"/>
        <color theme="1"/>
        <rFont val="Czcionka tekstu podstawowego"/>
        <charset val="238"/>
      </rPr>
      <t>L</t>
    </r>
    <r>
      <rPr>
        <i/>
        <sz val="11"/>
        <color theme="1"/>
        <rFont val="Czcionka tekstu podstawowego"/>
        <charset val="238"/>
      </rPr>
      <t>=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</si>
  <si>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zcionka tekstu podstawowego"/>
        <charset val="238"/>
      </rPr>
      <t>p</t>
    </r>
    <r>
      <rPr>
        <i/>
        <sz val="11"/>
        <color theme="1"/>
        <rFont val="Czcionka tekstu podstawowego"/>
        <charset val="238"/>
      </rPr>
      <t>=</t>
    </r>
  </si>
  <si>
    <r>
      <rPr>
        <i/>
        <sz val="11"/>
        <color theme="1"/>
        <rFont val="Czcionka tekstu podstawowego"/>
        <charset val="238"/>
      </rPr>
      <t>T</t>
    </r>
    <r>
      <rPr>
        <i/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</si>
  <si>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T</t>
    </r>
    <r>
      <rPr>
        <i/>
        <vertAlign val="subscript"/>
        <sz val="11"/>
        <color theme="1"/>
        <rFont val="Symbol"/>
        <family val="1"/>
        <charset val="2"/>
      </rPr>
      <t>a</t>
    </r>
    <r>
      <rPr>
        <i/>
        <vertAlign val="subscript"/>
        <sz val="11"/>
        <color theme="1"/>
        <rFont val="Arial"/>
        <family val="2"/>
        <charset val="238"/>
      </rPr>
      <t>L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</si>
  <si>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T</t>
    </r>
    <r>
      <rPr>
        <i/>
        <vertAlign val="subscript"/>
        <sz val="11"/>
        <color theme="1"/>
        <rFont val="Symbol"/>
        <family val="1"/>
        <charset val="2"/>
      </rPr>
      <t>a</t>
    </r>
    <r>
      <rPr>
        <i/>
        <vertAlign val="subscript"/>
        <sz val="11"/>
        <color theme="1"/>
        <rFont val="Arial"/>
        <family val="2"/>
        <charset val="238"/>
      </rPr>
      <t>b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</si>
  <si>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M</t>
    </r>
    <r>
      <rPr>
        <i/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</si>
  <si>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M</t>
    </r>
    <r>
      <rPr>
        <i/>
        <vertAlign val="subscript"/>
        <sz val="11"/>
        <color theme="1"/>
        <rFont val="Symbol"/>
        <family val="1"/>
        <charset val="2"/>
      </rPr>
      <t>a</t>
    </r>
    <r>
      <rPr>
        <i/>
        <vertAlign val="subscript"/>
        <sz val="11"/>
        <color theme="1"/>
        <rFont val="Arial"/>
        <family val="2"/>
        <charset val="238"/>
      </rPr>
      <t>b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</si>
  <si>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M</t>
    </r>
    <r>
      <rPr>
        <i/>
        <vertAlign val="subscript"/>
        <sz val="11"/>
        <color theme="1"/>
        <rFont val="Symbol"/>
        <family val="1"/>
        <charset val="2"/>
      </rPr>
      <t>a</t>
    </r>
    <r>
      <rPr>
        <i/>
        <vertAlign val="subscript"/>
        <sz val="11"/>
        <color theme="1"/>
        <rFont val="Arial"/>
        <family val="2"/>
        <charset val="238"/>
      </rPr>
      <t>L</t>
    </r>
    <r>
      <rPr>
        <sz val="11"/>
        <color theme="1"/>
        <rFont val="Czcionka tekstu podstawowego"/>
        <family val="2"/>
        <charset val="238"/>
      </rPr>
      <t xml:space="preserve"> =</t>
    </r>
  </si>
  <si>
    <t>kNm</t>
  </si>
  <si>
    <r>
      <rPr>
        <i/>
        <sz val="11"/>
        <color theme="1"/>
        <rFont val="Czcionka tekstu podstawowego"/>
        <charset val="238"/>
      </rPr>
      <t>M</t>
    </r>
    <r>
      <rPr>
        <i/>
        <vertAlign val="subscript"/>
        <sz val="11"/>
        <color theme="1"/>
        <rFont val="Czcionka tekstu podstawowego"/>
        <charset val="238"/>
      </rPr>
      <t>s</t>
    </r>
    <r>
      <rPr>
        <i/>
        <vertAlign val="subscript"/>
        <sz val="11"/>
        <color theme="1"/>
        <rFont val="Symbol"/>
        <family val="1"/>
        <charset val="2"/>
      </rPr>
      <t>a</t>
    </r>
    <r>
      <rPr>
        <i/>
        <vertAlign val="subscript"/>
        <sz val="11"/>
        <color theme="1"/>
        <rFont val="Arial"/>
        <family val="2"/>
        <charset val="238"/>
      </rPr>
      <t>L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</si>
  <si>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indexed="8"/>
        <rFont val="Symbol"/>
        <family val="1"/>
        <charset val="2"/>
      </rPr>
      <t>S</t>
    </r>
    <r>
      <rPr>
        <i/>
        <sz val="11"/>
        <color indexed="8"/>
        <rFont val="Czcionka tekstu podstawowego"/>
        <charset val="238"/>
      </rPr>
      <t xml:space="preserve">g = </t>
    </r>
  </si>
  <si>
    <r>
      <rPr>
        <i/>
        <sz val="11"/>
        <color indexed="8"/>
        <rFont val="Symbol"/>
        <family val="1"/>
        <charset val="2"/>
      </rPr>
      <t>S</t>
    </r>
    <r>
      <rPr>
        <i/>
        <sz val="11"/>
        <color indexed="8"/>
        <rFont val="Czcionka tekstu podstawowego"/>
        <charset val="238"/>
      </rPr>
      <t xml:space="preserve">p = </t>
    </r>
  </si>
  <si>
    <r>
      <t xml:space="preserve"> 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yd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</si>
  <si>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 xml:space="preserve"> 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yk</t>
    </r>
    <r>
      <rPr>
        <sz val="11"/>
        <color theme="1"/>
        <rFont val="Czcionka tekstu podstawowego"/>
        <family val="2"/>
        <charset val="238"/>
      </rPr>
      <t xml:space="preserve"> =</t>
    </r>
  </si>
  <si>
    <t>S460 NH/NLH</t>
  </si>
  <si>
    <t>B500B</t>
  </si>
  <si>
    <r>
      <t xml:space="preserve"> 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sk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</si>
  <si>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 xml:space="preserve"> 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sd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</si>
  <si>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>A</t>
    </r>
    <r>
      <rPr>
        <i/>
        <vertAlign val="subscript"/>
        <sz val="11"/>
        <color theme="1"/>
        <rFont val="Czcionka tekstu podstawowego"/>
        <charset val="238"/>
      </rPr>
      <t xml:space="preserve">sd </t>
    </r>
    <r>
      <rPr>
        <sz val="11"/>
        <color theme="1"/>
        <rFont val="Czcionka tekstu podstawowego"/>
        <charset val="238"/>
      </rPr>
      <t>=</t>
    </r>
  </si>
  <si>
    <r>
      <t>A</t>
    </r>
    <r>
      <rPr>
        <i/>
        <vertAlign val="subscript"/>
        <sz val="11"/>
        <color theme="1"/>
        <rFont val="Czcionka tekstu podstawowego"/>
        <charset val="238"/>
      </rPr>
      <t xml:space="preserve">sg </t>
    </r>
    <r>
      <rPr>
        <sz val="11"/>
        <color theme="1"/>
        <rFont val="Czcionka tekstu podstawowego"/>
        <charset val="238"/>
      </rPr>
      <t>=</t>
    </r>
  </si>
  <si>
    <r>
      <t>kN/cm</t>
    </r>
    <r>
      <rPr>
        <vertAlign val="superscript"/>
        <sz val="11"/>
        <color theme="1"/>
        <rFont val="Czcionka tekstu podstawowego"/>
        <charset val="238"/>
      </rPr>
      <t>2</t>
    </r>
  </si>
  <si>
    <r>
      <rPr>
        <i/>
        <sz val="11"/>
        <color theme="1"/>
        <rFont val="Czcionka tekstu podstawowego"/>
        <charset val="238"/>
      </rPr>
      <t>x</t>
    </r>
    <r>
      <rPr>
        <i/>
        <vertAlign val="subscript"/>
        <sz val="11"/>
        <color theme="1"/>
        <rFont val="Czcionka tekstu podstawowego"/>
        <charset val="238"/>
      </rPr>
      <t>pl</t>
    </r>
    <r>
      <rPr>
        <sz val="11"/>
        <color theme="1"/>
        <rFont val="Czcionka tekstu podstawowego"/>
        <family val="2"/>
        <charset val="238"/>
      </rPr>
      <t xml:space="preserve"> =</t>
    </r>
  </si>
  <si>
    <t>kN/cm</t>
  </si>
  <si>
    <t>kNcm</t>
  </si>
  <si>
    <r>
      <t>M</t>
    </r>
    <r>
      <rPr>
        <i/>
        <vertAlign val="subscript"/>
        <sz val="11"/>
        <color theme="1"/>
        <rFont val="Czcionka tekstu podstawowego"/>
        <charset val="238"/>
      </rPr>
      <t>Rdd</t>
    </r>
    <r>
      <rPr>
        <i/>
        <sz val="11"/>
        <color theme="1"/>
        <rFont val="Czcionka tekstu podstawowego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</si>
  <si>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x</t>
    </r>
    <r>
      <rPr>
        <i/>
        <vertAlign val="subscript"/>
        <sz val="11"/>
        <color theme="1"/>
        <rFont val="Czcionka tekstu podstawowego"/>
        <charset val="238"/>
      </rPr>
      <t>pl</t>
    </r>
    <r>
      <rPr>
        <sz val="11"/>
        <color theme="1"/>
        <rFont val="Czcionka tekstu podstawowego"/>
        <family val="2"/>
        <charset val="238"/>
      </rPr>
      <t xml:space="preserve"> - </t>
    </r>
    <r>
      <rPr>
        <i/>
        <sz val="11"/>
        <color theme="1"/>
        <rFont val="Czcionka tekstu podstawowego"/>
        <charset val="238"/>
      </rPr>
      <t>a</t>
    </r>
    <r>
      <rPr>
        <i/>
        <vertAlign val="subscript"/>
        <sz val="11"/>
        <color theme="1"/>
        <rFont val="Czcionka tekstu podstawowego"/>
        <charset val="238"/>
      </rPr>
      <t>g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</si>
  <si>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H</t>
    </r>
    <r>
      <rPr>
        <i/>
        <vertAlign val="subscript"/>
        <sz val="11"/>
        <color theme="1"/>
        <rFont val="Czcionka tekstu podstawowego"/>
        <charset val="238"/>
      </rPr>
      <t>c</t>
    </r>
    <r>
      <rPr>
        <sz val="11"/>
        <color theme="1"/>
        <rFont val="Czcionka tekstu podstawowego"/>
        <family val="2"/>
        <charset val="238"/>
      </rPr>
      <t xml:space="preserve"> - </t>
    </r>
    <r>
      <rPr>
        <i/>
        <sz val="11"/>
        <color theme="1"/>
        <rFont val="Czcionka tekstu podstawowego"/>
        <charset val="238"/>
      </rPr>
      <t>h</t>
    </r>
    <r>
      <rPr>
        <i/>
        <vertAlign val="subscript"/>
        <sz val="11"/>
        <color theme="1"/>
        <rFont val="Czcionka tekstu podstawowego"/>
        <charset val="238"/>
      </rPr>
      <t>s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</si>
  <si>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x</t>
    </r>
    <r>
      <rPr>
        <i/>
        <vertAlign val="subscript"/>
        <sz val="11"/>
        <color theme="1"/>
        <rFont val="Czcionka tekstu podstawowego"/>
        <charset val="238"/>
      </rPr>
      <t>pl</t>
    </r>
    <r>
      <rPr>
        <sz val="11"/>
        <color theme="1"/>
        <rFont val="Czcionka tekstu podstawowego"/>
        <family val="2"/>
        <charset val="238"/>
      </rPr>
      <t xml:space="preserve"> - </t>
    </r>
    <r>
      <rPr>
        <i/>
        <sz val="11"/>
        <color theme="1"/>
        <rFont val="Czcionka tekstu podstawowego"/>
        <charset val="238"/>
      </rPr>
      <t>(H</t>
    </r>
    <r>
      <rPr>
        <i/>
        <vertAlign val="subscript"/>
        <sz val="11"/>
        <color theme="1"/>
        <rFont val="Czcionka tekstu podstawowego"/>
        <charset val="238"/>
      </rPr>
      <t>c</t>
    </r>
    <r>
      <rPr>
        <i/>
        <sz val="11"/>
        <color theme="1"/>
        <rFont val="Czcionka tekstu podstawowego"/>
        <charset val="238"/>
      </rPr>
      <t xml:space="preserve"> - h</t>
    </r>
    <r>
      <rPr>
        <i/>
        <vertAlign val="subscript"/>
        <sz val="11"/>
        <color theme="1"/>
        <rFont val="Czcionka tekstu podstawowego"/>
        <charset val="238"/>
      </rPr>
      <t>s</t>
    </r>
    <r>
      <rPr>
        <i/>
        <sz val="11"/>
        <color theme="1"/>
        <rFont val="Czcionka tekstu podstawowego"/>
        <charset val="238"/>
      </rPr>
      <t>)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</si>
  <si>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>mm</t>
    </r>
    <r>
      <rPr>
        <vertAlign val="superscript"/>
        <sz val="11"/>
        <color theme="1"/>
        <rFont val="Czcionka tekstu podstawowego"/>
        <charset val="238"/>
      </rPr>
      <t>2</t>
    </r>
  </si>
  <si>
    <r>
      <t>(</t>
    </r>
    <r>
      <rPr>
        <i/>
        <sz val="11"/>
        <color theme="1"/>
        <rFont val="Czcionka tekstu podstawowego"/>
        <charset val="238"/>
      </rPr>
      <t>x</t>
    </r>
    <r>
      <rPr>
        <i/>
        <vertAlign val="subscript"/>
        <sz val="11"/>
        <color theme="1"/>
        <rFont val="Czcionka tekstu podstawowego"/>
        <charset val="238"/>
      </rPr>
      <t>pl</t>
    </r>
    <r>
      <rPr>
        <sz val="11"/>
        <color theme="1"/>
        <rFont val="Czcionka tekstu podstawowego"/>
        <family val="2"/>
        <charset val="238"/>
      </rPr>
      <t xml:space="preserve"> - </t>
    </r>
    <r>
      <rPr>
        <i/>
        <sz val="11"/>
        <color theme="1"/>
        <rFont val="Czcionka tekstu podstawowego"/>
        <charset val="238"/>
      </rPr>
      <t>(H</t>
    </r>
    <r>
      <rPr>
        <i/>
        <vertAlign val="subscript"/>
        <sz val="11"/>
        <color theme="1"/>
        <rFont val="Czcionka tekstu podstawowego"/>
        <charset val="238"/>
      </rPr>
      <t>c</t>
    </r>
    <r>
      <rPr>
        <i/>
        <sz val="11"/>
        <color theme="1"/>
        <rFont val="Czcionka tekstu podstawowego"/>
        <charset val="238"/>
      </rPr>
      <t xml:space="preserve"> - h</t>
    </r>
    <r>
      <rPr>
        <i/>
        <vertAlign val="subscript"/>
        <sz val="11"/>
        <color theme="1"/>
        <rFont val="Czcionka tekstu podstawowego"/>
        <charset val="238"/>
      </rPr>
      <t>s</t>
    </r>
    <r>
      <rPr>
        <i/>
        <sz val="11"/>
        <color theme="1"/>
        <rFont val="Czcionka tekstu podstawowego"/>
        <charset val="238"/>
      </rPr>
      <t>))</t>
    </r>
    <r>
      <rPr>
        <vertAlign val="superscript"/>
        <sz val="11"/>
        <color theme="1"/>
        <rFont val="Czcionka tekstu podstawowego"/>
        <charset val="238"/>
      </rPr>
      <t>2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</si>
  <si>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a</t>
    </r>
    <r>
      <rPr>
        <i/>
        <vertAlign val="subscript"/>
        <sz val="11"/>
        <color theme="1"/>
        <rFont val="Czcionka tekstu podstawowego"/>
        <charset val="238"/>
      </rPr>
      <t>d</t>
    </r>
    <r>
      <rPr>
        <sz val="11"/>
        <color theme="1"/>
        <rFont val="Czcionka tekstu podstawowego"/>
        <family val="2"/>
        <charset val="238"/>
      </rPr>
      <t xml:space="preserve"> - </t>
    </r>
    <r>
      <rPr>
        <i/>
        <sz val="11"/>
        <color theme="1"/>
        <rFont val="Czcionka tekstu podstawowego"/>
        <charset val="238"/>
      </rPr>
      <t>(H</t>
    </r>
    <r>
      <rPr>
        <i/>
        <vertAlign val="subscript"/>
        <sz val="11"/>
        <color theme="1"/>
        <rFont val="Czcionka tekstu podstawowego"/>
        <charset val="238"/>
      </rPr>
      <t>c</t>
    </r>
    <r>
      <rPr>
        <i/>
        <sz val="11"/>
        <color theme="1"/>
        <rFont val="Czcionka tekstu podstawowego"/>
        <charset val="238"/>
      </rPr>
      <t xml:space="preserve"> - x</t>
    </r>
    <r>
      <rPr>
        <i/>
        <vertAlign val="subscript"/>
        <sz val="11"/>
        <color theme="1"/>
        <rFont val="Czcionka tekstu podstawowego"/>
        <charset val="238"/>
      </rPr>
      <t>pl</t>
    </r>
    <r>
      <rPr>
        <i/>
        <sz val="11"/>
        <color theme="1"/>
        <rFont val="Czcionka tekstu podstawowego"/>
        <charset val="238"/>
      </rPr>
      <t>)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</si>
  <si>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x</t>
    </r>
    <r>
      <rPr>
        <i/>
        <vertAlign val="subscript"/>
        <sz val="11"/>
        <color theme="1"/>
        <rFont val="Czcionka tekstu podstawowego"/>
        <charset val="238"/>
      </rPr>
      <t>pl</t>
    </r>
    <r>
      <rPr>
        <sz val="11"/>
        <color theme="1"/>
        <rFont val="Czcionka tekstu podstawowego"/>
        <family val="2"/>
        <charset val="238"/>
      </rPr>
      <t xml:space="preserve"> - </t>
    </r>
    <r>
      <rPr>
        <i/>
        <sz val="11"/>
        <color theme="1"/>
        <rFont val="Czcionka tekstu podstawowego"/>
        <charset val="238"/>
      </rPr>
      <t>(H</t>
    </r>
    <r>
      <rPr>
        <i/>
        <vertAlign val="subscript"/>
        <sz val="11"/>
        <color theme="1"/>
        <rFont val="Czcionka tekstu podstawowego"/>
        <charset val="238"/>
      </rPr>
      <t>c</t>
    </r>
    <r>
      <rPr>
        <i/>
        <sz val="11"/>
        <color theme="1"/>
        <rFont val="Czcionka tekstu podstawowego"/>
        <charset val="238"/>
      </rPr>
      <t xml:space="preserve"> - h</t>
    </r>
    <r>
      <rPr>
        <i/>
        <vertAlign val="subscript"/>
        <sz val="11"/>
        <color theme="1"/>
        <rFont val="Czcionka tekstu podstawowego"/>
        <charset val="238"/>
      </rPr>
      <t>s</t>
    </r>
    <r>
      <rPr>
        <i/>
        <sz val="11"/>
        <color theme="1"/>
        <rFont val="Czcionka tekstu podstawowego"/>
        <charset val="238"/>
      </rPr>
      <t>)</t>
    </r>
    <r>
      <rPr>
        <sz val="11"/>
        <color theme="1"/>
        <rFont val="Czcionka tekstu podstawowego"/>
        <family val="2"/>
        <charset val="238"/>
      </rPr>
      <t xml:space="preserve"> - </t>
    </r>
    <r>
      <rPr>
        <i/>
        <sz val="11"/>
        <color theme="1"/>
        <rFont val="Czcionka tekstu podstawowego"/>
        <charset val="238"/>
      </rPr>
      <t>h</t>
    </r>
    <r>
      <rPr>
        <vertAlign val="subscript"/>
        <sz val="11"/>
        <color theme="1"/>
        <rFont val="Czcionka tekstu podstawowego"/>
        <charset val="238"/>
      </rPr>
      <t>0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</si>
  <si>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>M</t>
    </r>
    <r>
      <rPr>
        <i/>
        <vertAlign val="subscript"/>
        <sz val="11"/>
        <color theme="1"/>
        <rFont val="Czcionka tekstu podstawowego"/>
        <charset val="238"/>
      </rPr>
      <t>Rdg</t>
    </r>
    <r>
      <rPr>
        <i/>
        <sz val="11"/>
        <color theme="1"/>
        <rFont val="Czcionka tekstu podstawowego"/>
        <charset val="238"/>
      </rPr>
      <t xml:space="preserve"> =</t>
    </r>
  </si>
  <si>
    <t xml:space="preserve">kNm </t>
  </si>
  <si>
    <r>
      <rPr>
        <i/>
        <sz val="11"/>
        <color theme="1"/>
        <rFont val="Czcionka tekstu podstawowego"/>
        <charset val="238"/>
      </rPr>
      <t>(H</t>
    </r>
    <r>
      <rPr>
        <i/>
        <vertAlign val="subscript"/>
        <sz val="11"/>
        <color theme="1"/>
        <rFont val="Czcionka tekstu podstawowego"/>
        <charset val="238"/>
      </rPr>
      <t>c</t>
    </r>
    <r>
      <rPr>
        <i/>
        <sz val="11"/>
        <color theme="1"/>
        <rFont val="Czcionka tekstu podstawowego"/>
        <charset val="238"/>
      </rPr>
      <t xml:space="preserve"> - x</t>
    </r>
    <r>
      <rPr>
        <i/>
        <vertAlign val="subscript"/>
        <sz val="11"/>
        <color theme="1"/>
        <rFont val="Czcionka tekstu podstawowego"/>
        <charset val="238"/>
      </rPr>
      <t>pl</t>
    </r>
    <r>
      <rPr>
        <i/>
        <sz val="11"/>
        <color theme="1"/>
        <rFont val="Czcionka tekstu podstawowego"/>
        <charset val="238"/>
      </rPr>
      <t>)</t>
    </r>
    <r>
      <rPr>
        <sz val="11"/>
        <color theme="1"/>
        <rFont val="Czcionka tekstu podstawowego"/>
        <family val="2"/>
        <charset val="238"/>
      </rPr>
      <t xml:space="preserve"> +</t>
    </r>
    <r>
      <rPr>
        <i/>
        <sz val="11"/>
        <color theme="1"/>
        <rFont val="Czcionka tekstu podstawowego"/>
        <charset val="238"/>
      </rPr>
      <t xml:space="preserve"> t</t>
    </r>
    <r>
      <rPr>
        <i/>
        <vertAlign val="subscript"/>
        <sz val="11"/>
        <color theme="1"/>
        <rFont val="Czcionka tekstu podstawowego"/>
        <charset val="238"/>
      </rPr>
      <t>f</t>
    </r>
    <r>
      <rPr>
        <sz val="11"/>
        <color theme="1"/>
        <rFont val="Czcionka tekstu podstawowego"/>
        <family val="2"/>
        <charset val="238"/>
      </rPr>
      <t>/2 =</t>
    </r>
  </si>
  <si>
    <r>
      <rPr>
        <i/>
        <sz val="11"/>
        <color theme="1"/>
        <rFont val="Czcionka tekstu podstawowego"/>
        <charset val="238"/>
      </rPr>
      <t>x</t>
    </r>
    <r>
      <rPr>
        <i/>
        <vertAlign val="subscript"/>
        <sz val="11"/>
        <color theme="1"/>
        <rFont val="Czcionka tekstu podstawowego"/>
        <charset val="238"/>
      </rPr>
      <t>pl</t>
    </r>
    <r>
      <rPr>
        <sz val="11"/>
        <color theme="1"/>
        <rFont val="Czcionka tekstu podstawowego"/>
        <family val="2"/>
        <charset val="238"/>
      </rPr>
      <t xml:space="preserve"> - </t>
    </r>
    <r>
      <rPr>
        <i/>
        <sz val="11"/>
        <color theme="1"/>
        <rFont val="Czcionka tekstu podstawowego"/>
        <charset val="238"/>
      </rPr>
      <t>h</t>
    </r>
    <r>
      <rPr>
        <vertAlign val="subscript"/>
        <sz val="11"/>
        <color theme="1"/>
        <rFont val="Czcionka tekstu podstawowego"/>
        <charset val="238"/>
      </rPr>
      <t>0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</si>
  <si>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 xml:space="preserve"> 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u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</si>
  <si>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>g</t>
    </r>
    <r>
      <rPr>
        <vertAlign val="subscript"/>
        <sz val="11"/>
        <color theme="1"/>
        <rFont val="Arial"/>
        <family val="2"/>
        <charset val="238"/>
      </rPr>
      <t>v =</t>
    </r>
  </si>
  <si>
    <t>d =</t>
  </si>
  <si>
    <r>
      <t>h</t>
    </r>
    <r>
      <rPr>
        <vertAlign val="subscript"/>
        <sz val="10"/>
        <color theme="1"/>
        <rFont val="Arial"/>
        <family val="2"/>
        <charset val="238"/>
      </rPr>
      <t xml:space="preserve">sc </t>
    </r>
    <r>
      <rPr>
        <sz val="10"/>
        <color theme="1"/>
        <rFont val="Arial"/>
        <family val="2"/>
        <charset val="238"/>
      </rPr>
      <t>=</t>
    </r>
  </si>
  <si>
    <r>
      <t>h</t>
    </r>
    <r>
      <rPr>
        <vertAlign val="subscript"/>
        <sz val="10"/>
        <color theme="1"/>
        <rFont val="Arial"/>
        <family val="2"/>
        <charset val="238"/>
      </rPr>
      <t xml:space="preserve">sc </t>
    </r>
    <r>
      <rPr>
        <sz val="10"/>
        <color theme="1"/>
        <rFont val="Arial"/>
        <family val="2"/>
        <charset val="238"/>
      </rPr>
      <t xml:space="preserve">/ </t>
    </r>
    <r>
      <rPr>
        <i/>
        <sz val="10"/>
        <color theme="1"/>
        <rFont val="Arial"/>
        <family val="2"/>
        <charset val="238"/>
      </rPr>
      <t>d</t>
    </r>
    <r>
      <rPr>
        <vertAlign val="subscript"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=</t>
    </r>
  </si>
  <si>
    <t>a =</t>
  </si>
  <si>
    <r>
      <rPr>
        <i/>
        <sz val="11"/>
        <color theme="1"/>
        <rFont val="Czcionka tekstu podstawowego"/>
        <charset val="238"/>
      </rPr>
      <t>P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 xml:space="preserve"> 6.18 </t>
    </r>
    <r>
      <rPr>
        <sz val="11"/>
        <color theme="1"/>
        <rFont val="Czcionka tekstu podstawowego"/>
        <family val="2"/>
        <charset val="238"/>
      </rPr>
      <t>=</t>
    </r>
  </si>
  <si>
    <r>
      <rPr>
        <i/>
        <sz val="11"/>
        <color theme="1"/>
        <rFont val="Czcionka tekstu podstawowego"/>
        <charset val="238"/>
      </rPr>
      <t>A</t>
    </r>
    <r>
      <rPr>
        <i/>
        <vertAlign val="subscript"/>
        <sz val="11"/>
        <color theme="1"/>
        <rFont val="Czcionka tekstu podstawowego"/>
        <charset val="238"/>
      </rPr>
      <t>b</t>
    </r>
    <r>
      <rPr>
        <i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family val="2"/>
        <charset val="238"/>
      </rPr>
      <t>=</t>
    </r>
  </si>
  <si>
    <r>
      <rPr>
        <i/>
        <sz val="11"/>
        <color theme="1"/>
        <rFont val="Czcionka tekstu podstawowego"/>
        <charset val="238"/>
      </rPr>
      <t>P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 xml:space="preserve"> 6.19 </t>
    </r>
    <r>
      <rPr>
        <sz val="11"/>
        <color theme="1"/>
        <rFont val="Czcionka tekstu podstawowego"/>
        <family val="2"/>
        <charset val="238"/>
      </rPr>
      <t>=</t>
    </r>
  </si>
  <si>
    <t>Trzpienie  położone  poziomo - nośność na ścinanie podłużne</t>
  </si>
  <si>
    <r>
      <t>M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>1</t>
    </r>
    <r>
      <rPr>
        <i/>
        <sz val="11"/>
        <color theme="1"/>
        <rFont val="Czcionka tekstu podstawowego"/>
        <charset val="238"/>
      </rPr>
      <t xml:space="preserve"> =</t>
    </r>
  </si>
  <si>
    <r>
      <t>M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>2</t>
    </r>
    <r>
      <rPr>
        <i/>
        <sz val="11"/>
        <color theme="1"/>
        <rFont val="Czcionka tekstu podstawowego"/>
        <charset val="238"/>
      </rPr>
      <t xml:space="preserve"> =</t>
    </r>
  </si>
  <si>
    <r>
      <t>M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>3</t>
    </r>
    <r>
      <rPr>
        <i/>
        <sz val="11"/>
        <color theme="1"/>
        <rFont val="Czcionka tekstu podstawowego"/>
        <charset val="238"/>
      </rPr>
      <t xml:space="preserve"> =</t>
    </r>
  </si>
  <si>
    <r>
      <t>M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>4</t>
    </r>
    <r>
      <rPr>
        <i/>
        <sz val="11"/>
        <color theme="1"/>
        <rFont val="Czcionka tekstu podstawowego"/>
        <charset val="238"/>
      </rPr>
      <t xml:space="preserve"> =</t>
    </r>
  </si>
  <si>
    <r>
      <t>M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>5</t>
    </r>
    <r>
      <rPr>
        <i/>
        <sz val="11"/>
        <color theme="1"/>
        <rFont val="Czcionka tekstu podstawowego"/>
        <charset val="238"/>
      </rPr>
      <t xml:space="preserve"> =</t>
    </r>
  </si>
  <si>
    <r>
      <t>M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>6</t>
    </r>
    <r>
      <rPr>
        <i/>
        <sz val="11"/>
        <color theme="1"/>
        <rFont val="Czcionka tekstu podstawowego"/>
        <charset val="238"/>
      </rPr>
      <t xml:space="preserve"> =</t>
    </r>
  </si>
  <si>
    <r>
      <t>M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>7</t>
    </r>
    <r>
      <rPr>
        <i/>
        <sz val="11"/>
        <color theme="1"/>
        <rFont val="Czcionka tekstu podstawowego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</si>
  <si>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H</t>
    </r>
    <r>
      <rPr>
        <i/>
        <vertAlign val="subscript"/>
        <sz val="11"/>
        <color theme="1"/>
        <rFont val="Czcionka tekstu podstawowego"/>
        <charset val="238"/>
      </rPr>
      <t>c</t>
    </r>
    <r>
      <rPr>
        <i/>
        <sz val="11"/>
        <color theme="1"/>
        <rFont val="Czcionka tekstu podstawowego"/>
        <charset val="238"/>
      </rPr>
      <t xml:space="preserve"> - x</t>
    </r>
    <r>
      <rPr>
        <i/>
        <vertAlign val="subscript"/>
        <sz val="11"/>
        <color theme="1"/>
        <rFont val="Czcionka tekstu podstawowego"/>
        <charset val="238"/>
      </rPr>
      <t>pl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</si>
  <si>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H</t>
    </r>
    <r>
      <rPr>
        <i/>
        <vertAlign val="subscript"/>
        <sz val="11"/>
        <color theme="1"/>
        <rFont val="Czcionka tekstu podstawowego"/>
        <charset val="238"/>
      </rPr>
      <t>c</t>
    </r>
    <r>
      <rPr>
        <i/>
        <sz val="11"/>
        <color theme="1"/>
        <rFont val="Czcionka tekstu podstawowego"/>
        <charset val="238"/>
      </rPr>
      <t xml:space="preserve"> - x</t>
    </r>
    <r>
      <rPr>
        <i/>
        <vertAlign val="subscript"/>
        <sz val="11"/>
        <color theme="1"/>
        <rFont val="Czcionka tekstu podstawowego"/>
        <charset val="238"/>
      </rPr>
      <t>pl</t>
    </r>
    <r>
      <rPr>
        <sz val="11"/>
        <color theme="1"/>
        <rFont val="Czcionka tekstu podstawowego"/>
        <family val="2"/>
        <charset val="238"/>
      </rPr>
      <t xml:space="preserve"> + </t>
    </r>
    <r>
      <rPr>
        <i/>
        <sz val="11"/>
        <color theme="1"/>
        <rFont val="Czcionka tekstu podstawowego"/>
        <family val="2"/>
        <charset val="238"/>
      </rPr>
      <t>t</t>
    </r>
    <r>
      <rPr>
        <i/>
        <vertAlign val="subscript"/>
        <sz val="11"/>
        <color theme="1"/>
        <rFont val="Cambria"/>
        <family val="1"/>
        <charset val="238"/>
        <scheme val="major"/>
      </rPr>
      <t>f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</si>
  <si>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H</t>
    </r>
    <r>
      <rPr>
        <i/>
        <vertAlign val="subscript"/>
        <sz val="11"/>
        <color theme="1"/>
        <rFont val="Czcionka tekstu podstawowego"/>
        <charset val="238"/>
      </rPr>
      <t>c</t>
    </r>
    <r>
      <rPr>
        <i/>
        <sz val="11"/>
        <color theme="1"/>
        <rFont val="Czcionka tekstu podstawowego"/>
        <charset val="238"/>
      </rPr>
      <t xml:space="preserve"> - h</t>
    </r>
    <r>
      <rPr>
        <vertAlign val="subscript"/>
        <sz val="11"/>
        <color theme="1"/>
        <rFont val="Czcionka tekstu podstawowego"/>
        <charset val="238"/>
      </rPr>
      <t>0</t>
    </r>
    <r>
      <rPr>
        <sz val="11"/>
        <color theme="1"/>
        <rFont val="Czcionka tekstu podstawowego"/>
        <family val="2"/>
        <charset val="238"/>
      </rPr>
      <t xml:space="preserve"> + </t>
    </r>
    <r>
      <rPr>
        <i/>
        <sz val="11"/>
        <color theme="1"/>
        <rFont val="Czcionka tekstu podstawowego"/>
        <family val="2"/>
        <charset val="238"/>
      </rPr>
      <t>t</t>
    </r>
    <r>
      <rPr>
        <i/>
        <vertAlign val="subscript"/>
        <sz val="11"/>
        <color theme="1"/>
        <rFont val="Cambria"/>
        <family val="1"/>
        <charset val="238"/>
        <scheme val="major"/>
      </rPr>
      <t>f</t>
    </r>
    <r>
      <rPr>
        <sz val="11"/>
        <color theme="1"/>
        <rFont val="Czcionka tekstu podstawowego"/>
        <family val="2"/>
        <charset val="238"/>
      </rPr>
      <t>/2 =</t>
    </r>
  </si>
  <si>
    <r>
      <t xml:space="preserve"> </t>
    </r>
    <r>
      <rPr>
        <i/>
        <sz val="12"/>
        <color theme="1"/>
        <rFont val="Times New Roman"/>
        <family val="1"/>
        <charset val="238"/>
      </rPr>
      <t>f</t>
    </r>
    <r>
      <rPr>
        <i/>
        <vertAlign val="subscript"/>
        <sz val="12"/>
        <color theme="1"/>
        <rFont val="Times New Roman"/>
        <family val="1"/>
        <charset val="238"/>
      </rPr>
      <t>ck</t>
    </r>
    <r>
      <rPr>
        <sz val="12"/>
        <color theme="1"/>
        <rFont val="Times New Roman"/>
        <family val="1"/>
        <charset val="238"/>
      </rPr>
      <t xml:space="preserve"> =</t>
    </r>
  </si>
  <si>
    <r>
      <t>s</t>
    </r>
    <r>
      <rPr>
        <i/>
        <vertAlign val="subscript"/>
        <sz val="12"/>
        <color theme="1"/>
        <rFont val="Times New Roman"/>
        <family val="1"/>
        <charset val="238"/>
      </rPr>
      <t xml:space="preserve"> </t>
    </r>
    <r>
      <rPr>
        <i/>
        <sz val="12"/>
        <color theme="1"/>
        <rFont val="Times New Roman"/>
        <family val="1"/>
        <charset val="238"/>
      </rPr>
      <t>=</t>
    </r>
  </si>
  <si>
    <r>
      <rPr>
        <i/>
        <sz val="12"/>
        <color theme="1"/>
        <rFont val="Times New Roman"/>
        <family val="1"/>
        <charset val="238"/>
      </rPr>
      <t>P</t>
    </r>
    <r>
      <rPr>
        <i/>
        <vertAlign val="subscript"/>
        <sz val="12"/>
        <color theme="1"/>
        <rFont val="Times New Roman"/>
        <family val="1"/>
        <charset val="238"/>
      </rPr>
      <t>Rd,L</t>
    </r>
    <r>
      <rPr>
        <vertAlign val="subscript"/>
        <sz val="12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=</t>
    </r>
  </si>
  <si>
    <r>
      <rPr>
        <i/>
        <sz val="12"/>
        <color theme="1"/>
        <rFont val="Times New Roman"/>
        <family val="1"/>
        <charset val="238"/>
      </rPr>
      <t>P</t>
    </r>
    <r>
      <rPr>
        <i/>
        <vertAlign val="subscript"/>
        <sz val="12"/>
        <color theme="1"/>
        <rFont val="Times New Roman"/>
        <family val="1"/>
        <charset val="238"/>
      </rPr>
      <t>Rd,V</t>
    </r>
    <r>
      <rPr>
        <vertAlign val="subscript"/>
        <sz val="12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=</t>
    </r>
  </si>
  <si>
    <r>
      <t>a'</t>
    </r>
    <r>
      <rPr>
        <i/>
        <vertAlign val="subscript"/>
        <sz val="12"/>
        <color theme="1"/>
        <rFont val="Times New Roman"/>
        <family val="1"/>
        <charset val="238"/>
      </rPr>
      <t xml:space="preserve">r </t>
    </r>
    <r>
      <rPr>
        <i/>
        <sz val="12"/>
        <color theme="1"/>
        <rFont val="Times New Roman"/>
        <family val="1"/>
        <charset val="238"/>
      </rPr>
      <t>=</t>
    </r>
  </si>
  <si>
    <r>
      <rPr>
        <i/>
        <sz val="12"/>
        <color theme="1"/>
        <rFont val="Symbol"/>
        <family val="1"/>
        <charset val="2"/>
      </rPr>
      <t>f</t>
    </r>
    <r>
      <rPr>
        <i/>
        <vertAlign val="subscript"/>
        <sz val="12"/>
        <color theme="1"/>
        <rFont val="Times New Roman"/>
        <family val="1"/>
        <charset val="238"/>
      </rPr>
      <t>l</t>
    </r>
    <r>
      <rPr>
        <i/>
        <sz val="12"/>
        <color theme="1"/>
        <rFont val="Times New Roman"/>
        <family val="1"/>
        <charset val="238"/>
      </rPr>
      <t xml:space="preserve"> =</t>
    </r>
  </si>
  <si>
    <r>
      <rPr>
        <i/>
        <sz val="12"/>
        <color theme="1"/>
        <rFont val="Symbol"/>
        <family val="1"/>
        <charset val="2"/>
      </rPr>
      <t>f</t>
    </r>
    <r>
      <rPr>
        <i/>
        <vertAlign val="subscript"/>
        <sz val="12"/>
        <color theme="1"/>
        <rFont val="Times New Roman"/>
        <family val="1"/>
        <charset val="238"/>
      </rPr>
      <t>s</t>
    </r>
    <r>
      <rPr>
        <i/>
        <sz val="12"/>
        <color theme="1"/>
        <rFont val="Times New Roman"/>
        <family val="1"/>
        <charset val="238"/>
      </rPr>
      <t xml:space="preserve"> =</t>
    </r>
  </si>
  <si>
    <r>
      <t>a'</t>
    </r>
    <r>
      <rPr>
        <i/>
        <vertAlign val="subscript"/>
        <sz val="12"/>
        <color theme="1"/>
        <rFont val="Times New Roman"/>
        <family val="1"/>
        <charset val="238"/>
      </rPr>
      <t xml:space="preserve">r,o </t>
    </r>
    <r>
      <rPr>
        <i/>
        <sz val="12"/>
        <color theme="1"/>
        <rFont val="Times New Roman"/>
        <family val="1"/>
        <charset val="238"/>
      </rPr>
      <t>=</t>
    </r>
  </si>
  <si>
    <r>
      <t>g</t>
    </r>
    <r>
      <rPr>
        <i/>
        <vertAlign val="subscript"/>
        <sz val="11"/>
        <color theme="1"/>
        <rFont val="Arial"/>
        <family val="2"/>
        <charset val="238"/>
      </rPr>
      <t xml:space="preserve">v </t>
    </r>
    <r>
      <rPr>
        <i/>
        <sz val="11"/>
        <color theme="1"/>
        <rFont val="Arial"/>
        <family val="2"/>
        <charset val="238"/>
      </rPr>
      <t>=</t>
    </r>
  </si>
  <si>
    <r>
      <rPr>
        <i/>
        <sz val="11"/>
        <color theme="1"/>
        <rFont val="Times New Roman"/>
        <family val="1"/>
        <charset val="238"/>
      </rPr>
      <t>k</t>
    </r>
    <r>
      <rPr>
        <i/>
        <vertAlign val="subscript"/>
        <sz val="11"/>
        <color theme="1"/>
        <rFont val="Arial"/>
        <family val="2"/>
        <charset val="238"/>
      </rPr>
      <t xml:space="preserve">v </t>
    </r>
    <r>
      <rPr>
        <i/>
        <sz val="11"/>
        <color theme="1"/>
        <rFont val="Arial"/>
        <family val="2"/>
        <charset val="238"/>
      </rPr>
      <t>=</t>
    </r>
  </si>
  <si>
    <r>
      <t>a</t>
    </r>
    <r>
      <rPr>
        <i/>
        <vertAlign val="subscript"/>
        <sz val="12"/>
        <color theme="1"/>
        <rFont val="Times New Roman"/>
        <family val="1"/>
        <charset val="238"/>
      </rPr>
      <t xml:space="preserve"> </t>
    </r>
    <r>
      <rPr>
        <i/>
        <sz val="12"/>
        <color theme="1"/>
        <rFont val="Times New Roman"/>
        <family val="1"/>
        <charset val="238"/>
      </rPr>
      <t>/ s</t>
    </r>
    <r>
      <rPr>
        <i/>
        <vertAlign val="subscript"/>
        <sz val="12"/>
        <color theme="1"/>
        <rFont val="Times New Roman"/>
        <family val="1"/>
        <charset val="238"/>
      </rPr>
      <t xml:space="preserve">  </t>
    </r>
    <r>
      <rPr>
        <i/>
        <sz val="12"/>
        <color theme="1"/>
        <rFont val="Times New Roman"/>
        <family val="1"/>
        <charset val="238"/>
      </rPr>
      <t>=</t>
    </r>
  </si>
  <si>
    <r>
      <t>da</t>
    </r>
    <r>
      <rPr>
        <i/>
        <vertAlign val="subscript"/>
        <sz val="12"/>
        <color theme="1"/>
        <rFont val="Times New Roman"/>
        <family val="1"/>
        <charset val="238"/>
      </rPr>
      <t xml:space="preserve"> </t>
    </r>
    <r>
      <rPr>
        <i/>
        <sz val="12"/>
        <color theme="1"/>
        <rFont val="Times New Roman"/>
        <family val="1"/>
        <charset val="238"/>
      </rPr>
      <t>/ s</t>
    </r>
    <r>
      <rPr>
        <i/>
        <vertAlign val="subscript"/>
        <sz val="12"/>
        <color theme="1"/>
        <rFont val="Times New Roman"/>
        <family val="1"/>
        <charset val="238"/>
      </rPr>
      <t xml:space="preserve">  </t>
    </r>
    <r>
      <rPr>
        <i/>
        <sz val="12"/>
        <color theme="1"/>
        <rFont val="Times New Roman"/>
        <family val="1"/>
        <charset val="238"/>
      </rPr>
      <t>=</t>
    </r>
  </si>
  <si>
    <r>
      <t xml:space="preserve"> </t>
    </r>
    <r>
      <rPr>
        <i/>
        <sz val="12"/>
        <color theme="1"/>
        <rFont val="Times New Roman"/>
        <family val="1"/>
        <charset val="238"/>
      </rPr>
      <t>f</t>
    </r>
    <r>
      <rPr>
        <i/>
        <vertAlign val="subscript"/>
        <sz val="12"/>
        <color theme="1"/>
        <rFont val="Times New Roman"/>
        <family val="1"/>
        <charset val="238"/>
      </rPr>
      <t>ck</t>
    </r>
    <r>
      <rPr>
        <sz val="12"/>
        <color theme="1"/>
        <rFont val="Times New Roman"/>
        <family val="1"/>
        <charset val="238"/>
      </rPr>
      <t xml:space="preserve"> </t>
    </r>
    <r>
      <rPr>
        <i/>
        <sz val="12"/>
        <color theme="1"/>
        <rFont val="Times New Roman"/>
        <family val="1"/>
        <charset val="238"/>
      </rPr>
      <t>d a'</t>
    </r>
    <r>
      <rPr>
        <i/>
        <vertAlign val="subscript"/>
        <sz val="12"/>
        <color theme="1"/>
        <rFont val="Times New Roman"/>
        <family val="1"/>
        <charset val="238"/>
      </rPr>
      <t>r</t>
    </r>
    <r>
      <rPr>
        <sz val="12"/>
        <color theme="1"/>
        <rFont val="Times New Roman"/>
        <family val="1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</si>
  <si>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c</t>
    </r>
    <r>
      <rPr>
        <i/>
        <vertAlign val="subscript"/>
        <sz val="11"/>
        <color theme="1"/>
        <rFont val="Czcionka tekstu podstawowego"/>
        <charset val="238"/>
      </rPr>
      <t>vg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</si>
  <si>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c</t>
    </r>
    <r>
      <rPr>
        <i/>
        <vertAlign val="subscript"/>
        <sz val="11"/>
        <color theme="1"/>
        <rFont val="Czcionka tekstu podstawowego"/>
        <charset val="238"/>
      </rPr>
      <t>vd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</si>
  <si>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Times New Roman"/>
        <family val="1"/>
        <charset val="238"/>
      </rPr>
      <t>c</t>
    </r>
    <r>
      <rPr>
        <i/>
        <vertAlign val="subscript"/>
        <sz val="11"/>
        <color theme="1"/>
        <rFont val="Arial"/>
        <family val="2"/>
        <charset val="238"/>
      </rPr>
      <t xml:space="preserve">vd </t>
    </r>
    <r>
      <rPr>
        <i/>
        <sz val="11"/>
        <color theme="1"/>
        <rFont val="Arial"/>
        <family val="2"/>
        <charset val="238"/>
      </rPr>
      <t>=</t>
    </r>
  </si>
  <si>
    <t>Typ bolca KB …</t>
  </si>
  <si>
    <t>N</t>
  </si>
  <si>
    <r>
      <t xml:space="preserve"> </t>
    </r>
    <r>
      <rPr>
        <i/>
        <sz val="12"/>
        <color theme="1"/>
        <rFont val="Times New Roman"/>
        <family val="1"/>
        <charset val="238"/>
      </rPr>
      <t>f</t>
    </r>
    <r>
      <rPr>
        <i/>
        <vertAlign val="subscript"/>
        <sz val="12"/>
        <color theme="1"/>
        <rFont val="Times New Roman"/>
        <family val="1"/>
        <charset val="238"/>
      </rPr>
      <t>ck</t>
    </r>
    <r>
      <rPr>
        <i/>
        <sz val="12"/>
        <color theme="1"/>
        <rFont val="Times New Roman"/>
        <family val="1"/>
        <charset val="238"/>
      </rPr>
      <t xml:space="preserve"> </t>
    </r>
    <r>
      <rPr>
        <i/>
        <sz val="12"/>
        <color theme="1"/>
        <rFont val="Symbol"/>
        <family val="1"/>
        <charset val="2"/>
      </rPr>
      <t>f</t>
    </r>
    <r>
      <rPr>
        <i/>
        <vertAlign val="subscript"/>
        <sz val="12"/>
        <color theme="1"/>
        <rFont val="Times New Roman"/>
        <family val="1"/>
        <charset val="238"/>
      </rPr>
      <t>l</t>
    </r>
    <r>
      <rPr>
        <sz val="12"/>
        <color theme="1"/>
        <rFont val="Times New Roman"/>
        <family val="1"/>
        <charset val="238"/>
      </rPr>
      <t xml:space="preserve"> =</t>
    </r>
  </si>
  <si>
    <t>N/mm</t>
  </si>
  <si>
    <r>
      <t xml:space="preserve">    a</t>
    </r>
    <r>
      <rPr>
        <i/>
        <vertAlign val="subscript"/>
        <sz val="12"/>
        <color theme="1"/>
        <rFont val="Times New Roman"/>
        <family val="1"/>
        <charset val="238"/>
      </rPr>
      <t xml:space="preserve"> </t>
    </r>
    <r>
      <rPr>
        <i/>
        <sz val="12"/>
        <color theme="1"/>
        <rFont val="Times New Roman"/>
        <family val="1"/>
        <charset val="238"/>
      </rPr>
      <t>= a</t>
    </r>
    <r>
      <rPr>
        <i/>
        <vertAlign val="subscript"/>
        <sz val="12"/>
        <color theme="1"/>
        <rFont val="Times New Roman"/>
        <family val="1"/>
        <charset val="238"/>
      </rPr>
      <t>KB</t>
    </r>
    <r>
      <rPr>
        <i/>
        <sz val="12"/>
        <color theme="1"/>
        <rFont val="Times New Roman"/>
        <family val="1"/>
        <charset val="238"/>
      </rPr>
      <t xml:space="preserve"> =</t>
    </r>
  </si>
  <si>
    <t>Siła w strefie ściskanej</t>
  </si>
  <si>
    <t>Siła w żelbecie ściskanym</t>
  </si>
  <si>
    <r>
      <rPr>
        <i/>
        <sz val="11"/>
        <color theme="1"/>
        <rFont val="Czcionka tekstu podstawowego"/>
        <charset val="238"/>
      </rPr>
      <t>M</t>
    </r>
    <r>
      <rPr>
        <i/>
        <vertAlign val="subscript"/>
        <sz val="11"/>
        <color theme="1"/>
        <rFont val="Czcionka tekstu podstawowego"/>
        <charset val="238"/>
      </rPr>
      <t>s</t>
    </r>
    <r>
      <rPr>
        <i/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</si>
  <si>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P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 xml:space="preserve"> 6.18 </t>
    </r>
    <r>
      <rPr>
        <sz val="11"/>
        <color theme="1"/>
        <rFont val="Czcionka tekstu podstawowego"/>
        <charset val="238"/>
      </rPr>
      <t>/</t>
    </r>
    <r>
      <rPr>
        <i/>
        <sz val="11"/>
        <color theme="1"/>
        <rFont val="Czcionka tekstu podstawowego"/>
        <charset val="238"/>
      </rPr>
      <t>N</t>
    </r>
    <r>
      <rPr>
        <i/>
        <vertAlign val="subscript"/>
        <sz val="11"/>
        <color theme="1"/>
        <rFont val="Czcionka tekstu podstawowego"/>
        <charset val="238"/>
      </rPr>
      <t>rd</t>
    </r>
    <r>
      <rPr>
        <vertAlign val="subscript"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family val="2"/>
        <charset val="238"/>
      </rPr>
      <t>=</t>
    </r>
  </si>
  <si>
    <r>
      <rPr>
        <i/>
        <sz val="11"/>
        <color theme="1"/>
        <rFont val="Times New Roman"/>
        <family val="1"/>
        <charset val="238"/>
      </rPr>
      <t>N</t>
    </r>
    <r>
      <rPr>
        <i/>
        <vertAlign val="subscript"/>
        <sz val="11"/>
        <color theme="1"/>
        <rFont val="Times New Roman"/>
        <family val="1"/>
        <charset val="238"/>
      </rPr>
      <t>rd</t>
    </r>
    <r>
      <rPr>
        <i/>
        <sz val="11"/>
        <color theme="1"/>
        <rFont val="Times New Roman"/>
        <family val="1"/>
        <charset val="238"/>
      </rPr>
      <t>/P</t>
    </r>
    <r>
      <rPr>
        <i/>
        <vertAlign val="subscript"/>
        <sz val="11"/>
        <color theme="1"/>
        <rFont val="Times New Roman"/>
        <family val="1"/>
        <charset val="238"/>
      </rPr>
      <t>Rd</t>
    </r>
    <r>
      <rPr>
        <vertAlign val="subscript"/>
        <sz val="11"/>
        <color theme="1"/>
        <rFont val="Times New Roman"/>
        <family val="1"/>
        <charset val="238"/>
      </rPr>
      <t xml:space="preserve"> 6.18 </t>
    </r>
    <r>
      <rPr>
        <sz val="11"/>
        <color theme="1"/>
        <rFont val="Times New Roman"/>
        <family val="1"/>
        <charset val="238"/>
      </rPr>
      <t>=</t>
    </r>
  </si>
  <si>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d,L</t>
    </r>
    <r>
      <rPr>
        <i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family val="2"/>
        <charset val="238"/>
      </rPr>
      <t>=</t>
    </r>
  </si>
  <si>
    <t xml:space="preserve">n = </t>
  </si>
  <si>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d,V</t>
    </r>
    <r>
      <rPr>
        <i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family val="2"/>
        <charset val="238"/>
      </rPr>
      <t>=</t>
    </r>
  </si>
  <si>
    <r>
      <t>(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d,L</t>
    </r>
    <r>
      <rPr>
        <i/>
        <sz val="11"/>
        <color theme="1"/>
        <rFont val="Czcionka tekstu podstawowego"/>
        <charset val="238"/>
      </rPr>
      <t>/P</t>
    </r>
    <r>
      <rPr>
        <i/>
        <vertAlign val="subscript"/>
        <sz val="11"/>
        <color theme="1"/>
        <rFont val="Czcionka tekstu podstawowego"/>
        <charset val="238"/>
      </rPr>
      <t>Rd,L</t>
    </r>
    <r>
      <rPr>
        <sz val="11"/>
        <color theme="1"/>
        <rFont val="Czcionka tekstu podstawowego"/>
        <family val="2"/>
        <charset val="238"/>
      </rPr>
      <t>)</t>
    </r>
    <r>
      <rPr>
        <vertAlign val="superscript"/>
        <sz val="11"/>
        <color theme="1"/>
        <rFont val="Czcionka tekstu podstawowego"/>
        <charset val="238"/>
      </rPr>
      <t>1,2</t>
    </r>
    <r>
      <rPr>
        <sz val="11"/>
        <color theme="1"/>
        <rFont val="Czcionka tekstu podstawowego"/>
        <family val="2"/>
        <charset val="238"/>
      </rPr>
      <t xml:space="preserve"> + (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d,V</t>
    </r>
    <r>
      <rPr>
        <i/>
        <sz val="11"/>
        <color theme="1"/>
        <rFont val="Czcionka tekstu podstawowego"/>
        <charset val="238"/>
      </rPr>
      <t>/P</t>
    </r>
    <r>
      <rPr>
        <i/>
        <vertAlign val="subscript"/>
        <sz val="11"/>
        <color theme="1"/>
        <rFont val="Czcionka tekstu podstawowego"/>
        <charset val="238"/>
      </rPr>
      <t>Rd,V</t>
    </r>
    <r>
      <rPr>
        <sz val="11"/>
        <color theme="1"/>
        <rFont val="Czcionka tekstu podstawowego"/>
        <family val="2"/>
        <charset val="238"/>
      </rPr>
      <t>)</t>
    </r>
    <r>
      <rPr>
        <vertAlign val="superscript"/>
        <sz val="11"/>
        <color theme="1"/>
        <rFont val="Czcionka tekstu podstawowego"/>
        <charset val="238"/>
      </rPr>
      <t>1,2</t>
    </r>
    <r>
      <rPr>
        <sz val="11"/>
        <color theme="1"/>
        <rFont val="Czcionka tekstu podstawowego"/>
        <family val="2"/>
        <charset val="238"/>
      </rPr>
      <t xml:space="preserve"> 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zcionka tekstu podstawowego"/>
        <family val="2"/>
        <charset val="238"/>
      </rPr>
      <t>1</t>
    </r>
  </si>
  <si>
    <r>
      <rPr>
        <i/>
        <sz val="11"/>
        <color theme="1"/>
        <rFont val="Czcionka tekstu podstawowego"/>
        <charset val="238"/>
      </rPr>
      <t>M</t>
    </r>
    <r>
      <rPr>
        <i/>
        <vertAlign val="subscript"/>
        <sz val="11"/>
        <color theme="1"/>
        <rFont val="Czcionka tekstu podstawowego"/>
        <charset val="238"/>
      </rPr>
      <t xml:space="preserve">s </t>
    </r>
    <r>
      <rPr>
        <vertAlign val="subscript"/>
        <sz val="11"/>
        <color theme="1"/>
        <rFont val="Czcionka tekstu podstawowego"/>
        <charset val="238"/>
      </rPr>
      <t>0,5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</si>
  <si>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>(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d,L</t>
    </r>
    <r>
      <rPr>
        <vertAlign val="superscript"/>
        <sz val="11"/>
        <color theme="1"/>
        <rFont val="Czcionka tekstu podstawowego"/>
        <charset val="238"/>
      </rPr>
      <t>2</t>
    </r>
    <r>
      <rPr>
        <sz val="11"/>
        <color theme="1"/>
        <rFont val="Czcionka tekstu podstawowego"/>
        <family val="2"/>
        <charset val="238"/>
      </rPr>
      <t xml:space="preserve"> + 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d,V</t>
    </r>
    <r>
      <rPr>
        <vertAlign val="superscript"/>
        <sz val="11"/>
        <color theme="1"/>
        <rFont val="Czcionka tekstu podstawowego"/>
        <charset val="238"/>
      </rPr>
      <t>2</t>
    </r>
    <r>
      <rPr>
        <sz val="11"/>
        <color theme="1"/>
        <rFont val="Czcionka tekstu podstawowego"/>
        <charset val="238"/>
      </rPr>
      <t>)</t>
    </r>
    <r>
      <rPr>
        <vertAlign val="superscript"/>
        <sz val="11"/>
        <color theme="1"/>
        <rFont val="Czcionka tekstu podstawowego"/>
        <charset val="238"/>
      </rPr>
      <t xml:space="preserve">0,5 </t>
    </r>
    <r>
      <rPr>
        <sz val="11"/>
        <color theme="1"/>
        <rFont val="Symbol"/>
        <family val="1"/>
        <charset val="2"/>
      </rPr>
      <t xml:space="preserve">£ </t>
    </r>
    <r>
      <rPr>
        <i/>
        <sz val="11"/>
        <color theme="1"/>
        <rFont val="Arial"/>
        <family val="2"/>
        <charset val="238"/>
      </rPr>
      <t>P</t>
    </r>
    <r>
      <rPr>
        <i/>
        <vertAlign val="subscript"/>
        <sz val="11"/>
        <color theme="1"/>
        <rFont val="Arial"/>
        <family val="2"/>
        <charset val="238"/>
      </rPr>
      <t>Rd</t>
    </r>
  </si>
  <si>
    <t>Zginanie poprzeczne</t>
  </si>
  <si>
    <t>q =</t>
  </si>
  <si>
    <r>
      <rPr>
        <i/>
        <sz val="11"/>
        <color theme="1"/>
        <rFont val="Czcionka tekstu podstawowego"/>
        <family val="2"/>
        <charset val="238"/>
      </rPr>
      <t>M</t>
    </r>
    <r>
      <rPr>
        <i/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zcionka tekstu podstawowego"/>
        <family val="2"/>
        <charset val="238"/>
      </rPr>
      <t xml:space="preserve"> = </t>
    </r>
  </si>
  <si>
    <t>l =</t>
  </si>
  <si>
    <t>kNcm/cm</t>
  </si>
  <si>
    <r>
      <t>(1</t>
    </r>
    <r>
      <rPr>
        <vertAlign val="superscript"/>
        <sz val="11"/>
        <color theme="1"/>
        <rFont val="Czcionka tekstu podstawowego"/>
        <charset val="238"/>
      </rPr>
      <t>2</t>
    </r>
    <r>
      <rPr>
        <sz val="11"/>
        <color theme="1"/>
        <rFont val="Czcionka tekstu podstawowego"/>
        <family val="2"/>
        <charset val="238"/>
      </rPr>
      <t xml:space="preserve"> + (M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zcionka tekstu podstawowego"/>
        <family val="2"/>
        <charset val="238"/>
      </rPr>
      <t>/M</t>
    </r>
    <r>
      <rPr>
        <vertAlign val="subscript"/>
        <sz val="11"/>
        <color theme="1"/>
        <rFont val="Czcionka tekstu podstawowego"/>
        <charset val="238"/>
      </rPr>
      <t>pl</t>
    </r>
    <r>
      <rPr>
        <sz val="11"/>
        <color theme="1"/>
        <rFont val="Czcionka tekstu podstawowego"/>
        <family val="2"/>
        <charset val="238"/>
      </rPr>
      <t>)</t>
    </r>
    <r>
      <rPr>
        <vertAlign val="superscript"/>
        <sz val="11"/>
        <color theme="1"/>
        <rFont val="Czcionka tekstu podstawowego"/>
        <charset val="238"/>
      </rPr>
      <t>2</t>
    </r>
    <r>
      <rPr>
        <sz val="11"/>
        <color theme="1"/>
        <rFont val="Czcionka tekstu podstawowego"/>
        <family val="2"/>
        <charset val="238"/>
      </rPr>
      <t>)</t>
    </r>
    <r>
      <rPr>
        <vertAlign val="superscript"/>
        <sz val="11"/>
        <color theme="1"/>
        <rFont val="Czcionka tekstu podstawowego"/>
        <charset val="238"/>
      </rPr>
      <t xml:space="preserve">0,5 </t>
    </r>
    <r>
      <rPr>
        <sz val="11"/>
        <color theme="1"/>
        <rFont val="Czcionka tekstu podstawowego"/>
        <charset val="238"/>
      </rPr>
      <t>=</t>
    </r>
  </si>
  <si>
    <t>z = 0,9 d =</t>
  </si>
  <si>
    <t xml:space="preserve">Wyłącznie strzemiona </t>
  </si>
  <si>
    <r>
      <t>T</t>
    </r>
    <r>
      <rPr>
        <i/>
        <vertAlign val="subscript"/>
        <sz val="12"/>
        <color theme="1"/>
        <rFont val="Times New Roman"/>
        <family val="1"/>
        <charset val="238"/>
      </rPr>
      <t>d</t>
    </r>
    <r>
      <rPr>
        <i/>
        <sz val="12"/>
        <color theme="1"/>
        <rFont val="Times New Roman"/>
        <family val="1"/>
        <charset val="238"/>
      </rPr>
      <t xml:space="preserve"> = </t>
    </r>
    <r>
      <rPr>
        <sz val="12"/>
        <color theme="1"/>
        <rFont val="Times New Roman"/>
        <family val="1"/>
        <charset val="238"/>
      </rPr>
      <t>0,3</t>
    </r>
    <r>
      <rPr>
        <i/>
        <sz val="12"/>
        <color theme="1"/>
        <rFont val="Times New Roman"/>
        <family val="1"/>
        <charset val="238"/>
      </rPr>
      <t xml:space="preserve"> P</t>
    </r>
    <r>
      <rPr>
        <i/>
        <vertAlign val="subscript"/>
        <sz val="12"/>
        <color theme="1"/>
        <rFont val="Times New Roman"/>
        <family val="1"/>
        <charset val="238"/>
      </rPr>
      <t>Rd,L</t>
    </r>
    <r>
      <rPr>
        <i/>
        <sz val="12"/>
        <color theme="1"/>
        <rFont val="Times New Roman"/>
        <family val="1"/>
        <charset val="238"/>
      </rPr>
      <t xml:space="preserve"> =</t>
    </r>
  </si>
  <si>
    <t>Sprawdzenie spoin</t>
  </si>
  <si>
    <t>£</t>
  </si>
  <si>
    <r>
      <t>g</t>
    </r>
    <r>
      <rPr>
        <i/>
        <vertAlign val="subscript"/>
        <sz val="11"/>
        <color theme="1"/>
        <rFont val="Arial"/>
        <family val="2"/>
        <charset val="238"/>
      </rPr>
      <t>M2</t>
    </r>
    <r>
      <rPr>
        <i/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Arial"/>
        <family val="2"/>
        <charset val="238"/>
      </rPr>
      <t>=</t>
    </r>
  </si>
  <si>
    <r>
      <t>A</t>
    </r>
    <r>
      <rPr>
        <i/>
        <vertAlign val="subscript"/>
        <sz val="11"/>
        <color theme="1"/>
        <rFont val="Czcionka tekstu podstawowego"/>
        <charset val="238"/>
      </rPr>
      <t>sd</t>
    </r>
    <r>
      <rPr>
        <i/>
        <vertAlign val="superscript"/>
        <sz val="11"/>
        <color theme="1"/>
        <rFont val="Czcionka tekstu podstawowego"/>
        <charset val="238"/>
      </rPr>
      <t>*</t>
    </r>
    <r>
      <rPr>
        <i/>
        <vertAlign val="subscript"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charset val="238"/>
      </rPr>
      <t>=</t>
    </r>
  </si>
  <si>
    <r>
      <t>A</t>
    </r>
    <r>
      <rPr>
        <i/>
        <vertAlign val="subscript"/>
        <sz val="10"/>
        <color theme="1"/>
        <rFont val="Cambria"/>
        <family val="1"/>
        <charset val="238"/>
        <scheme val="major"/>
      </rPr>
      <t>e</t>
    </r>
    <r>
      <rPr>
        <i/>
        <sz val="10"/>
        <color theme="1"/>
        <rFont val="Czcionka tekstu podstawowego"/>
        <family val="2"/>
        <charset val="238"/>
      </rPr>
      <t xml:space="preserve"> =</t>
    </r>
  </si>
  <si>
    <r>
      <t>S</t>
    </r>
    <r>
      <rPr>
        <i/>
        <vertAlign val="subscript"/>
        <sz val="10"/>
        <color theme="1"/>
        <rFont val="Cambria"/>
        <family val="1"/>
        <charset val="238"/>
        <scheme val="major"/>
      </rPr>
      <t>e</t>
    </r>
    <r>
      <rPr>
        <i/>
        <vertAlign val="superscript"/>
        <sz val="10"/>
        <color theme="1"/>
        <rFont val="Symbol"/>
        <family val="1"/>
        <charset val="2"/>
      </rPr>
      <t>a</t>
    </r>
    <r>
      <rPr>
        <i/>
        <sz val="10"/>
        <color theme="1"/>
        <rFont val="Czcionka tekstu podstawowego"/>
        <family val="2"/>
        <charset val="238"/>
      </rPr>
      <t xml:space="preserve"> =</t>
    </r>
  </si>
  <si>
    <r>
      <t>S</t>
    </r>
    <r>
      <rPr>
        <i/>
        <vertAlign val="subscript"/>
        <sz val="10"/>
        <color theme="1"/>
        <rFont val="Cambria"/>
        <family val="1"/>
        <charset val="238"/>
        <scheme val="major"/>
      </rPr>
      <t>es</t>
    </r>
    <r>
      <rPr>
        <i/>
        <sz val="10"/>
        <color theme="1"/>
        <rFont val="Czcionka tekstu podstawowego"/>
        <family val="2"/>
        <charset val="238"/>
      </rPr>
      <t xml:space="preserve"> =</t>
    </r>
  </si>
  <si>
    <r>
      <t>S</t>
    </r>
    <r>
      <rPr>
        <i/>
        <vertAlign val="subscript"/>
        <sz val="10"/>
        <color theme="1"/>
        <rFont val="Cambria"/>
        <family val="1"/>
        <charset val="238"/>
        <scheme val="major"/>
      </rPr>
      <t>ec</t>
    </r>
    <r>
      <rPr>
        <i/>
        <sz val="10"/>
        <color theme="1"/>
        <rFont val="Czcionka tekstu podstawowego"/>
        <family val="2"/>
        <charset val="238"/>
      </rPr>
      <t xml:space="preserve"> =</t>
    </r>
  </si>
  <si>
    <r>
      <t>I</t>
    </r>
    <r>
      <rPr>
        <i/>
        <vertAlign val="subscript"/>
        <sz val="10"/>
        <color theme="1"/>
        <rFont val="Cambria"/>
        <family val="1"/>
        <charset val="238"/>
        <scheme val="major"/>
      </rPr>
      <t>es</t>
    </r>
    <r>
      <rPr>
        <i/>
        <sz val="10"/>
        <color theme="1"/>
        <rFont val="Czcionka tekstu podstawowego"/>
        <family val="2"/>
        <charset val="238"/>
      </rPr>
      <t xml:space="preserve"> =</t>
    </r>
  </si>
  <si>
    <r>
      <t>I</t>
    </r>
    <r>
      <rPr>
        <i/>
        <vertAlign val="subscript"/>
        <sz val="10"/>
        <color theme="1"/>
        <rFont val="Cambria"/>
        <family val="1"/>
        <charset val="238"/>
        <scheme val="major"/>
      </rPr>
      <t>ec</t>
    </r>
    <r>
      <rPr>
        <i/>
        <sz val="10"/>
        <color theme="1"/>
        <rFont val="Czcionka tekstu podstawowego"/>
        <family val="2"/>
        <charset val="238"/>
      </rPr>
      <t xml:space="preserve"> =</t>
    </r>
  </si>
  <si>
    <r>
      <t xml:space="preserve"> x</t>
    </r>
    <r>
      <rPr>
        <i/>
        <vertAlign val="subscript"/>
        <sz val="10"/>
        <color theme="1"/>
        <rFont val="Czcionka tekstu podstawowego"/>
        <charset val="238"/>
      </rPr>
      <t>e</t>
    </r>
    <r>
      <rPr>
        <i/>
        <sz val="10"/>
        <color theme="1"/>
        <rFont val="Czcionka tekstu podstawowego"/>
        <family val="2"/>
        <charset val="238"/>
      </rPr>
      <t>=S</t>
    </r>
    <r>
      <rPr>
        <i/>
        <vertAlign val="subscript"/>
        <sz val="10"/>
        <color theme="1"/>
        <rFont val="Cambria"/>
        <family val="1"/>
        <charset val="238"/>
        <scheme val="major"/>
      </rPr>
      <t>e</t>
    </r>
    <r>
      <rPr>
        <i/>
        <vertAlign val="superscript"/>
        <sz val="10"/>
        <color theme="1"/>
        <rFont val="Symbol"/>
        <family val="1"/>
        <charset val="2"/>
      </rPr>
      <t>a</t>
    </r>
    <r>
      <rPr>
        <i/>
        <sz val="10"/>
        <color theme="1"/>
        <rFont val="Czcionka tekstu podstawowego"/>
        <family val="2"/>
        <charset val="238"/>
      </rPr>
      <t>/A</t>
    </r>
    <r>
      <rPr>
        <i/>
        <vertAlign val="subscript"/>
        <sz val="10"/>
        <color theme="1"/>
        <rFont val="Czcionka tekstu podstawowego"/>
        <charset val="238"/>
      </rPr>
      <t>e</t>
    </r>
    <r>
      <rPr>
        <i/>
        <sz val="10"/>
        <color theme="1"/>
        <rFont val="Czcionka tekstu podstawowego"/>
        <family val="2"/>
        <charset val="238"/>
      </rPr>
      <t>=</t>
    </r>
  </si>
  <si>
    <r>
      <t>I</t>
    </r>
    <r>
      <rPr>
        <i/>
        <vertAlign val="subscript"/>
        <sz val="10"/>
        <color theme="1"/>
        <rFont val="Cambria"/>
        <family val="1"/>
        <charset val="238"/>
        <scheme val="major"/>
      </rPr>
      <t>es3</t>
    </r>
    <r>
      <rPr>
        <i/>
        <sz val="10"/>
        <color theme="1"/>
        <rFont val="Czcionka tekstu podstawowego"/>
        <family val="2"/>
        <charset val="238"/>
      </rPr>
      <t xml:space="preserve"> =</t>
    </r>
  </si>
  <si>
    <r>
      <t>I</t>
    </r>
    <r>
      <rPr>
        <i/>
        <vertAlign val="subscript"/>
        <sz val="10"/>
        <color theme="1"/>
        <rFont val="Cambria"/>
        <family val="1"/>
        <charset val="238"/>
        <scheme val="major"/>
      </rPr>
      <t>ec3</t>
    </r>
    <r>
      <rPr>
        <i/>
        <sz val="10"/>
        <color theme="1"/>
        <rFont val="Czcionka tekstu podstawowego"/>
        <family val="2"/>
        <charset val="238"/>
      </rPr>
      <t xml:space="preserve"> =</t>
    </r>
  </si>
  <si>
    <r>
      <t>kN/cm</t>
    </r>
    <r>
      <rPr>
        <vertAlign val="superscript"/>
        <sz val="10"/>
        <color theme="1"/>
        <rFont val="Czcionka tekstu podstawowego"/>
        <family val="2"/>
        <charset val="238"/>
      </rPr>
      <t>2</t>
    </r>
  </si>
  <si>
    <r>
      <t>I</t>
    </r>
    <r>
      <rPr>
        <i/>
        <vertAlign val="subscript"/>
        <sz val="10"/>
        <color theme="1"/>
        <rFont val="Cambria"/>
        <family val="1"/>
        <charset val="238"/>
        <scheme val="major"/>
      </rPr>
      <t>d</t>
    </r>
    <r>
      <rPr>
        <i/>
        <sz val="10"/>
        <color theme="1"/>
        <rFont val="Czcionka tekstu podstawowego"/>
        <family val="2"/>
        <charset val="238"/>
      </rPr>
      <t xml:space="preserve"> =</t>
    </r>
  </si>
  <si>
    <t xml:space="preserve">q = </t>
  </si>
  <si>
    <t xml:space="preserve">l = </t>
  </si>
  <si>
    <t>Ugięcie długotrwałe od obciążenia całkowitego</t>
  </si>
  <si>
    <t>Ugięcie krótkotwałe od obciążenia całkowitego</t>
  </si>
  <si>
    <t>&gt;</t>
  </si>
  <si>
    <t>Siła przenoszona na strop przez zabetonowane kanały</t>
  </si>
  <si>
    <r>
      <t>V</t>
    </r>
    <r>
      <rPr>
        <vertAlign val="subscript"/>
        <sz val="10"/>
        <color theme="1"/>
        <rFont val="Arial"/>
        <family val="2"/>
        <charset val="238"/>
      </rPr>
      <t>Rd,c</t>
    </r>
    <r>
      <rPr>
        <sz val="10"/>
        <color theme="1"/>
        <rFont val="Arial"/>
        <family val="2"/>
        <charset val="238"/>
      </rPr>
      <t xml:space="preserve">  =  [C</t>
    </r>
    <r>
      <rPr>
        <vertAlign val="subscript"/>
        <sz val="10"/>
        <color theme="1"/>
        <rFont val="Arial"/>
        <family val="2"/>
        <charset val="238"/>
      </rPr>
      <t>Rd,c</t>
    </r>
    <r>
      <rPr>
        <sz val="10"/>
        <color theme="1"/>
        <rFont val="Arial"/>
        <family val="2"/>
        <charset val="238"/>
      </rPr>
      <t>k(100</t>
    </r>
    <r>
      <rPr>
        <sz val="10"/>
        <color theme="1"/>
        <rFont val="Symbol"/>
        <family val="1"/>
        <charset val="2"/>
      </rPr>
      <t>r</t>
    </r>
    <r>
      <rPr>
        <vertAlign val="subscript"/>
        <sz val="10"/>
        <color theme="1"/>
        <rFont val="Arial"/>
        <family val="2"/>
        <charset val="238"/>
      </rPr>
      <t>I</t>
    </r>
    <r>
      <rPr>
        <sz val="10"/>
        <color theme="1"/>
        <rFont val="Arial"/>
        <family val="2"/>
        <charset val="238"/>
      </rPr>
      <t>f</t>
    </r>
    <r>
      <rPr>
        <vertAlign val="subscript"/>
        <sz val="10"/>
        <color theme="1"/>
        <rFont val="Arial"/>
        <family val="2"/>
        <charset val="238"/>
      </rPr>
      <t>ck</t>
    </r>
    <r>
      <rPr>
        <sz val="10"/>
        <color theme="1"/>
        <rFont val="Arial"/>
        <family val="2"/>
        <charset val="238"/>
      </rPr>
      <t>)</t>
    </r>
    <r>
      <rPr>
        <vertAlign val="superscript"/>
        <sz val="10"/>
        <color theme="1"/>
        <rFont val="Arial"/>
        <family val="2"/>
        <charset val="238"/>
      </rPr>
      <t>1/3</t>
    </r>
    <r>
      <rPr>
        <sz val="10"/>
        <color theme="1"/>
        <rFont val="Arial"/>
        <family val="2"/>
        <charset val="238"/>
      </rPr>
      <t xml:space="preserve"> + k</t>
    </r>
    <r>
      <rPr>
        <vertAlign val="subscript"/>
        <sz val="10"/>
        <color theme="1"/>
        <rFont val="Arial"/>
        <family val="2"/>
        <charset val="238"/>
      </rPr>
      <t>1</t>
    </r>
    <r>
      <rPr>
        <sz val="10"/>
        <color theme="1"/>
        <rFont val="Symbol"/>
        <family val="1"/>
        <charset val="2"/>
      </rPr>
      <t>s</t>
    </r>
    <r>
      <rPr>
        <vertAlign val="subscript"/>
        <sz val="10"/>
        <color theme="1"/>
        <rFont val="Arial"/>
        <family val="2"/>
        <charset val="238"/>
      </rPr>
      <t>cp</t>
    </r>
    <r>
      <rPr>
        <sz val="10"/>
        <color theme="1"/>
        <rFont val="Arial"/>
        <family val="2"/>
        <charset val="238"/>
      </rPr>
      <t>]b</t>
    </r>
    <r>
      <rPr>
        <vertAlign val="subscript"/>
        <sz val="10"/>
        <color theme="1"/>
        <rFont val="Arial"/>
        <family val="2"/>
        <charset val="238"/>
      </rPr>
      <t>w</t>
    </r>
    <r>
      <rPr>
        <sz val="10"/>
        <color theme="1"/>
        <rFont val="Arial"/>
        <family val="2"/>
        <charset val="238"/>
      </rPr>
      <t>d</t>
    </r>
  </si>
  <si>
    <r>
      <t xml:space="preserve"> </t>
    </r>
    <r>
      <rPr>
        <sz val="10"/>
        <color theme="1"/>
        <rFont val="Symbol"/>
        <family val="1"/>
        <charset val="2"/>
      </rPr>
      <t>r</t>
    </r>
    <r>
      <rPr>
        <sz val="10"/>
        <color theme="1"/>
        <rFont val="Arial"/>
        <family val="2"/>
        <charset val="238"/>
      </rPr>
      <t xml:space="preserve">  =</t>
    </r>
  </si>
  <si>
    <r>
      <t>s</t>
    </r>
    <r>
      <rPr>
        <vertAlign val="subscript"/>
        <sz val="10"/>
        <color theme="1"/>
        <rFont val="Arial"/>
        <family val="2"/>
        <charset val="238"/>
      </rPr>
      <t>cp</t>
    </r>
  </si>
  <si>
    <t>k=</t>
  </si>
  <si>
    <r>
      <rPr>
        <sz val="10"/>
        <color theme="1"/>
        <rFont val="Symbol"/>
        <family val="1"/>
        <charset val="2"/>
      </rPr>
      <t>s</t>
    </r>
    <r>
      <rPr>
        <vertAlign val="subscript"/>
        <sz val="10"/>
        <color theme="1"/>
        <rFont val="Arial"/>
        <family val="2"/>
        <charset val="238"/>
      </rPr>
      <t xml:space="preserve">cp </t>
    </r>
    <r>
      <rPr>
        <sz val="10"/>
        <color theme="1"/>
        <rFont val="Arial"/>
        <family val="2"/>
        <charset val="238"/>
      </rPr>
      <t>=</t>
    </r>
  </si>
  <si>
    <r>
      <t>A</t>
    </r>
    <r>
      <rPr>
        <vertAlign val="subscript"/>
        <sz val="10"/>
        <color theme="1"/>
        <rFont val="Arial"/>
        <family val="2"/>
        <charset val="238"/>
      </rPr>
      <t xml:space="preserve">sI </t>
    </r>
    <r>
      <rPr>
        <sz val="10"/>
        <color theme="1"/>
        <rFont val="Arial"/>
        <family val="2"/>
        <charset val="238"/>
      </rPr>
      <t>=</t>
    </r>
  </si>
  <si>
    <r>
      <t>mm</t>
    </r>
    <r>
      <rPr>
        <vertAlign val="superscript"/>
        <sz val="10"/>
        <color theme="1"/>
        <rFont val="Arial"/>
        <family val="2"/>
        <charset val="238"/>
      </rPr>
      <t>2</t>
    </r>
    <r>
      <rPr>
        <sz val="10"/>
        <color theme="1"/>
        <rFont val="Arial"/>
        <family val="2"/>
        <charset val="238"/>
      </rPr>
      <t xml:space="preserve"> </t>
    </r>
  </si>
  <si>
    <r>
      <t>v</t>
    </r>
    <r>
      <rPr>
        <vertAlign val="subscript"/>
        <sz val="10"/>
        <color theme="1"/>
        <rFont val="Arial"/>
        <family val="2"/>
        <charset val="238"/>
      </rPr>
      <t>Rd,c</t>
    </r>
    <r>
      <rPr>
        <sz val="10"/>
        <color theme="1"/>
        <rFont val="Arial"/>
        <family val="2"/>
        <charset val="238"/>
      </rPr>
      <t xml:space="preserve">  = C</t>
    </r>
    <r>
      <rPr>
        <vertAlign val="subscript"/>
        <sz val="10"/>
        <color theme="1"/>
        <rFont val="Arial"/>
        <family val="2"/>
        <charset val="238"/>
      </rPr>
      <t>Rd,c</t>
    </r>
    <r>
      <rPr>
        <sz val="10"/>
        <color theme="1"/>
        <rFont val="Arial"/>
        <family val="2"/>
        <charset val="238"/>
      </rPr>
      <t>k(100</t>
    </r>
    <r>
      <rPr>
        <sz val="10"/>
        <color theme="1"/>
        <rFont val="Symbol"/>
        <family val="1"/>
        <charset val="2"/>
      </rPr>
      <t>r</t>
    </r>
    <r>
      <rPr>
        <vertAlign val="subscript"/>
        <sz val="10"/>
        <color theme="1"/>
        <rFont val="Arial"/>
        <family val="2"/>
        <charset val="238"/>
      </rPr>
      <t>I</t>
    </r>
    <r>
      <rPr>
        <sz val="10"/>
        <color theme="1"/>
        <rFont val="Arial"/>
        <family val="2"/>
        <charset val="238"/>
      </rPr>
      <t>f</t>
    </r>
    <r>
      <rPr>
        <vertAlign val="subscript"/>
        <sz val="10"/>
        <color theme="1"/>
        <rFont val="Arial"/>
        <family val="2"/>
        <charset val="238"/>
      </rPr>
      <t>ck</t>
    </r>
    <r>
      <rPr>
        <sz val="10"/>
        <color theme="1"/>
        <rFont val="Arial"/>
        <family val="2"/>
        <charset val="238"/>
      </rPr>
      <t>)</t>
    </r>
    <r>
      <rPr>
        <vertAlign val="superscript"/>
        <sz val="10"/>
        <color theme="1"/>
        <rFont val="Arial"/>
        <family val="2"/>
        <charset val="238"/>
      </rPr>
      <t xml:space="preserve">1/3 </t>
    </r>
    <r>
      <rPr>
        <sz val="10"/>
        <color theme="1"/>
        <rFont val="Arial"/>
        <family val="2"/>
        <charset val="238"/>
      </rPr>
      <t>=</t>
    </r>
  </si>
  <si>
    <r>
      <t>V</t>
    </r>
    <r>
      <rPr>
        <vertAlign val="subscript"/>
        <sz val="10"/>
        <color theme="1"/>
        <rFont val="Arial"/>
        <family val="2"/>
        <charset val="238"/>
      </rPr>
      <t>Rd,c</t>
    </r>
    <r>
      <rPr>
        <sz val="10"/>
        <color theme="1"/>
        <rFont val="Arial"/>
        <family val="2"/>
        <charset val="238"/>
      </rPr>
      <t xml:space="preserve">  = C</t>
    </r>
    <r>
      <rPr>
        <vertAlign val="subscript"/>
        <sz val="10"/>
        <color theme="1"/>
        <rFont val="Arial"/>
        <family val="2"/>
        <charset val="238"/>
      </rPr>
      <t>Rd,c</t>
    </r>
    <r>
      <rPr>
        <sz val="10"/>
        <color theme="1"/>
        <rFont val="Arial"/>
        <family val="2"/>
        <charset val="238"/>
      </rPr>
      <t>k(100</t>
    </r>
    <r>
      <rPr>
        <sz val="10"/>
        <color theme="1"/>
        <rFont val="Symbol"/>
        <family val="1"/>
        <charset val="2"/>
      </rPr>
      <t>r</t>
    </r>
    <r>
      <rPr>
        <vertAlign val="subscript"/>
        <sz val="10"/>
        <color theme="1"/>
        <rFont val="Arial"/>
        <family val="2"/>
        <charset val="238"/>
      </rPr>
      <t>I</t>
    </r>
    <r>
      <rPr>
        <sz val="10"/>
        <color theme="1"/>
        <rFont val="Arial"/>
        <family val="2"/>
        <charset val="238"/>
      </rPr>
      <t>f</t>
    </r>
    <r>
      <rPr>
        <vertAlign val="subscript"/>
        <sz val="10"/>
        <color theme="1"/>
        <rFont val="Arial"/>
        <family val="2"/>
        <charset val="238"/>
      </rPr>
      <t>ck</t>
    </r>
    <r>
      <rPr>
        <sz val="10"/>
        <color theme="1"/>
        <rFont val="Arial"/>
        <family val="2"/>
        <charset val="238"/>
      </rPr>
      <t>)</t>
    </r>
    <r>
      <rPr>
        <vertAlign val="superscript"/>
        <sz val="10"/>
        <color theme="1"/>
        <rFont val="Arial"/>
        <family val="2"/>
        <charset val="238"/>
      </rPr>
      <t>1/3</t>
    </r>
    <r>
      <rPr>
        <sz val="10"/>
        <color theme="1"/>
        <rFont val="Arial"/>
        <family val="2"/>
        <charset val="238"/>
      </rPr>
      <t>b</t>
    </r>
    <r>
      <rPr>
        <vertAlign val="subscript"/>
        <sz val="10"/>
        <color theme="1"/>
        <rFont val="Arial"/>
        <family val="2"/>
        <charset val="238"/>
      </rPr>
      <t>w</t>
    </r>
    <r>
      <rPr>
        <sz val="10"/>
        <color theme="1"/>
        <rFont val="Arial"/>
        <family val="2"/>
        <charset val="238"/>
      </rPr>
      <t>d =</t>
    </r>
  </si>
  <si>
    <t xml:space="preserve">(6.25) </t>
  </si>
  <si>
    <r>
      <t>f</t>
    </r>
    <r>
      <rPr>
        <vertAlign val="subscript"/>
        <sz val="10"/>
        <color theme="1"/>
        <rFont val="Arial"/>
        <family val="2"/>
        <charset val="238"/>
      </rPr>
      <t>ctd</t>
    </r>
    <r>
      <rPr>
        <sz val="10"/>
        <color theme="1"/>
        <rFont val="Arial"/>
        <family val="2"/>
        <charset val="238"/>
      </rPr>
      <t xml:space="preserve"> = </t>
    </r>
    <r>
      <rPr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Arial"/>
        <family val="2"/>
        <charset val="238"/>
      </rPr>
      <t>ct</t>
    </r>
    <r>
      <rPr>
        <sz val="10"/>
        <color theme="1"/>
        <rFont val="Arial"/>
        <family val="2"/>
        <charset val="238"/>
      </rPr>
      <t>f</t>
    </r>
    <r>
      <rPr>
        <vertAlign val="subscript"/>
        <sz val="10"/>
        <color theme="1"/>
        <rFont val="Arial"/>
        <family val="2"/>
        <charset val="238"/>
      </rPr>
      <t>ctk,0,0.5</t>
    </r>
    <r>
      <rPr>
        <sz val="10"/>
        <color theme="1"/>
        <rFont val="Arial"/>
        <family val="2"/>
        <charset val="238"/>
      </rPr>
      <t>/</t>
    </r>
    <r>
      <rPr>
        <sz val="10"/>
        <color theme="1"/>
        <rFont val="Symbol"/>
        <family val="1"/>
        <charset val="2"/>
      </rPr>
      <t>g</t>
    </r>
    <r>
      <rPr>
        <vertAlign val="subscript"/>
        <sz val="10"/>
        <color theme="1"/>
        <rFont val="Arial"/>
        <family val="2"/>
        <charset val="238"/>
      </rPr>
      <t xml:space="preserve">C </t>
    </r>
    <r>
      <rPr>
        <sz val="10"/>
        <color theme="1"/>
        <rFont val="Arial"/>
        <family val="2"/>
        <charset val="238"/>
      </rPr>
      <t>=</t>
    </r>
  </si>
  <si>
    <t>c =</t>
  </si>
  <si>
    <r>
      <t>v</t>
    </r>
    <r>
      <rPr>
        <vertAlign val="subscript"/>
        <sz val="10"/>
        <color theme="1"/>
        <rFont val="Arial"/>
        <family val="2"/>
        <charset val="238"/>
      </rPr>
      <t>Rdi</t>
    </r>
    <r>
      <rPr>
        <sz val="10"/>
        <color theme="1"/>
        <rFont val="Arial"/>
        <family val="2"/>
        <charset val="238"/>
      </rPr>
      <t xml:space="preserve">  =  c f</t>
    </r>
    <r>
      <rPr>
        <vertAlign val="subscript"/>
        <sz val="10"/>
        <color theme="1"/>
        <rFont val="Arial"/>
        <family val="2"/>
        <charset val="238"/>
      </rPr>
      <t>ctd</t>
    </r>
    <r>
      <rPr>
        <sz val="10"/>
        <color theme="1"/>
        <rFont val="Arial"/>
        <family val="2"/>
        <charset val="238"/>
      </rPr>
      <t xml:space="preserve"> =</t>
    </r>
  </si>
  <si>
    <t>odl. m. otw. w osiach</t>
  </si>
  <si>
    <t xml:space="preserve">A = </t>
  </si>
  <si>
    <r>
      <t>H</t>
    </r>
    <r>
      <rPr>
        <vertAlign val="subscript"/>
        <sz val="10"/>
        <color theme="1"/>
        <rFont val="Czcionka tekstu podstawowego"/>
        <family val="2"/>
        <charset val="238"/>
      </rPr>
      <t>c</t>
    </r>
    <r>
      <rPr>
        <sz val="10"/>
        <color theme="1"/>
        <rFont val="Czcionka tekstu podstawowego"/>
        <family val="2"/>
        <charset val="238"/>
      </rPr>
      <t>=</t>
    </r>
  </si>
  <si>
    <r>
      <t>m</t>
    </r>
    <r>
      <rPr>
        <vertAlign val="superscript"/>
        <sz val="10"/>
        <color theme="1"/>
        <rFont val="Czcionka tekstu podstawowego"/>
        <family val="2"/>
        <charset val="238"/>
      </rPr>
      <t>2</t>
    </r>
  </si>
  <si>
    <r>
      <t>A</t>
    </r>
    <r>
      <rPr>
        <vertAlign val="subscript"/>
        <sz val="10"/>
        <color theme="1"/>
        <rFont val="Czcionka tekstu podstawowego"/>
        <family val="2"/>
        <charset val="238"/>
      </rPr>
      <t>O</t>
    </r>
    <r>
      <rPr>
        <sz val="10"/>
        <color theme="1"/>
        <rFont val="Czcionka tekstu podstawowego"/>
        <family val="2"/>
        <charset val="238"/>
      </rPr>
      <t xml:space="preserve"> = </t>
    </r>
  </si>
  <si>
    <r>
      <t>N</t>
    </r>
    <r>
      <rPr>
        <vertAlign val="subscript"/>
        <sz val="10"/>
        <color theme="1"/>
        <rFont val="Czcionka tekstu podstawowego"/>
        <family val="2"/>
        <charset val="238"/>
      </rPr>
      <t>Rd</t>
    </r>
    <r>
      <rPr>
        <sz val="10"/>
        <color theme="1"/>
        <rFont val="Czcionka tekstu podstawowego"/>
        <family val="2"/>
        <charset val="238"/>
      </rPr>
      <t xml:space="preserve"> =</t>
    </r>
  </si>
  <si>
    <r>
      <t>N</t>
    </r>
    <r>
      <rPr>
        <vertAlign val="subscript"/>
        <sz val="10"/>
        <color theme="1"/>
        <rFont val="Czcionka tekstu podstawowego"/>
        <family val="2"/>
        <charset val="238"/>
      </rPr>
      <t>Rd</t>
    </r>
    <r>
      <rPr>
        <sz val="10"/>
        <color theme="1"/>
        <rFont val="Czcionka tekstu podstawowego"/>
        <family val="2"/>
        <charset val="238"/>
      </rPr>
      <t xml:space="preserve"> </t>
    </r>
    <r>
      <rPr>
        <vertAlign val="subscript"/>
        <sz val="10"/>
        <color theme="1"/>
        <rFont val="Czcionka tekstu podstawowego"/>
        <family val="2"/>
        <charset val="238"/>
      </rPr>
      <t>L1</t>
    </r>
    <r>
      <rPr>
        <sz val="10"/>
        <color theme="1"/>
        <rFont val="Czcionka tekstu podstawowego"/>
        <family val="2"/>
        <charset val="238"/>
      </rPr>
      <t xml:space="preserve"> =</t>
    </r>
  </si>
  <si>
    <r>
      <t>N</t>
    </r>
    <r>
      <rPr>
        <vertAlign val="subscript"/>
        <sz val="10"/>
        <color theme="1"/>
        <rFont val="Czcionka tekstu podstawowego"/>
        <family val="2"/>
        <charset val="238"/>
      </rPr>
      <t>Rd</t>
    </r>
    <r>
      <rPr>
        <sz val="10"/>
        <color theme="1"/>
        <rFont val="Czcionka tekstu podstawowego"/>
        <family val="2"/>
        <charset val="238"/>
      </rPr>
      <t xml:space="preserve"> </t>
    </r>
    <r>
      <rPr>
        <vertAlign val="subscript"/>
        <sz val="10"/>
        <color theme="1"/>
        <rFont val="Czcionka tekstu podstawowego"/>
        <family val="2"/>
        <charset val="238"/>
      </rPr>
      <t>L</t>
    </r>
    <r>
      <rPr>
        <sz val="10"/>
        <color theme="1"/>
        <rFont val="Czcionka tekstu podstawowego"/>
        <family val="2"/>
        <charset val="238"/>
      </rPr>
      <t xml:space="preserve"> =</t>
    </r>
  </si>
  <si>
    <r>
      <t>f</t>
    </r>
    <r>
      <rPr>
        <vertAlign val="subscript"/>
        <sz val="10"/>
        <color theme="1"/>
        <rFont val="Arial"/>
        <family val="2"/>
        <charset val="238"/>
      </rPr>
      <t>ck</t>
    </r>
    <r>
      <rPr>
        <sz val="10"/>
        <color theme="1"/>
        <rFont val="Arial"/>
        <family val="2"/>
        <charset val="238"/>
      </rPr>
      <t xml:space="preserve">  =</t>
    </r>
  </si>
  <si>
    <r>
      <t>f</t>
    </r>
    <r>
      <rPr>
        <vertAlign val="subscript"/>
        <sz val="10"/>
        <color theme="1"/>
        <rFont val="Arial"/>
        <family val="2"/>
        <charset val="238"/>
      </rPr>
      <t>ctk</t>
    </r>
    <r>
      <rPr>
        <sz val="10"/>
        <color theme="1"/>
        <rFont val="Arial"/>
        <family val="2"/>
        <charset val="238"/>
      </rPr>
      <t xml:space="preserve">  =</t>
    </r>
  </si>
  <si>
    <r>
      <t xml:space="preserve"> </t>
    </r>
    <r>
      <rPr>
        <i/>
        <sz val="10"/>
        <color theme="1"/>
        <rFont val="Czcionka tekstu podstawowego"/>
        <charset val="238"/>
      </rPr>
      <t>f</t>
    </r>
    <r>
      <rPr>
        <i/>
        <vertAlign val="subscript"/>
        <sz val="10"/>
        <color theme="1"/>
        <rFont val="Czcionka tekstu podstawowego"/>
        <charset val="238"/>
      </rPr>
      <t>yk</t>
    </r>
    <r>
      <rPr>
        <sz val="10"/>
        <color theme="1"/>
        <rFont val="Czcionka tekstu podstawowego"/>
        <family val="2"/>
        <charset val="238"/>
      </rPr>
      <t xml:space="preserve"> =</t>
    </r>
  </si>
  <si>
    <r>
      <t xml:space="preserve"> </t>
    </r>
    <r>
      <rPr>
        <i/>
        <sz val="10"/>
        <color theme="1"/>
        <rFont val="Czcionka tekstu podstawowego"/>
        <charset val="238"/>
      </rPr>
      <t>f</t>
    </r>
    <r>
      <rPr>
        <i/>
        <vertAlign val="subscript"/>
        <sz val="10"/>
        <color theme="1"/>
        <rFont val="Czcionka tekstu podstawowego"/>
        <charset val="238"/>
      </rPr>
      <t>yk</t>
    </r>
    <r>
      <rPr>
        <i/>
        <vertAlign val="superscript"/>
        <sz val="10"/>
        <color theme="1"/>
        <rFont val="Czcionka tekstu podstawowego"/>
        <charset val="238"/>
      </rPr>
      <t>0</t>
    </r>
    <r>
      <rPr>
        <sz val="10"/>
        <color theme="1"/>
        <rFont val="Czcionka tekstu podstawowego"/>
        <family val="2"/>
        <charset val="238"/>
      </rPr>
      <t xml:space="preserve"> =</t>
    </r>
  </si>
  <si>
    <r>
      <t xml:space="preserve">   </t>
    </r>
    <r>
      <rPr>
        <i/>
        <sz val="10"/>
        <color theme="1"/>
        <rFont val="Symbol"/>
        <family val="1"/>
        <charset val="2"/>
      </rPr>
      <t>s</t>
    </r>
    <r>
      <rPr>
        <i/>
        <vertAlign val="subscript"/>
        <sz val="10"/>
        <color theme="1"/>
        <rFont val="Times New Roman"/>
        <family val="1"/>
        <charset val="238"/>
      </rPr>
      <t xml:space="preserve">cr </t>
    </r>
    <r>
      <rPr>
        <i/>
        <sz val="10"/>
        <color theme="1"/>
        <rFont val="Times New Roman"/>
        <family val="1"/>
        <charset val="238"/>
      </rPr>
      <t>=</t>
    </r>
    <r>
      <rPr>
        <i/>
        <vertAlign val="subscript"/>
        <sz val="10"/>
        <color theme="1"/>
        <rFont val="Times New Roman"/>
        <family val="1"/>
        <charset val="238"/>
      </rPr>
      <t xml:space="preserve"> </t>
    </r>
  </si>
  <si>
    <r>
      <t xml:space="preserve"> </t>
    </r>
    <r>
      <rPr>
        <i/>
        <sz val="10"/>
        <color theme="1"/>
        <rFont val="Czcionka tekstu podstawowego"/>
        <charset val="238"/>
      </rPr>
      <t>f</t>
    </r>
    <r>
      <rPr>
        <i/>
        <vertAlign val="subscript"/>
        <sz val="10"/>
        <color theme="1"/>
        <rFont val="Czcionka tekstu podstawowego"/>
        <charset val="238"/>
      </rPr>
      <t>ctk</t>
    </r>
    <r>
      <rPr>
        <sz val="10"/>
        <color theme="1"/>
        <rFont val="Czcionka tekstu podstawowego"/>
        <family val="2"/>
        <charset val="238"/>
      </rPr>
      <t xml:space="preserve"> =</t>
    </r>
  </si>
  <si>
    <r>
      <t>cm</t>
    </r>
    <r>
      <rPr>
        <vertAlign val="superscript"/>
        <sz val="10"/>
        <color theme="1"/>
        <rFont val="Arial"/>
        <family val="2"/>
        <charset val="238"/>
      </rPr>
      <t>2</t>
    </r>
  </si>
  <si>
    <r>
      <t>cm</t>
    </r>
    <r>
      <rPr>
        <vertAlign val="superscript"/>
        <sz val="10"/>
        <color theme="1"/>
        <rFont val="Arial"/>
        <family val="2"/>
        <charset val="238"/>
      </rPr>
      <t>3</t>
    </r>
  </si>
  <si>
    <r>
      <t>cm</t>
    </r>
    <r>
      <rPr>
        <vertAlign val="superscript"/>
        <sz val="10"/>
        <color theme="1"/>
        <rFont val="Arial"/>
        <family val="2"/>
        <charset val="238"/>
      </rPr>
      <t>4</t>
    </r>
  </si>
  <si>
    <r>
      <t>kNcm</t>
    </r>
    <r>
      <rPr>
        <vertAlign val="superscript"/>
        <sz val="10"/>
        <color theme="1"/>
        <rFont val="Czcionka tekstu podstawowego"/>
        <charset val="238"/>
      </rPr>
      <t>2</t>
    </r>
  </si>
  <si>
    <r>
      <t>f</t>
    </r>
    <r>
      <rPr>
        <i/>
        <vertAlign val="subscript"/>
        <sz val="10"/>
        <color theme="1"/>
        <rFont val="Times New Roman"/>
        <family val="1"/>
        <charset val="238"/>
      </rPr>
      <t>dc</t>
    </r>
    <r>
      <rPr>
        <i/>
        <sz val="10"/>
        <color theme="1"/>
        <rFont val="Times New Roman"/>
        <family val="1"/>
        <charset val="238"/>
      </rPr>
      <t xml:space="preserve"> =</t>
    </r>
  </si>
  <si>
    <r>
      <t>I</t>
    </r>
    <r>
      <rPr>
        <i/>
        <vertAlign val="subscript"/>
        <sz val="10"/>
        <color theme="1"/>
        <rFont val="Times New Roman"/>
        <family val="1"/>
        <charset val="238"/>
      </rPr>
      <t>k</t>
    </r>
    <r>
      <rPr>
        <i/>
        <sz val="10"/>
        <color theme="1"/>
        <rFont val="Times New Roman"/>
        <family val="1"/>
        <charset val="238"/>
      </rPr>
      <t xml:space="preserve"> =</t>
    </r>
  </si>
  <si>
    <r>
      <t>f</t>
    </r>
    <r>
      <rPr>
        <i/>
        <vertAlign val="subscript"/>
        <sz val="10"/>
        <color theme="1"/>
        <rFont val="Times New Roman"/>
        <family val="1"/>
        <charset val="238"/>
      </rPr>
      <t>kc</t>
    </r>
    <r>
      <rPr>
        <i/>
        <sz val="10"/>
        <color theme="1"/>
        <rFont val="Times New Roman"/>
        <family val="1"/>
        <charset val="238"/>
      </rPr>
      <t xml:space="preserve"> =</t>
    </r>
  </si>
  <si>
    <r>
      <t>q</t>
    </r>
    <r>
      <rPr>
        <i/>
        <vertAlign val="subscript"/>
        <sz val="10"/>
        <color theme="1"/>
        <rFont val="Times New Roman"/>
        <family val="1"/>
        <charset val="238"/>
      </rPr>
      <t>d</t>
    </r>
    <r>
      <rPr>
        <i/>
        <sz val="10"/>
        <color theme="1"/>
        <rFont val="Times New Roman"/>
        <family val="1"/>
        <charset val="238"/>
      </rPr>
      <t xml:space="preserve"> = </t>
    </r>
  </si>
  <si>
    <r>
      <t>f</t>
    </r>
    <r>
      <rPr>
        <i/>
        <vertAlign val="subscript"/>
        <sz val="10"/>
        <color theme="1"/>
        <rFont val="Times New Roman"/>
        <family val="1"/>
        <charset val="238"/>
      </rPr>
      <t>kd</t>
    </r>
    <r>
      <rPr>
        <i/>
        <sz val="10"/>
        <color theme="1"/>
        <rFont val="Times New Roman"/>
        <family val="1"/>
        <charset val="238"/>
      </rPr>
      <t xml:space="preserve"> =</t>
    </r>
  </si>
  <si>
    <r>
      <t>f</t>
    </r>
    <r>
      <rPr>
        <i/>
        <vertAlign val="subscript"/>
        <sz val="10"/>
        <color theme="1"/>
        <rFont val="Times New Roman"/>
        <family val="1"/>
        <charset val="238"/>
      </rPr>
      <t>dd</t>
    </r>
    <r>
      <rPr>
        <i/>
        <sz val="10"/>
        <color theme="1"/>
        <rFont val="Times New Roman"/>
        <family val="1"/>
        <charset val="238"/>
      </rPr>
      <t xml:space="preserve"> =</t>
    </r>
  </si>
  <si>
    <t>f =</t>
  </si>
  <si>
    <r>
      <rPr>
        <sz val="10"/>
        <color theme="1"/>
        <rFont val="Symbol"/>
        <family val="1"/>
        <charset val="2"/>
      </rPr>
      <t>n</t>
    </r>
    <r>
      <rPr>
        <vertAlign val="subscript"/>
        <sz val="10"/>
        <color theme="1"/>
        <rFont val="Cambria"/>
        <family val="1"/>
        <charset val="238"/>
      </rPr>
      <t>Rd,c</t>
    </r>
    <r>
      <rPr>
        <sz val="10"/>
        <color theme="1"/>
        <rFont val="Czcionka tekstu podstawowego"/>
        <charset val="238"/>
      </rPr>
      <t>=(0,18/</t>
    </r>
    <r>
      <rPr>
        <sz val="10"/>
        <color theme="1"/>
        <rFont val="Symbol"/>
        <family val="1"/>
        <charset val="2"/>
      </rPr>
      <t>g )*k*(100*r</t>
    </r>
    <r>
      <rPr>
        <vertAlign val="subscript"/>
        <sz val="10"/>
        <color theme="1"/>
        <rFont val="Czcionka tekstu podstawowego"/>
        <charset val="238"/>
      </rPr>
      <t>l</t>
    </r>
    <r>
      <rPr>
        <sz val="10"/>
        <color theme="1"/>
        <rFont val="Czcionka tekstu podstawowego"/>
        <charset val="238"/>
      </rPr>
      <t>*f</t>
    </r>
    <r>
      <rPr>
        <vertAlign val="subscript"/>
        <sz val="10"/>
        <color theme="1"/>
        <rFont val="Czcionka tekstu podstawowego"/>
        <charset val="238"/>
      </rPr>
      <t>ck</t>
    </r>
    <r>
      <rPr>
        <sz val="10"/>
        <color theme="1"/>
        <rFont val="Symbol"/>
        <family val="1"/>
        <charset val="2"/>
      </rPr>
      <t>)</t>
    </r>
    <r>
      <rPr>
        <vertAlign val="superscript"/>
        <sz val="10"/>
        <color theme="1"/>
        <rFont val="Symbol"/>
        <family val="1"/>
        <charset val="2"/>
      </rPr>
      <t>1/3</t>
    </r>
  </si>
  <si>
    <t>betonu na rozciąganie i niekorzystne wpływy wynikające ze sposobu przyłożenia obciążenia.</t>
  </si>
  <si>
    <t>Wartością zalecaną  jest 1,0.</t>
  </si>
  <si>
    <r>
      <t>B</t>
    </r>
    <r>
      <rPr>
        <vertAlign val="subscript"/>
        <sz val="10"/>
        <color theme="1"/>
        <rFont val="Czcionka tekstu podstawowego"/>
        <charset val="238"/>
      </rPr>
      <t>eff</t>
    </r>
    <r>
      <rPr>
        <sz val="10"/>
        <color theme="1"/>
        <rFont val="Czcionka tekstu podstawowego"/>
        <family val="2"/>
        <charset val="238"/>
      </rPr>
      <t xml:space="preserve"> = </t>
    </r>
  </si>
  <si>
    <t>(MPa)</t>
  </si>
  <si>
    <t>(GPa)</t>
  </si>
  <si>
    <t>dla B40:</t>
  </si>
  <si>
    <t>q=</t>
  </si>
  <si>
    <t>Q=</t>
  </si>
  <si>
    <r>
      <t>V</t>
    </r>
    <r>
      <rPr>
        <vertAlign val="subscript"/>
        <sz val="10"/>
        <color theme="1"/>
        <rFont val="Arial"/>
        <family val="2"/>
        <charset val="238"/>
      </rPr>
      <t>Rd,c</t>
    </r>
    <r>
      <rPr>
        <sz val="10"/>
        <color theme="1"/>
        <rFont val="Arial"/>
        <family val="2"/>
        <charset val="238"/>
      </rPr>
      <t xml:space="preserve"> </t>
    </r>
    <r>
      <rPr>
        <vertAlign val="subscript"/>
        <sz val="10"/>
        <color theme="1"/>
        <rFont val="Arial"/>
        <family val="2"/>
        <charset val="238"/>
      </rPr>
      <t>min</t>
    </r>
    <r>
      <rPr>
        <sz val="10"/>
        <color theme="1"/>
        <rFont val="Arial"/>
        <family val="2"/>
        <charset val="238"/>
      </rPr>
      <t xml:space="preserve"> =  (</t>
    </r>
    <r>
      <rPr>
        <sz val="9"/>
        <color theme="1"/>
        <rFont val="Arial"/>
        <family val="2"/>
        <charset val="238"/>
      </rPr>
      <t>v</t>
    </r>
    <r>
      <rPr>
        <vertAlign val="subscript"/>
        <sz val="9"/>
        <color theme="1"/>
        <rFont val="Arial"/>
        <family val="2"/>
        <charset val="238"/>
      </rPr>
      <t>min</t>
    </r>
    <r>
      <rPr>
        <sz val="10"/>
        <color theme="1"/>
        <rFont val="Arial"/>
        <family val="2"/>
        <charset val="238"/>
      </rPr>
      <t xml:space="preserve"> + k</t>
    </r>
    <r>
      <rPr>
        <vertAlign val="subscript"/>
        <sz val="10"/>
        <color theme="1"/>
        <rFont val="Arial"/>
        <family val="2"/>
        <charset val="238"/>
      </rPr>
      <t>1</t>
    </r>
    <r>
      <rPr>
        <sz val="10"/>
        <color theme="1"/>
        <rFont val="Symbol"/>
        <family val="1"/>
        <charset val="2"/>
      </rPr>
      <t>s</t>
    </r>
    <r>
      <rPr>
        <vertAlign val="subscript"/>
        <sz val="10"/>
        <color theme="1"/>
        <rFont val="Arial"/>
        <family val="2"/>
        <charset val="238"/>
      </rPr>
      <t>cp</t>
    </r>
    <r>
      <rPr>
        <sz val="10"/>
        <color theme="1"/>
        <rFont val="Arial"/>
        <family val="2"/>
        <charset val="238"/>
      </rPr>
      <t>)b</t>
    </r>
    <r>
      <rPr>
        <vertAlign val="subscript"/>
        <sz val="10"/>
        <color theme="1"/>
        <rFont val="Arial"/>
        <family val="2"/>
        <charset val="238"/>
      </rPr>
      <t>w</t>
    </r>
    <r>
      <rPr>
        <sz val="10"/>
        <color theme="1"/>
        <rFont val="Arial"/>
        <family val="2"/>
        <charset val="238"/>
      </rPr>
      <t>d</t>
    </r>
  </si>
  <si>
    <r>
      <t>M</t>
    </r>
    <r>
      <rPr>
        <i/>
        <vertAlign val="subscript"/>
        <sz val="11"/>
        <color theme="1"/>
        <rFont val="Czcionka tekstu podstawowego"/>
        <charset val="238"/>
      </rPr>
      <t>exp</t>
    </r>
    <r>
      <rPr>
        <i/>
        <sz val="11"/>
        <color theme="1"/>
        <rFont val="Czcionka tekstu podstawowego"/>
        <charset val="238"/>
      </rPr>
      <t xml:space="preserve"> =</t>
    </r>
  </si>
  <si>
    <r>
      <rPr>
        <i/>
        <sz val="10"/>
        <color theme="1"/>
        <rFont val="Czcionka tekstu podstawowego"/>
        <charset val="238"/>
      </rPr>
      <t>b</t>
    </r>
    <r>
      <rPr>
        <i/>
        <vertAlign val="subscript"/>
        <sz val="10"/>
        <color theme="1"/>
        <rFont val="Czcionka tekstu podstawowego"/>
        <charset val="238"/>
      </rPr>
      <t>e</t>
    </r>
    <r>
      <rPr>
        <vertAlign val="subscript"/>
        <sz val="10"/>
        <color theme="1"/>
        <rFont val="Czcionka tekstu podstawowego"/>
        <family val="2"/>
        <charset val="238"/>
      </rPr>
      <t>2</t>
    </r>
    <r>
      <rPr>
        <sz val="10"/>
        <color theme="1"/>
        <rFont val="Czcionka tekstu podstawowego"/>
        <family val="2"/>
        <charset val="238"/>
      </rPr>
      <t xml:space="preserve"> =</t>
    </r>
  </si>
  <si>
    <r>
      <t xml:space="preserve"> x</t>
    </r>
    <r>
      <rPr>
        <i/>
        <vertAlign val="subscript"/>
        <sz val="8"/>
        <color theme="1"/>
        <rFont val="Czcionka tekstu podstawowego"/>
        <charset val="238"/>
      </rPr>
      <t>e</t>
    </r>
    <r>
      <rPr>
        <i/>
        <sz val="8"/>
        <color theme="1"/>
        <rFont val="Czcionka tekstu podstawowego"/>
        <family val="2"/>
        <charset val="238"/>
      </rPr>
      <t>=S</t>
    </r>
    <r>
      <rPr>
        <i/>
        <vertAlign val="subscript"/>
        <sz val="8"/>
        <color theme="1"/>
        <rFont val="Cambria"/>
        <family val="1"/>
        <charset val="238"/>
        <scheme val="major"/>
      </rPr>
      <t>e</t>
    </r>
    <r>
      <rPr>
        <i/>
        <vertAlign val="superscript"/>
        <sz val="8"/>
        <color theme="1"/>
        <rFont val="Symbol"/>
        <family val="1"/>
        <charset val="2"/>
      </rPr>
      <t>a</t>
    </r>
    <r>
      <rPr>
        <i/>
        <sz val="8"/>
        <color theme="1"/>
        <rFont val="Czcionka tekstu podstawowego"/>
        <family val="2"/>
        <charset val="238"/>
      </rPr>
      <t>/A</t>
    </r>
    <r>
      <rPr>
        <i/>
        <vertAlign val="subscript"/>
        <sz val="8"/>
        <color theme="1"/>
        <rFont val="Czcionka tekstu podstawowego"/>
        <charset val="238"/>
      </rPr>
      <t>e</t>
    </r>
    <r>
      <rPr>
        <i/>
        <sz val="8"/>
        <color theme="1"/>
        <rFont val="Czcionka tekstu podstawowego"/>
        <family val="2"/>
        <charset val="238"/>
      </rPr>
      <t>=</t>
    </r>
  </si>
  <si>
    <r>
      <t>f</t>
    </r>
    <r>
      <rPr>
        <i/>
        <vertAlign val="subscript"/>
        <sz val="10"/>
        <color theme="1"/>
        <rFont val="Times New Roman"/>
        <family val="1"/>
        <charset val="238"/>
      </rPr>
      <t>kcw</t>
    </r>
    <r>
      <rPr>
        <i/>
        <sz val="10"/>
        <color theme="1"/>
        <rFont val="Times New Roman"/>
        <family val="1"/>
        <charset val="238"/>
      </rPr>
      <t xml:space="preserve"> =</t>
    </r>
  </si>
  <si>
    <t xml:space="preserve">F = </t>
  </si>
  <si>
    <t>siła 1- stronna</t>
  </si>
  <si>
    <t>Siła przenoszona przez styk płyt kanałowych z zalaną szczeliną montazową</t>
  </si>
  <si>
    <t>Wartości charaterystyczne sił w celu określenia ugięć</t>
  </si>
  <si>
    <r>
      <t>V</t>
    </r>
    <r>
      <rPr>
        <vertAlign val="subscript"/>
        <sz val="10"/>
        <color theme="1"/>
        <rFont val="Arial"/>
        <family val="2"/>
        <charset val="238"/>
      </rPr>
      <t>Rk,c</t>
    </r>
    <r>
      <rPr>
        <sz val="10"/>
        <color theme="1"/>
        <rFont val="Arial"/>
        <family val="2"/>
        <charset val="238"/>
      </rPr>
      <t xml:space="preserve">  = C</t>
    </r>
    <r>
      <rPr>
        <vertAlign val="subscript"/>
        <sz val="10"/>
        <color theme="1"/>
        <rFont val="Arial"/>
        <family val="2"/>
        <charset val="238"/>
      </rPr>
      <t>Rk,c</t>
    </r>
    <r>
      <rPr>
        <sz val="10"/>
        <color theme="1"/>
        <rFont val="Arial"/>
        <family val="2"/>
        <charset val="238"/>
      </rPr>
      <t>k(100</t>
    </r>
    <r>
      <rPr>
        <sz val="10"/>
        <color theme="1"/>
        <rFont val="Symbol"/>
        <family val="1"/>
        <charset val="2"/>
      </rPr>
      <t>r</t>
    </r>
    <r>
      <rPr>
        <vertAlign val="subscript"/>
        <sz val="10"/>
        <color theme="1"/>
        <rFont val="Arial"/>
        <family val="2"/>
        <charset val="238"/>
      </rPr>
      <t>I</t>
    </r>
    <r>
      <rPr>
        <sz val="10"/>
        <color theme="1"/>
        <rFont val="Arial"/>
        <family val="2"/>
        <charset val="238"/>
      </rPr>
      <t>f</t>
    </r>
    <r>
      <rPr>
        <vertAlign val="subscript"/>
        <sz val="10"/>
        <color theme="1"/>
        <rFont val="Arial"/>
        <family val="2"/>
        <charset val="238"/>
      </rPr>
      <t>ck</t>
    </r>
    <r>
      <rPr>
        <sz val="10"/>
        <color theme="1"/>
        <rFont val="Arial"/>
        <family val="2"/>
        <charset val="238"/>
      </rPr>
      <t>)</t>
    </r>
    <r>
      <rPr>
        <vertAlign val="superscript"/>
        <sz val="10"/>
        <color theme="1"/>
        <rFont val="Arial"/>
        <family val="2"/>
        <charset val="238"/>
      </rPr>
      <t>1/3</t>
    </r>
    <r>
      <rPr>
        <sz val="10"/>
        <color theme="1"/>
        <rFont val="Arial"/>
        <family val="2"/>
        <charset val="238"/>
      </rPr>
      <t>b</t>
    </r>
    <r>
      <rPr>
        <vertAlign val="subscript"/>
        <sz val="10"/>
        <color theme="1"/>
        <rFont val="Arial"/>
        <family val="2"/>
        <charset val="238"/>
      </rPr>
      <t>w</t>
    </r>
    <r>
      <rPr>
        <sz val="10"/>
        <color theme="1"/>
        <rFont val="Arial"/>
        <family val="2"/>
        <charset val="238"/>
      </rPr>
      <t>d =</t>
    </r>
  </si>
  <si>
    <r>
      <t>f</t>
    </r>
    <r>
      <rPr>
        <vertAlign val="subscript"/>
        <sz val="10"/>
        <color theme="1"/>
        <rFont val="Arial"/>
        <family val="2"/>
        <charset val="238"/>
      </rPr>
      <t>ctk</t>
    </r>
    <r>
      <rPr>
        <sz val="10"/>
        <color theme="1"/>
        <rFont val="Arial"/>
        <family val="2"/>
        <charset val="238"/>
      </rPr>
      <t xml:space="preserve"> = </t>
    </r>
    <r>
      <rPr>
        <sz val="10"/>
        <color theme="1"/>
        <rFont val="Symbol"/>
        <family val="1"/>
        <charset val="2"/>
      </rPr>
      <t/>
    </r>
  </si>
  <si>
    <r>
      <t>v</t>
    </r>
    <r>
      <rPr>
        <vertAlign val="subscript"/>
        <sz val="10"/>
        <color theme="1"/>
        <rFont val="Arial"/>
        <family val="2"/>
        <charset val="238"/>
      </rPr>
      <t>Rki</t>
    </r>
    <r>
      <rPr>
        <sz val="10"/>
        <color theme="1"/>
        <rFont val="Arial"/>
        <family val="2"/>
        <charset val="238"/>
      </rPr>
      <t xml:space="preserve">  =  c f</t>
    </r>
    <r>
      <rPr>
        <vertAlign val="subscript"/>
        <sz val="10"/>
        <color theme="1"/>
        <rFont val="Arial"/>
        <family val="2"/>
        <charset val="238"/>
      </rPr>
      <t>ctk</t>
    </r>
    <r>
      <rPr>
        <sz val="10"/>
        <color theme="1"/>
        <rFont val="Arial"/>
        <family val="2"/>
        <charset val="238"/>
      </rPr>
      <t xml:space="preserve"> =</t>
    </r>
  </si>
  <si>
    <r>
      <t>kNcm</t>
    </r>
    <r>
      <rPr>
        <vertAlign val="superscript"/>
        <sz val="9"/>
        <color theme="1"/>
        <rFont val="Czcionka tekstu podstawowego"/>
        <family val="2"/>
        <charset val="238"/>
      </rPr>
      <t>2</t>
    </r>
  </si>
  <si>
    <t>b =</t>
  </si>
  <si>
    <t>BH 20-200</t>
  </si>
  <si>
    <r>
      <t xml:space="preserve">Wysokość - </t>
    </r>
    <r>
      <rPr>
        <b/>
        <sz val="10"/>
        <color theme="1"/>
        <rFont val="Arial"/>
        <family val="2"/>
        <charset val="238"/>
      </rPr>
      <t>Hc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</si>
  <si>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t>Szerokość -</t>
    </r>
    <r>
      <rPr>
        <b/>
        <sz val="10"/>
        <color theme="1"/>
        <rFont val="Arial"/>
        <family val="2"/>
        <charset val="238"/>
      </rPr>
      <t xml:space="preserve">Bc </t>
    </r>
    <r>
      <rPr>
        <sz val="10"/>
        <color theme="1"/>
        <rFont val="Czcionka tekstu podstawowego"/>
        <family val="2"/>
        <charset val="238"/>
      </rPr>
      <t>[mm]</t>
    </r>
  </si>
  <si>
    <r>
      <t xml:space="preserve">Średnica - </t>
    </r>
    <r>
      <rPr>
        <b/>
        <sz val="10"/>
        <color theme="1"/>
        <rFont val="Arial"/>
        <family val="2"/>
        <charset val="238"/>
      </rPr>
      <t>D</t>
    </r>
    <r>
      <rPr>
        <b/>
        <vertAlign val="subscript"/>
        <sz val="10"/>
        <color theme="1"/>
        <rFont val="Arial"/>
        <family val="2"/>
        <charset val="238"/>
      </rPr>
      <t>o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</si>
  <si>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t>Odległość od górnej krawędzi -</t>
    </r>
    <r>
      <rPr>
        <b/>
        <sz val="10"/>
        <color theme="1"/>
        <rFont val="Arial"/>
        <family val="2"/>
        <charset val="238"/>
      </rPr>
      <t xml:space="preserve"> h</t>
    </r>
    <r>
      <rPr>
        <b/>
        <vertAlign val="subscript"/>
        <sz val="10"/>
        <color theme="1"/>
        <rFont val="Arial"/>
        <family val="2"/>
        <charset val="238"/>
      </rPr>
      <t>o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</si>
  <si>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rPr>
        <b/>
        <sz val="10"/>
        <color theme="1"/>
        <rFont val="Czcionka tekstu podstawowego"/>
        <charset val="238"/>
      </rPr>
      <t>s</t>
    </r>
    <r>
      <rPr>
        <sz val="10"/>
        <color theme="1"/>
        <rFont val="Czcionka tekstu podstawowego"/>
        <family val="2"/>
        <charset val="238"/>
      </rPr>
      <t xml:space="preserve">  [mm]</t>
    </r>
  </si>
  <si>
    <r>
      <rPr>
        <b/>
        <sz val="10"/>
        <color theme="1"/>
        <rFont val="Arial"/>
        <family val="2"/>
        <charset val="238"/>
      </rPr>
      <t>dsg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</si>
  <si>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rPr>
        <b/>
        <sz val="10"/>
        <color theme="1"/>
        <rFont val="Arial"/>
        <family val="2"/>
        <charset val="238"/>
      </rPr>
      <t>dsd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</si>
  <si>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rPr>
        <b/>
        <sz val="10"/>
        <color theme="1"/>
        <rFont val="Arial"/>
        <family val="2"/>
        <charset val="238"/>
      </rPr>
      <t>ds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</si>
  <si>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t xml:space="preserve"> </t>
    </r>
    <r>
      <rPr>
        <i/>
        <sz val="11"/>
        <color theme="1"/>
        <rFont val="Czcionka tekstu podstawowego"/>
        <charset val="238"/>
      </rPr>
      <t>a</t>
    </r>
    <r>
      <rPr>
        <i/>
        <vertAlign val="subscript"/>
        <sz val="11"/>
        <color theme="1"/>
        <rFont val="Czcionka tekstu podstawowego"/>
        <charset val="238"/>
      </rPr>
      <t>g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</si>
  <si>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a</t>
    </r>
    <r>
      <rPr>
        <i/>
        <vertAlign val="subscript"/>
        <sz val="11"/>
        <color theme="1"/>
        <rFont val="Czcionka tekstu podstawowego"/>
        <charset val="238"/>
      </rPr>
      <t>d</t>
    </r>
    <r>
      <rPr>
        <vertAlign val="subscript"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family val="2"/>
        <charset val="238"/>
      </rPr>
      <t>=</t>
    </r>
  </si>
  <si>
    <r>
      <rPr>
        <i/>
        <sz val="11"/>
        <color theme="1"/>
        <rFont val="Czcionka tekstu podstawowego"/>
        <charset val="238"/>
      </rPr>
      <t>a</t>
    </r>
    <r>
      <rPr>
        <i/>
        <vertAlign val="subscript"/>
        <sz val="11"/>
        <color theme="1"/>
        <rFont val="Czcionka tekstu podstawowego"/>
        <charset val="238"/>
      </rPr>
      <t>sg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</si>
  <si>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Czcionka tekstu podstawowego"/>
        <charset val="238"/>
      </rPr>
      <t>a</t>
    </r>
    <r>
      <rPr>
        <i/>
        <vertAlign val="subscript"/>
        <sz val="11"/>
        <color theme="1"/>
        <rFont val="Czcionka tekstu podstawowego"/>
        <charset val="238"/>
      </rPr>
      <t>sd</t>
    </r>
    <r>
      <rPr>
        <vertAlign val="subscript"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family val="2"/>
        <charset val="238"/>
      </rPr>
      <t>=</t>
    </r>
  </si>
  <si>
    <t>Charakterystyki materiałowe</t>
  </si>
  <si>
    <t>Beton</t>
  </si>
  <si>
    <t>C60/75</t>
  </si>
  <si>
    <t>Odległość do środka ciężkości zbrojenia górnego:</t>
  </si>
  <si>
    <t>Otulina górna (do strzemienia ):</t>
  </si>
  <si>
    <t>Otulina dolna (do strzemienia):</t>
  </si>
  <si>
    <t>Odległość do środka ciężkości zbrojenia dolnego:</t>
  </si>
  <si>
    <t>Odległość do środka ciężkości strzemienia górnego:</t>
  </si>
  <si>
    <t>Odległość do środka ciężkości strzemienia dolnego:</t>
  </si>
  <si>
    <r>
      <t xml:space="preserve"> </t>
    </r>
    <r>
      <rPr>
        <i/>
        <sz val="11"/>
        <color indexed="8"/>
        <rFont val="Czcionka tekstu podstawowego"/>
        <charset val="238"/>
      </rPr>
      <t>f</t>
    </r>
    <r>
      <rPr>
        <i/>
        <vertAlign val="subscript"/>
        <sz val="11"/>
        <color indexed="8"/>
        <rFont val="Czcionka tekstu podstawowego"/>
        <charset val="238"/>
      </rPr>
      <t>ck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</si>
  <si>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>g</t>
    </r>
    <r>
      <rPr>
        <i/>
        <vertAlign val="subscript"/>
        <sz val="11"/>
        <color theme="1"/>
        <rFont val="Arial"/>
        <family val="2"/>
        <charset val="238"/>
      </rPr>
      <t>c</t>
    </r>
    <r>
      <rPr>
        <i/>
        <sz val="11"/>
        <color theme="1"/>
        <rFont val="Symbol"/>
        <family val="1"/>
        <charset val="2"/>
      </rPr>
      <t xml:space="preserve"> </t>
    </r>
    <r>
      <rPr>
        <i/>
        <sz val="11"/>
        <color theme="1"/>
        <rFont val="Arial"/>
        <family val="2"/>
        <charset val="238"/>
      </rPr>
      <t>=</t>
    </r>
  </si>
  <si>
    <t>C20/25</t>
  </si>
  <si>
    <t>Zaprawa (beton zalewowy)</t>
  </si>
  <si>
    <r>
      <rPr>
        <i/>
        <sz val="11"/>
        <color theme="1"/>
        <rFont val="Symbol"/>
        <family val="1"/>
        <charset val="2"/>
      </rPr>
      <t>r</t>
    </r>
    <r>
      <rPr>
        <i/>
        <vertAlign val="subscript"/>
        <sz val="11"/>
        <color theme="1"/>
        <rFont val="Arial"/>
        <family val="2"/>
        <charset val="238"/>
      </rPr>
      <t xml:space="preserve">betonu </t>
    </r>
    <r>
      <rPr>
        <sz val="11"/>
        <color theme="1"/>
        <rFont val="Symbol"/>
        <family val="1"/>
        <charset val="2"/>
      </rPr>
      <t>=</t>
    </r>
  </si>
  <si>
    <t>Stal konstrukcyjna</t>
  </si>
  <si>
    <t>Stal zbrojeniowa</t>
  </si>
  <si>
    <t>Spoiny</t>
  </si>
  <si>
    <r>
      <rPr>
        <i/>
        <sz val="11"/>
        <color theme="1"/>
        <rFont val="Symbol"/>
        <family val="1"/>
        <charset val="2"/>
      </rPr>
      <t>r</t>
    </r>
    <r>
      <rPr>
        <i/>
        <vertAlign val="subscript"/>
        <sz val="11"/>
        <color theme="1"/>
        <rFont val="Arial"/>
        <family val="2"/>
        <charset val="238"/>
      </rPr>
      <t xml:space="preserve">stali </t>
    </r>
    <r>
      <rPr>
        <sz val="11"/>
        <color theme="1"/>
        <rFont val="Symbol"/>
        <family val="1"/>
        <charset val="2"/>
      </rPr>
      <t>=</t>
    </r>
  </si>
  <si>
    <t>Ciężar belki BH</t>
  </si>
  <si>
    <r>
      <t>L</t>
    </r>
    <r>
      <rPr>
        <vertAlign val="subscript"/>
        <sz val="11"/>
        <color theme="1"/>
        <rFont val="Czcionka tekstu podstawowego"/>
        <charset val="238"/>
      </rPr>
      <t>HB</t>
    </r>
    <r>
      <rPr>
        <sz val="11"/>
        <color theme="1"/>
        <rFont val="Czcionka tekstu podstawowego"/>
        <family val="2"/>
        <charset val="238"/>
      </rPr>
      <t>=</t>
    </r>
  </si>
  <si>
    <r>
      <t>g</t>
    </r>
    <r>
      <rPr>
        <i/>
        <vertAlign val="subscript"/>
        <sz val="11"/>
        <color theme="1"/>
        <rFont val="Arial"/>
        <family val="2"/>
        <charset val="238"/>
      </rPr>
      <t>f</t>
    </r>
  </si>
  <si>
    <t>Pole przekroju</t>
  </si>
  <si>
    <t>kg/m</t>
  </si>
  <si>
    <t>Obc. char.</t>
  </si>
  <si>
    <t>-</t>
  </si>
  <si>
    <t>Obc. obl..</t>
  </si>
  <si>
    <r>
      <t>Ciężar półki dolnej (P</t>
    </r>
    <r>
      <rPr>
        <vertAlign val="subscript"/>
        <sz val="11"/>
        <color theme="1"/>
        <rFont val="Czcionka tekstu podstawowego"/>
        <charset val="238"/>
      </rPr>
      <t>1</t>
    </r>
    <r>
      <rPr>
        <sz val="11"/>
        <color theme="1"/>
        <rFont val="Czcionka tekstu podstawowego"/>
        <family val="2"/>
        <charset val="238"/>
      </rPr>
      <t>)</t>
    </r>
  </si>
  <si>
    <r>
      <t>Ciężar środnika (P</t>
    </r>
    <r>
      <rPr>
        <vertAlign val="subscript"/>
        <sz val="11"/>
        <color theme="1"/>
        <rFont val="Czcionka tekstu podstawowego"/>
        <charset val="238"/>
      </rPr>
      <t>2</t>
    </r>
    <r>
      <rPr>
        <sz val="11"/>
        <color theme="1"/>
        <rFont val="Czcionka tekstu podstawowego"/>
        <family val="2"/>
        <charset val="238"/>
      </rPr>
      <t>)</t>
    </r>
  </si>
  <si>
    <r>
      <t>Ciężar 2. środników (2P</t>
    </r>
    <r>
      <rPr>
        <vertAlign val="subscript"/>
        <sz val="11"/>
        <color theme="1"/>
        <rFont val="Czcionka tekstu podstawowego"/>
        <charset val="238"/>
      </rPr>
      <t>2</t>
    </r>
    <r>
      <rPr>
        <sz val="11"/>
        <color theme="1"/>
        <rFont val="Czcionka tekstu podstawowego"/>
        <family val="2"/>
        <charset val="238"/>
      </rPr>
      <t>)</t>
    </r>
  </si>
  <si>
    <r>
      <t>Ciężar betonu (P</t>
    </r>
    <r>
      <rPr>
        <vertAlign val="subscript"/>
        <sz val="11"/>
        <color theme="1"/>
        <rFont val="Czcionka tekstu podstawowego"/>
        <charset val="238"/>
      </rPr>
      <t>3</t>
    </r>
    <r>
      <rPr>
        <sz val="11"/>
        <color theme="1"/>
        <rFont val="Czcionka tekstu podstawowego"/>
        <family val="2"/>
        <charset val="238"/>
      </rPr>
      <t>)</t>
    </r>
  </si>
  <si>
    <r>
      <rPr>
        <i/>
        <sz val="11"/>
        <color indexed="8"/>
        <rFont val="Symbol"/>
        <family val="1"/>
        <charset val="2"/>
      </rPr>
      <t>S</t>
    </r>
    <r>
      <rPr>
        <i/>
        <sz val="11"/>
        <color indexed="8"/>
        <rFont val="Czcionka tekstu podstawowego"/>
        <charset val="238"/>
      </rPr>
      <t>G = P</t>
    </r>
    <r>
      <rPr>
        <i/>
        <vertAlign val="subscript"/>
        <sz val="11"/>
        <color indexed="8"/>
        <rFont val="Czcionka tekstu podstawowego"/>
        <charset val="238"/>
      </rPr>
      <t>1</t>
    </r>
    <r>
      <rPr>
        <i/>
        <sz val="11"/>
        <color indexed="8"/>
        <rFont val="Czcionka tekstu podstawowego"/>
        <charset val="238"/>
      </rPr>
      <t>+2P</t>
    </r>
    <r>
      <rPr>
        <i/>
        <vertAlign val="subscript"/>
        <sz val="11"/>
        <color indexed="8"/>
        <rFont val="Czcionka tekstu podstawowego"/>
        <charset val="238"/>
      </rPr>
      <t>1</t>
    </r>
    <r>
      <rPr>
        <i/>
        <sz val="11"/>
        <color indexed="8"/>
        <rFont val="Czcionka tekstu podstawowego"/>
        <charset val="238"/>
      </rPr>
      <t>+P</t>
    </r>
    <r>
      <rPr>
        <i/>
        <vertAlign val="subscript"/>
        <sz val="11"/>
        <color indexed="8"/>
        <rFont val="Czcionka tekstu podstawowego"/>
        <charset val="238"/>
      </rPr>
      <t>3</t>
    </r>
  </si>
  <si>
    <r>
      <rPr>
        <i/>
        <sz val="11"/>
        <color indexed="8"/>
        <rFont val="Symbol"/>
        <family val="1"/>
        <charset val="2"/>
      </rPr>
      <t>S</t>
    </r>
    <r>
      <rPr>
        <i/>
        <sz val="11"/>
        <color indexed="8"/>
        <rFont val="Czcionka tekstu podstawowego"/>
        <charset val="238"/>
      </rPr>
      <t xml:space="preserve">G </t>
    </r>
  </si>
  <si>
    <t>Obciążenie jednostronne od prefabrykatów</t>
  </si>
  <si>
    <t>S</t>
  </si>
  <si>
    <t>Warstwy</t>
  </si>
  <si>
    <t>Podsufitka i izolacja</t>
  </si>
  <si>
    <t>Wypełnienie kanałów</t>
  </si>
  <si>
    <t>Typ obciążenia</t>
  </si>
  <si>
    <r>
      <t>W</t>
    </r>
    <r>
      <rPr>
        <vertAlign val="subscript"/>
        <sz val="11"/>
        <color theme="1"/>
        <rFont val="Czcionka tekstu podstawowego"/>
        <charset val="238"/>
      </rPr>
      <t>cc</t>
    </r>
    <r>
      <rPr>
        <sz val="11"/>
        <color theme="1"/>
        <rFont val="Czcionka tekstu podstawowego"/>
        <family val="2"/>
        <charset val="238"/>
      </rPr>
      <t>=</t>
    </r>
  </si>
  <si>
    <t>Stan montażu:</t>
  </si>
  <si>
    <t>Stan użytkowania:</t>
  </si>
  <si>
    <t>Obciążenia stałe</t>
  </si>
  <si>
    <t>Obciążenia zmienne</t>
  </si>
  <si>
    <t>Schemat statyczny:</t>
  </si>
  <si>
    <t>Stan montażu, obciążenia stałe:</t>
  </si>
  <si>
    <t>Siły poprzeczne</t>
  </si>
  <si>
    <t>od cięzaru własnego belki</t>
  </si>
  <si>
    <r>
      <t>od obciążenia g</t>
    </r>
    <r>
      <rPr>
        <vertAlign val="subscript"/>
        <sz val="11"/>
        <color theme="1"/>
        <rFont val="Czcionka tekstu podstawowego"/>
        <charset val="238"/>
      </rPr>
      <t>L</t>
    </r>
  </si>
  <si>
    <t>od ciężaru całego stropu</t>
  </si>
  <si>
    <t>Momenty zginające</t>
  </si>
  <si>
    <t>Momenty skręcające</t>
  </si>
  <si>
    <t>Stan montażu, obciążenia zmienne:</t>
  </si>
  <si>
    <t>od obc. zmiennego belki</t>
  </si>
  <si>
    <r>
      <t>od obciążenia p</t>
    </r>
    <r>
      <rPr>
        <vertAlign val="subscript"/>
        <sz val="11"/>
        <color theme="1"/>
        <rFont val="Czcionka tekstu podstawowego"/>
        <charset val="238"/>
      </rPr>
      <t>L</t>
    </r>
  </si>
  <si>
    <t>od obc. zmien. całego stropu</t>
  </si>
  <si>
    <r>
      <rPr>
        <sz val="9"/>
        <color theme="1"/>
        <rFont val="Czcionka tekstu podstawowego"/>
        <charset val="238"/>
      </rPr>
      <t>mimośród</t>
    </r>
    <r>
      <rPr>
        <sz val="11"/>
        <color theme="1"/>
        <rFont val="Czcionka tekstu podstawowego"/>
        <family val="2"/>
        <charset val="238"/>
      </rPr>
      <t xml:space="preserve"> e=</t>
    </r>
  </si>
  <si>
    <t>Siła poprzeczna</t>
  </si>
  <si>
    <t>Moment zginający</t>
  </si>
  <si>
    <t>char.</t>
  </si>
  <si>
    <t>Moment skręcający</t>
  </si>
  <si>
    <t>Stan użytkowania, obciążenia stałe:</t>
  </si>
  <si>
    <t>Stan użytkowania, obciążenia zmienne:</t>
  </si>
  <si>
    <t>Wartości maksymalne od obciążenia stałego i zmiennego całego stropu - montaż:</t>
  </si>
  <si>
    <t>Wartości maksymalne od obciążenia stałego i zmiennego całego stropu - użytkowanie:</t>
  </si>
  <si>
    <t>Siły wewnętrzne</t>
  </si>
  <si>
    <t>Nośność belki hybrydowej</t>
  </si>
  <si>
    <t>Przykłady rozkładu plastycznych naprężeń w efektywnym przekroju wg rys. 6.9 EC4.</t>
  </si>
  <si>
    <t>Pole przekroju zbrojenia:</t>
  </si>
  <si>
    <t>Głębokość strefy ściskanej:</t>
  </si>
  <si>
    <t>Przypadek 1</t>
  </si>
  <si>
    <t>Założenia:</t>
  </si>
  <si>
    <t>►</t>
  </si>
  <si>
    <r>
      <t>A</t>
    </r>
    <r>
      <rPr>
        <b/>
        <i/>
        <vertAlign val="subscript"/>
        <sz val="11"/>
        <color theme="1"/>
        <rFont val="Czcionka tekstu podstawowego"/>
        <charset val="238"/>
      </rPr>
      <t xml:space="preserve">sd </t>
    </r>
    <r>
      <rPr>
        <b/>
        <sz val="11"/>
        <color theme="1"/>
        <rFont val="Czcionka tekstu podstawowego"/>
        <charset val="238"/>
      </rPr>
      <t>w strefie rozciąganej</t>
    </r>
  </si>
  <si>
    <r>
      <t xml:space="preserve">z uwzględnieniem </t>
    </r>
    <r>
      <rPr>
        <b/>
        <i/>
        <sz val="11"/>
        <color theme="1"/>
        <rFont val="Czcionka tekstu podstawowego"/>
        <charset val="238"/>
      </rPr>
      <t>A</t>
    </r>
    <r>
      <rPr>
        <b/>
        <i/>
        <vertAlign val="subscript"/>
        <sz val="11"/>
        <color theme="1"/>
        <rFont val="Czcionka tekstu podstawowego"/>
        <charset val="238"/>
      </rPr>
      <t>sd</t>
    </r>
  </si>
  <si>
    <r>
      <t>z uwzględnieniem redukcji 0,85∙f</t>
    </r>
    <r>
      <rPr>
        <b/>
        <vertAlign val="subscript"/>
        <sz val="11"/>
        <color theme="1"/>
        <rFont val="Czcionka tekstu podstawowego"/>
        <charset val="238"/>
      </rPr>
      <t>cd</t>
    </r>
  </si>
  <si>
    <t>mianownik:</t>
  </si>
  <si>
    <t>licznik:</t>
  </si>
  <si>
    <r>
      <rPr>
        <b/>
        <i/>
        <sz val="11"/>
        <color theme="1"/>
        <rFont val="Czcionka tekstu podstawowego"/>
        <charset val="238"/>
      </rPr>
      <t>x</t>
    </r>
    <r>
      <rPr>
        <b/>
        <i/>
        <vertAlign val="subscript"/>
        <sz val="11"/>
        <color theme="1"/>
        <rFont val="Czcionka tekstu podstawowego"/>
        <charset val="238"/>
      </rPr>
      <t>pl</t>
    </r>
    <r>
      <rPr>
        <b/>
        <sz val="11"/>
        <color theme="1"/>
        <rFont val="Czcionka tekstu podstawowego"/>
        <charset val="238"/>
      </rPr>
      <t xml:space="preserve"> =</t>
    </r>
  </si>
  <si>
    <t>Przypadek 2</t>
  </si>
  <si>
    <r>
      <t xml:space="preserve">bez uwzględnienia </t>
    </r>
    <r>
      <rPr>
        <b/>
        <i/>
        <sz val="11"/>
        <color theme="1"/>
        <rFont val="Czcionka tekstu podstawowego"/>
        <charset val="238"/>
      </rPr>
      <t>A</t>
    </r>
    <r>
      <rPr>
        <b/>
        <i/>
        <vertAlign val="subscript"/>
        <sz val="11"/>
        <color theme="1"/>
        <rFont val="Czcionka tekstu podstawowego"/>
        <charset val="238"/>
      </rPr>
      <t>sd</t>
    </r>
  </si>
  <si>
    <t>Przypadek 3</t>
  </si>
  <si>
    <r>
      <t>bez uwzględnienia redukcji 0,85∙f</t>
    </r>
    <r>
      <rPr>
        <b/>
        <vertAlign val="subscript"/>
        <sz val="11"/>
        <color theme="1"/>
        <rFont val="Czcionka tekstu podstawowego"/>
        <charset val="238"/>
      </rPr>
      <t>cd</t>
    </r>
  </si>
  <si>
    <t>Przypadek 4</t>
  </si>
  <si>
    <t>Przypadek 5</t>
  </si>
  <si>
    <r>
      <t>A</t>
    </r>
    <r>
      <rPr>
        <b/>
        <i/>
        <vertAlign val="subscript"/>
        <sz val="11"/>
        <color theme="1"/>
        <rFont val="Czcionka tekstu podstawowego"/>
        <charset val="238"/>
      </rPr>
      <t xml:space="preserve">sd </t>
    </r>
    <r>
      <rPr>
        <b/>
        <sz val="11"/>
        <color theme="1"/>
        <rFont val="Czcionka tekstu podstawowego"/>
        <charset val="238"/>
      </rPr>
      <t>w strefie ściskanej</t>
    </r>
  </si>
  <si>
    <t>Przypadek 6</t>
  </si>
  <si>
    <r>
      <t>N</t>
    </r>
    <r>
      <rPr>
        <b/>
        <vertAlign val="subscript"/>
        <sz val="12"/>
        <color theme="1"/>
        <rFont val="Times New Roman"/>
        <family val="1"/>
        <charset val="238"/>
      </rPr>
      <t xml:space="preserve">Rd </t>
    </r>
  </si>
  <si>
    <r>
      <t>N</t>
    </r>
    <r>
      <rPr>
        <b/>
        <vertAlign val="subscript"/>
        <sz val="12"/>
        <color theme="1"/>
        <rFont val="Times New Roman"/>
        <family val="1"/>
        <charset val="238"/>
      </rPr>
      <t xml:space="preserve">rd </t>
    </r>
    <r>
      <rPr>
        <b/>
        <sz val="12"/>
        <color theme="1"/>
        <rFont val="Times New Roman"/>
        <family val="1"/>
        <charset val="238"/>
      </rPr>
      <t>=</t>
    </r>
  </si>
  <si>
    <r>
      <t>M</t>
    </r>
    <r>
      <rPr>
        <vertAlign val="subscript"/>
        <sz val="11"/>
        <color theme="1"/>
        <rFont val="Czcionka tekstu podstawowego"/>
        <charset val="238"/>
      </rPr>
      <t>Rd</t>
    </r>
  </si>
  <si>
    <t>(względem osi obojętnej)</t>
  </si>
  <si>
    <r>
      <t>M</t>
    </r>
    <r>
      <rPr>
        <b/>
        <vertAlign val="subscript"/>
        <sz val="11"/>
        <color theme="1"/>
        <rFont val="Czcionka tekstu podstawowego"/>
        <charset val="238"/>
      </rPr>
      <t>Rd</t>
    </r>
    <r>
      <rPr>
        <b/>
        <sz val="11"/>
        <color theme="1"/>
        <rFont val="Czcionka tekstu podstawowego"/>
        <charset val="238"/>
      </rPr>
      <t xml:space="preserve"> =</t>
    </r>
  </si>
  <si>
    <t>(względem osi ciężkości półki dolnej)</t>
  </si>
  <si>
    <t>&lt;beton&gt;</t>
  </si>
  <si>
    <t>&lt;zbrojenie górą&gt;</t>
  </si>
  <si>
    <t>&lt;środnik nad osią obojętną&gt;</t>
  </si>
  <si>
    <t>&lt;otwór w betonie&gt;</t>
  </si>
  <si>
    <t>&lt;otwór w środniku&gt;</t>
  </si>
  <si>
    <t>&lt;zbrojenie dołem&gt;</t>
  </si>
  <si>
    <t>&lt;środnik pod osią&gt;</t>
  </si>
  <si>
    <t>altern.</t>
  </si>
  <si>
    <t>Stan użytkowania (bez współpracy stropu):</t>
  </si>
  <si>
    <t>&lt;zalany otwór w betonie&gt;</t>
  </si>
  <si>
    <t>Stan użytkowania (przy współpracy stropu):</t>
  </si>
  <si>
    <t>Obliczanie trzpieni główkowych</t>
  </si>
  <si>
    <r>
      <rPr>
        <b/>
        <sz val="10.5"/>
        <color theme="1"/>
        <rFont val="Arial"/>
        <family val="2"/>
        <charset val="238"/>
      </rPr>
      <t>f</t>
    </r>
    <r>
      <rPr>
        <b/>
        <vertAlign val="subscript"/>
        <sz val="10.5"/>
        <color theme="1"/>
        <rFont val="Arial"/>
        <family val="2"/>
        <charset val="238"/>
      </rPr>
      <t>u</t>
    </r>
    <r>
      <rPr>
        <vertAlign val="subscript"/>
        <sz val="10.5"/>
        <color theme="1"/>
        <rFont val="Arial"/>
        <family val="2"/>
        <charset val="238"/>
      </rPr>
      <t xml:space="preserve"> </t>
    </r>
    <r>
      <rPr>
        <sz val="10.5"/>
        <color theme="1"/>
        <rFont val="Arial"/>
        <family val="2"/>
        <charset val="238"/>
      </rPr>
      <t>- wytrzymałość na rozciąganie materiału sworznia (nie więcej niż 500 N/mm2)</t>
    </r>
  </si>
  <si>
    <r>
      <rPr>
        <b/>
        <sz val="10.5"/>
        <color theme="1"/>
        <rFont val="Symbol"/>
        <family val="1"/>
        <charset val="2"/>
      </rPr>
      <t>g</t>
    </r>
    <r>
      <rPr>
        <b/>
        <vertAlign val="subscript"/>
        <sz val="10.5"/>
        <color theme="1"/>
        <rFont val="Arial"/>
        <family val="2"/>
        <charset val="238"/>
      </rPr>
      <t>obc.</t>
    </r>
    <r>
      <rPr>
        <vertAlign val="subscript"/>
        <sz val="10.5"/>
        <color theme="1"/>
        <rFont val="Arial"/>
        <family val="2"/>
        <charset val="238"/>
      </rPr>
      <t xml:space="preserve"> </t>
    </r>
    <r>
      <rPr>
        <sz val="10.5"/>
        <color theme="1"/>
        <rFont val="Arial"/>
        <family val="2"/>
        <charset val="238"/>
      </rPr>
      <t>- współczynnik częściowy dla obciążeń</t>
    </r>
  </si>
  <si>
    <r>
      <rPr>
        <b/>
        <sz val="10.5"/>
        <color theme="1"/>
        <rFont val="Symbol"/>
        <family val="1"/>
        <charset val="2"/>
      </rPr>
      <t>g</t>
    </r>
    <r>
      <rPr>
        <b/>
        <vertAlign val="subscript"/>
        <sz val="10.5"/>
        <color theme="1"/>
        <rFont val="Arial"/>
        <family val="2"/>
        <charset val="238"/>
      </rPr>
      <t>v</t>
    </r>
    <r>
      <rPr>
        <vertAlign val="subscript"/>
        <sz val="10.5"/>
        <color theme="1"/>
        <rFont val="Arial"/>
        <family val="2"/>
        <charset val="238"/>
      </rPr>
      <t xml:space="preserve"> </t>
    </r>
    <r>
      <rPr>
        <sz val="10.5"/>
        <color theme="1"/>
        <rFont val="Arial"/>
        <family val="2"/>
        <charset val="238"/>
      </rPr>
      <t xml:space="preserve">- współczynnik częściowy (Wartość </t>
    </r>
    <r>
      <rPr>
        <sz val="10.5"/>
        <color theme="1"/>
        <rFont val="Symbol"/>
        <family val="1"/>
        <charset val="2"/>
      </rPr>
      <t>g</t>
    </r>
    <r>
      <rPr>
        <vertAlign val="subscript"/>
        <sz val="10.5"/>
        <color theme="1"/>
        <rFont val="Arial"/>
        <family val="2"/>
        <charset val="238"/>
      </rPr>
      <t>v</t>
    </r>
    <r>
      <rPr>
        <sz val="10.5"/>
        <color theme="1"/>
        <rFont val="Arial"/>
        <family val="2"/>
        <charset val="238"/>
      </rPr>
      <t xml:space="preserve"> można podać w załączniku krajowym. 
      Wartość zalecana </t>
    </r>
    <r>
      <rPr>
        <sz val="10.5"/>
        <color theme="1"/>
        <rFont val="Symbol"/>
        <family val="1"/>
        <charset val="2"/>
      </rPr>
      <t>g</t>
    </r>
    <r>
      <rPr>
        <vertAlign val="subscript"/>
        <sz val="10.5"/>
        <color theme="1"/>
        <rFont val="Arial"/>
        <family val="2"/>
        <charset val="238"/>
      </rPr>
      <t>v</t>
    </r>
    <r>
      <rPr>
        <sz val="10.5"/>
        <color theme="1"/>
        <rFont val="Arial"/>
        <family val="2"/>
        <charset val="238"/>
      </rPr>
      <t xml:space="preserve"> wynosi 1,25)</t>
    </r>
  </si>
  <si>
    <r>
      <rPr>
        <b/>
        <sz val="10.5"/>
        <color theme="1"/>
        <rFont val="Arial"/>
        <family val="2"/>
        <charset val="238"/>
      </rPr>
      <t>d</t>
    </r>
    <r>
      <rPr>
        <sz val="10.5"/>
        <color theme="1"/>
        <rFont val="Arial"/>
        <family val="2"/>
        <charset val="238"/>
      </rPr>
      <t xml:space="preserve"> - średnica trzpienia sworznia 16 mm ≤</t>
    </r>
    <r>
      <rPr>
        <i/>
        <sz val="10.5"/>
        <color theme="1"/>
        <rFont val="Arial"/>
        <family val="2"/>
        <charset val="238"/>
      </rPr>
      <t>d</t>
    </r>
    <r>
      <rPr>
        <sz val="10.5"/>
        <color theme="1"/>
        <rFont val="Arial"/>
        <family val="2"/>
        <charset val="238"/>
      </rPr>
      <t xml:space="preserve"> ≤ 25 mm,</t>
    </r>
  </si>
  <si>
    <r>
      <rPr>
        <b/>
        <sz val="10.5"/>
        <color theme="1"/>
        <rFont val="Arial"/>
        <family val="2"/>
        <charset val="238"/>
      </rPr>
      <t>h</t>
    </r>
    <r>
      <rPr>
        <b/>
        <vertAlign val="subscript"/>
        <sz val="10.5"/>
        <color theme="1"/>
        <rFont val="Arial"/>
        <family val="2"/>
        <charset val="238"/>
      </rPr>
      <t>sc</t>
    </r>
    <r>
      <rPr>
        <vertAlign val="subscript"/>
        <sz val="10.5"/>
        <color theme="1"/>
        <rFont val="Arial"/>
        <family val="2"/>
        <charset val="238"/>
      </rPr>
      <t xml:space="preserve"> </t>
    </r>
    <r>
      <rPr>
        <sz val="10.5"/>
        <color theme="1"/>
        <rFont val="Arial"/>
        <family val="2"/>
        <charset val="238"/>
      </rPr>
      <t>-</t>
    </r>
    <r>
      <rPr>
        <vertAlign val="subscript"/>
        <sz val="10.5"/>
        <color theme="1"/>
        <rFont val="Arial"/>
        <family val="2"/>
        <charset val="238"/>
      </rPr>
      <t xml:space="preserve"> </t>
    </r>
    <r>
      <rPr>
        <sz val="10.5"/>
        <color theme="1"/>
        <rFont val="Arial"/>
        <family val="2"/>
        <charset val="238"/>
      </rPr>
      <t>całkowita nominalna wysokość łącznika sworzniowego</t>
    </r>
  </si>
  <si>
    <t>Obciążenie niszczące</t>
  </si>
  <si>
    <t>(na 1 mb)</t>
  </si>
  <si>
    <t>(sumaryczne)</t>
  </si>
  <si>
    <t>Obliczeniowa nośność na ścinanie wg EC4</t>
  </si>
  <si>
    <r>
      <rPr>
        <b/>
        <sz val="10.5"/>
        <color theme="1"/>
        <rFont val="Czcionka tekstu podstawowego"/>
        <charset val="238"/>
      </rPr>
      <t>s</t>
    </r>
    <r>
      <rPr>
        <sz val="10.5"/>
        <color theme="1"/>
        <rFont val="Czcionka tekstu podstawowego"/>
        <family val="2"/>
        <charset val="238"/>
      </rPr>
      <t xml:space="preserve"> - odległość pomiędzy strzemionami</t>
    </r>
  </si>
  <si>
    <r>
      <rPr>
        <b/>
        <sz val="10.5"/>
        <color theme="1"/>
        <rFont val="Czcionka tekstu podstawowego"/>
        <charset val="238"/>
      </rPr>
      <t>a=a</t>
    </r>
    <r>
      <rPr>
        <b/>
        <vertAlign val="subscript"/>
        <sz val="10.5"/>
        <color theme="1"/>
        <rFont val="Czcionka tekstu podstawowego"/>
        <charset val="238"/>
      </rPr>
      <t>KB</t>
    </r>
    <r>
      <rPr>
        <sz val="10.5"/>
        <color theme="1"/>
        <rFont val="Czcionka tekstu podstawowego"/>
        <family val="2"/>
        <charset val="238"/>
      </rPr>
      <t xml:space="preserve"> - odległość pomiędzy trzpieniami</t>
    </r>
  </si>
  <si>
    <r>
      <rPr>
        <b/>
        <sz val="10.5"/>
        <color theme="1"/>
        <rFont val="Arial"/>
        <family val="2"/>
        <charset val="238"/>
      </rPr>
      <t>f</t>
    </r>
    <r>
      <rPr>
        <b/>
        <vertAlign val="subscript"/>
        <sz val="10.5"/>
        <color theme="1"/>
        <rFont val="Arial"/>
        <family val="2"/>
        <charset val="238"/>
      </rPr>
      <t>ck</t>
    </r>
    <r>
      <rPr>
        <vertAlign val="subscript"/>
        <sz val="10.5"/>
        <color theme="1"/>
        <rFont val="Arial"/>
        <family val="2"/>
        <charset val="238"/>
      </rPr>
      <t xml:space="preserve"> </t>
    </r>
    <r>
      <rPr>
        <sz val="10.5"/>
        <color theme="1"/>
        <rFont val="Arial"/>
        <family val="2"/>
        <charset val="238"/>
      </rPr>
      <t>- charakterystyczna wytrzymałość na ściskanie betonu (walcowa) w
      rozpatrywanym  wieku betonu, o gęstości nie mniejszej niż 1750 kg/m3</t>
    </r>
  </si>
  <si>
    <r>
      <rPr>
        <b/>
        <sz val="10.5"/>
        <color theme="1"/>
        <rFont val="Symbol"/>
        <family val="1"/>
        <charset val="2"/>
      </rPr>
      <t>f</t>
    </r>
    <r>
      <rPr>
        <b/>
        <vertAlign val="subscript"/>
        <sz val="10.5"/>
        <color theme="1"/>
        <rFont val="Czcionka tekstu podstawowego"/>
        <charset val="238"/>
      </rPr>
      <t>l</t>
    </r>
    <r>
      <rPr>
        <b/>
        <sz val="10.5"/>
        <color theme="1"/>
        <rFont val="Czcionka tekstu podstawowego"/>
        <family val="2"/>
        <charset val="238"/>
      </rPr>
      <t xml:space="preserve"> </t>
    </r>
    <r>
      <rPr>
        <sz val="10.5"/>
        <color theme="1"/>
        <rFont val="Czcionka tekstu podstawowego"/>
        <family val="2"/>
        <charset val="238"/>
      </rPr>
      <t>- średnica zbrojenia podłużnego</t>
    </r>
  </si>
  <si>
    <r>
      <rPr>
        <b/>
        <sz val="10.5"/>
        <color theme="1"/>
        <rFont val="Symbol"/>
        <family val="1"/>
        <charset val="2"/>
      </rPr>
      <t>f</t>
    </r>
    <r>
      <rPr>
        <b/>
        <vertAlign val="subscript"/>
        <sz val="10.5"/>
        <color theme="1"/>
        <rFont val="Czcionka tekstu podstawowego"/>
        <charset val="238"/>
      </rPr>
      <t>s</t>
    </r>
    <r>
      <rPr>
        <sz val="10.5"/>
        <color theme="1"/>
        <rFont val="Czcionka tekstu podstawowego"/>
        <family val="2"/>
        <charset val="238"/>
      </rPr>
      <t xml:space="preserve"> - średnica strzemion</t>
    </r>
  </si>
  <si>
    <r>
      <rPr>
        <b/>
        <sz val="10.5"/>
        <color theme="1"/>
        <rFont val="Czcionka tekstu podstawowego"/>
        <charset val="238"/>
      </rPr>
      <t>n</t>
    </r>
    <r>
      <rPr>
        <sz val="10.5"/>
        <color theme="1"/>
        <rFont val="Czcionka tekstu podstawowego"/>
        <charset val="238"/>
      </rPr>
      <t xml:space="preserve"> - liczba bolców</t>
    </r>
  </si>
  <si>
    <t>liczba bolców na mb</t>
  </si>
  <si>
    <t>n/metr =</t>
  </si>
  <si>
    <t xml:space="preserve">moment skrecający 0,5 m od podpory  </t>
  </si>
  <si>
    <t xml:space="preserve">£ </t>
  </si>
  <si>
    <t>Nośność na zginanie półki dolnej</t>
  </si>
  <si>
    <t>od char.</t>
  </si>
  <si>
    <t>od obl.</t>
  </si>
  <si>
    <t>naprężenia przy skręcaniu:</t>
  </si>
  <si>
    <t>siła ścinająca w i-tej ścianie spowodowana skręcaniem:</t>
  </si>
  <si>
    <r>
      <t>M</t>
    </r>
    <r>
      <rPr>
        <vertAlign val="subscript"/>
        <sz val="11"/>
        <color theme="1"/>
        <rFont val="Czcionka tekstu podstawowego"/>
        <charset val="238"/>
      </rPr>
      <t>pl</t>
    </r>
    <r>
      <rPr>
        <sz val="11"/>
        <color theme="1"/>
        <rFont val="Czcionka tekstu podstawowego"/>
        <charset val="238"/>
      </rPr>
      <t xml:space="preserve"> = </t>
    </r>
  </si>
  <si>
    <r>
      <t>V</t>
    </r>
    <r>
      <rPr>
        <b/>
        <i/>
        <vertAlign val="subscript"/>
        <sz val="11"/>
        <color theme="1"/>
        <rFont val="Times New Roman"/>
        <family val="1"/>
        <charset val="238"/>
      </rPr>
      <t>Ed,i</t>
    </r>
    <r>
      <rPr>
        <b/>
        <i/>
        <sz val="11"/>
        <color theme="1"/>
        <rFont val="Times New Roman"/>
        <family val="1"/>
        <charset val="238"/>
      </rPr>
      <t xml:space="preserve"> = </t>
    </r>
    <r>
      <rPr>
        <b/>
        <i/>
        <sz val="11"/>
        <color theme="1"/>
        <rFont val="Symbol"/>
        <family val="1"/>
        <charset val="2"/>
      </rPr>
      <t>t</t>
    </r>
    <r>
      <rPr>
        <b/>
        <i/>
        <vertAlign val="subscript"/>
        <sz val="11"/>
        <color theme="1"/>
        <rFont val="Times New Roman"/>
        <family val="1"/>
        <charset val="238"/>
      </rPr>
      <t xml:space="preserve">t,i </t>
    </r>
    <r>
      <rPr>
        <b/>
        <i/>
        <sz val="11"/>
        <color theme="1"/>
        <rFont val="Times New Roman"/>
        <family val="1"/>
        <charset val="238"/>
      </rPr>
      <t>t</t>
    </r>
    <r>
      <rPr>
        <b/>
        <i/>
        <vertAlign val="subscript"/>
        <sz val="11"/>
        <color theme="1"/>
        <rFont val="Times New Roman"/>
        <family val="1"/>
        <charset val="238"/>
      </rPr>
      <t>ef,i</t>
    </r>
    <r>
      <rPr>
        <b/>
        <i/>
        <sz val="11"/>
        <color theme="1"/>
        <rFont val="Times New Roman"/>
        <family val="1"/>
        <charset val="238"/>
      </rPr>
      <t xml:space="preserve"> z</t>
    </r>
    <r>
      <rPr>
        <b/>
        <i/>
        <vertAlign val="subscript"/>
        <sz val="11"/>
        <color theme="1"/>
        <rFont val="Times New Roman"/>
        <family val="1"/>
        <charset val="238"/>
      </rPr>
      <t>i</t>
    </r>
  </si>
  <si>
    <t>Wymagane pole przekroju zbrojenia podłuznego na skręcanie można obliczyć ze wzoru:</t>
  </si>
  <si>
    <r>
      <rPr>
        <b/>
        <sz val="11"/>
        <color theme="1"/>
        <rFont val="Symbol"/>
        <family val="1"/>
        <charset val="2"/>
      </rPr>
      <t>t</t>
    </r>
    <r>
      <rPr>
        <b/>
        <vertAlign val="subscript"/>
        <sz val="11"/>
        <color theme="1"/>
        <rFont val="Arial"/>
        <family val="2"/>
        <charset val="238"/>
      </rPr>
      <t xml:space="preserve">t,i </t>
    </r>
    <r>
      <rPr>
        <sz val="11"/>
        <color theme="1"/>
        <rFont val="Arial"/>
        <family val="2"/>
        <charset val="238"/>
      </rPr>
      <t>- naprężenie ścinające spowodowane skręcaniem</t>
    </r>
  </si>
  <si>
    <r>
      <rPr>
        <b/>
        <i/>
        <sz val="11"/>
        <color theme="1"/>
        <rFont val="Times New Roman"/>
        <family val="1"/>
        <charset val="238"/>
      </rPr>
      <t>A</t>
    </r>
    <r>
      <rPr>
        <sz val="11"/>
        <color theme="1"/>
        <rFont val="Arial"/>
        <family val="2"/>
        <charset val="238"/>
      </rPr>
      <t>- jest całkowitym polem przekroju wewnątrz obwodu zewnętrznego, łącznie z wewnętrzną częścią pustą</t>
    </r>
  </si>
  <si>
    <r>
      <t xml:space="preserve">u </t>
    </r>
    <r>
      <rPr>
        <i/>
        <sz val="11"/>
        <color theme="1"/>
        <rFont val="Times New Roman"/>
        <family val="1"/>
        <charset val="238"/>
      </rPr>
      <t>-</t>
    </r>
    <r>
      <rPr>
        <b/>
        <i/>
        <sz val="11"/>
        <color theme="1"/>
        <rFont val="Times New Roman"/>
        <family val="1"/>
        <charset val="238"/>
      </rPr>
      <t xml:space="preserve"> </t>
    </r>
    <r>
      <rPr>
        <sz val="11"/>
        <color theme="1"/>
        <rFont val="Arial"/>
        <family val="2"/>
        <charset val="238"/>
      </rPr>
      <t>jest zewnętrzny obwód przekroju poprzecznego o krawędzi B</t>
    </r>
    <r>
      <rPr>
        <b/>
        <i/>
        <sz val="11"/>
        <color theme="1"/>
        <rFont val="Times New Roman"/>
        <family val="1"/>
        <charset val="238"/>
      </rPr>
      <t xml:space="preserve"> </t>
    </r>
  </si>
  <si>
    <r>
      <t>z</t>
    </r>
    <r>
      <rPr>
        <b/>
        <i/>
        <vertAlign val="subscript"/>
        <sz val="11"/>
        <color theme="1"/>
        <rFont val="Times New Roman"/>
        <family val="1"/>
        <charset val="238"/>
      </rPr>
      <t xml:space="preserve">i </t>
    </r>
    <r>
      <rPr>
        <i/>
        <sz val="11"/>
        <color theme="1"/>
        <rFont val="Times New Roman"/>
        <family val="1"/>
        <charset val="238"/>
      </rPr>
      <t>-</t>
    </r>
    <r>
      <rPr>
        <b/>
        <i/>
        <vertAlign val="subscript"/>
        <sz val="11"/>
        <color theme="1"/>
        <rFont val="Times New Roman"/>
        <family val="1"/>
        <charset val="238"/>
      </rPr>
      <t xml:space="preserve"> </t>
    </r>
    <r>
      <rPr>
        <sz val="11"/>
        <color theme="1"/>
        <rFont val="Arial"/>
        <family val="2"/>
        <charset val="238"/>
      </rPr>
      <t>jest długością boczną ściany i, określoną przez odległość punktów przecięcia ze ścianami sąsiednimi</t>
    </r>
  </si>
  <si>
    <r>
      <rPr>
        <b/>
        <sz val="11"/>
        <color theme="1"/>
        <rFont val="Arial"/>
        <family val="2"/>
        <charset val="238"/>
      </rPr>
      <t>u</t>
    </r>
    <r>
      <rPr>
        <b/>
        <vertAlign val="subscript"/>
        <sz val="11"/>
        <color theme="1"/>
        <rFont val="Arial"/>
        <family val="2"/>
        <charset val="238"/>
      </rPr>
      <t>k</t>
    </r>
    <r>
      <rPr>
        <vertAlign val="subscript"/>
        <sz val="11"/>
        <color theme="1"/>
        <rFont val="Arial"/>
        <family val="2"/>
        <charset val="238"/>
      </rPr>
      <t xml:space="preserve"> </t>
    </r>
    <r>
      <rPr>
        <sz val="11"/>
        <color theme="1"/>
        <rFont val="Arial"/>
        <family val="2"/>
        <charset val="238"/>
      </rPr>
      <t>- obwód pola przekroju A</t>
    </r>
    <r>
      <rPr>
        <vertAlign val="subscript"/>
        <sz val="11"/>
        <color theme="1"/>
        <rFont val="Arial"/>
        <family val="2"/>
        <charset val="238"/>
      </rPr>
      <t>k</t>
    </r>
  </si>
  <si>
    <r>
      <rPr>
        <b/>
        <sz val="11"/>
        <color theme="1"/>
        <rFont val="Arial"/>
        <family val="2"/>
        <charset val="238"/>
      </rPr>
      <t>f</t>
    </r>
    <r>
      <rPr>
        <b/>
        <vertAlign val="subscript"/>
        <sz val="11"/>
        <color theme="1"/>
        <rFont val="Arial"/>
        <family val="2"/>
        <charset val="238"/>
      </rPr>
      <t>yd</t>
    </r>
    <r>
      <rPr>
        <vertAlign val="subscript"/>
        <sz val="11"/>
        <color theme="1"/>
        <rFont val="Arial"/>
        <family val="2"/>
        <charset val="238"/>
      </rPr>
      <t xml:space="preserve"> </t>
    </r>
    <r>
      <rPr>
        <sz val="11"/>
        <color theme="1"/>
        <rFont val="Arial"/>
        <family val="2"/>
        <charset val="238"/>
      </rPr>
      <t>- obliczeniowa granica plastyczności zbrojenia podłużnego Asl</t>
    </r>
  </si>
  <si>
    <r>
      <rPr>
        <b/>
        <sz val="11"/>
        <color theme="1"/>
        <rFont val="Symbol"/>
        <family val="1"/>
        <charset val="2"/>
      </rPr>
      <t>q</t>
    </r>
    <r>
      <rPr>
        <sz val="11"/>
        <color theme="1"/>
        <rFont val="Symbol"/>
        <family val="1"/>
        <charset val="2"/>
      </rPr>
      <t xml:space="preserve"> - </t>
    </r>
    <r>
      <rPr>
        <sz val="11"/>
        <color theme="1"/>
        <rFont val="Arial"/>
        <family val="2"/>
        <charset val="238"/>
      </rPr>
      <t>kąt nachylenia betonowych krzyżulców (patrz Rysunek 6.5)</t>
    </r>
  </si>
  <si>
    <r>
      <t>V</t>
    </r>
    <r>
      <rPr>
        <b/>
        <i/>
        <vertAlign val="subscript"/>
        <sz val="11"/>
        <color theme="1"/>
        <rFont val="Times New Roman"/>
        <family val="1"/>
        <charset val="238"/>
      </rPr>
      <t xml:space="preserve">Ed </t>
    </r>
    <r>
      <rPr>
        <b/>
        <i/>
        <sz val="11"/>
        <color theme="1"/>
        <rFont val="Times New Roman"/>
        <family val="1"/>
        <charset val="238"/>
      </rPr>
      <t>=</t>
    </r>
    <r>
      <rPr>
        <b/>
        <i/>
        <vertAlign val="subscript"/>
        <sz val="11"/>
        <color theme="1"/>
        <rFont val="Times New Roman"/>
        <family val="1"/>
        <charset val="238"/>
      </rPr>
      <t xml:space="preserve"> </t>
    </r>
    <r>
      <rPr>
        <b/>
        <sz val="11"/>
        <color theme="1"/>
        <rFont val="Times New Roman"/>
        <family val="1"/>
        <charset val="238"/>
      </rPr>
      <t xml:space="preserve">0,3 </t>
    </r>
    <r>
      <rPr>
        <b/>
        <i/>
        <sz val="11"/>
        <color theme="1"/>
        <rFont val="Times New Roman"/>
        <family val="1"/>
        <charset val="238"/>
      </rPr>
      <t>P</t>
    </r>
    <r>
      <rPr>
        <b/>
        <i/>
        <vertAlign val="subscript"/>
        <sz val="11"/>
        <color theme="1"/>
        <rFont val="Times New Roman"/>
        <family val="1"/>
        <charset val="238"/>
      </rPr>
      <t xml:space="preserve">Rd,L </t>
    </r>
    <r>
      <rPr>
        <b/>
        <i/>
        <sz val="11"/>
        <color theme="1"/>
        <rFont val="Arial"/>
        <family val="2"/>
        <charset val="238"/>
      </rPr>
      <t>=</t>
    </r>
  </si>
  <si>
    <r>
      <t>T</t>
    </r>
    <r>
      <rPr>
        <b/>
        <i/>
        <vertAlign val="subscript"/>
        <sz val="11"/>
        <color theme="1"/>
        <rFont val="Arial"/>
        <family val="2"/>
        <charset val="238"/>
      </rPr>
      <t>Ed</t>
    </r>
    <r>
      <rPr>
        <b/>
        <sz val="11"/>
        <color theme="1"/>
        <rFont val="Arial"/>
        <family val="2"/>
        <charset val="238"/>
      </rPr>
      <t xml:space="preserve"> =</t>
    </r>
  </si>
  <si>
    <r>
      <rPr>
        <b/>
        <i/>
        <sz val="12"/>
        <color theme="1"/>
        <rFont val="Times New Roman"/>
        <family val="1"/>
        <charset val="238"/>
      </rPr>
      <t>T</t>
    </r>
    <r>
      <rPr>
        <b/>
        <i/>
        <vertAlign val="subscript"/>
        <sz val="12"/>
        <color theme="1"/>
        <rFont val="Times New Roman"/>
        <family val="1"/>
        <charset val="238"/>
      </rPr>
      <t>Rd,max</t>
    </r>
    <r>
      <rPr>
        <b/>
        <vertAlign val="subscript"/>
        <sz val="12"/>
        <color theme="1"/>
        <rFont val="Times New Roman"/>
        <family val="1"/>
        <charset val="238"/>
      </rPr>
      <t xml:space="preserve"> </t>
    </r>
    <r>
      <rPr>
        <b/>
        <sz val="12"/>
        <color theme="1"/>
        <rFont val="Times New Roman"/>
        <family val="1"/>
        <charset val="238"/>
      </rPr>
      <t>= 2</t>
    </r>
    <r>
      <rPr>
        <b/>
        <sz val="12"/>
        <color theme="1"/>
        <rFont val="Arial"/>
        <family val="2"/>
        <charset val="238"/>
      </rPr>
      <t xml:space="preserve"> </t>
    </r>
    <r>
      <rPr>
        <b/>
        <sz val="12"/>
        <color theme="1"/>
        <rFont val="Symbol"/>
        <family val="1"/>
        <charset val="2"/>
      </rPr>
      <t>n</t>
    </r>
    <r>
      <rPr>
        <b/>
        <sz val="12"/>
        <color theme="1"/>
        <rFont val="Arial"/>
        <family val="2"/>
        <charset val="238"/>
      </rPr>
      <t xml:space="preserve"> </t>
    </r>
    <r>
      <rPr>
        <b/>
        <i/>
        <sz val="12"/>
        <color theme="1"/>
        <rFont val="Symbol"/>
        <family val="1"/>
        <charset val="2"/>
      </rPr>
      <t>a</t>
    </r>
    <r>
      <rPr>
        <b/>
        <i/>
        <vertAlign val="subscript"/>
        <sz val="12"/>
        <color theme="1"/>
        <rFont val="Times New Roman"/>
        <family val="1"/>
        <charset val="238"/>
      </rPr>
      <t>cw</t>
    </r>
    <r>
      <rPr>
        <b/>
        <i/>
        <sz val="12"/>
        <color theme="1"/>
        <rFont val="Times New Roman"/>
        <family val="1"/>
        <charset val="238"/>
      </rPr>
      <t xml:space="preserve"> f</t>
    </r>
    <r>
      <rPr>
        <b/>
        <i/>
        <vertAlign val="subscript"/>
        <sz val="12"/>
        <color theme="1"/>
        <rFont val="Times New Roman"/>
        <family val="1"/>
        <charset val="238"/>
      </rPr>
      <t>cd</t>
    </r>
    <r>
      <rPr>
        <b/>
        <i/>
        <sz val="12"/>
        <color theme="1"/>
        <rFont val="Times New Roman"/>
        <family val="1"/>
        <charset val="238"/>
      </rPr>
      <t xml:space="preserve"> A</t>
    </r>
    <r>
      <rPr>
        <b/>
        <i/>
        <vertAlign val="subscript"/>
        <sz val="12"/>
        <color theme="1"/>
        <rFont val="Times New Roman"/>
        <family val="1"/>
        <charset val="238"/>
      </rPr>
      <t>k</t>
    </r>
    <r>
      <rPr>
        <b/>
        <i/>
        <sz val="12"/>
        <color theme="1"/>
        <rFont val="Times New Roman"/>
        <family val="1"/>
        <charset val="238"/>
      </rPr>
      <t xml:space="preserve"> t</t>
    </r>
    <r>
      <rPr>
        <b/>
        <i/>
        <vertAlign val="subscript"/>
        <sz val="12"/>
        <color theme="1"/>
        <rFont val="Times New Roman"/>
        <family val="1"/>
        <charset val="238"/>
      </rPr>
      <t>ef,i</t>
    </r>
    <r>
      <rPr>
        <b/>
        <vertAlign val="subscript"/>
        <sz val="12"/>
        <color theme="1"/>
        <rFont val="Times New Roman"/>
        <family val="1"/>
        <charset val="238"/>
      </rPr>
      <t xml:space="preserve"> </t>
    </r>
    <r>
      <rPr>
        <b/>
        <sz val="12"/>
        <color theme="1"/>
        <rFont val="Times New Roman"/>
        <family val="1"/>
        <charset val="238"/>
      </rPr>
      <t xml:space="preserve">sin </t>
    </r>
    <r>
      <rPr>
        <b/>
        <sz val="12"/>
        <color theme="1"/>
        <rFont val="Symbol"/>
        <family val="1"/>
        <charset val="2"/>
      </rPr>
      <t>q</t>
    </r>
    <r>
      <rPr>
        <b/>
        <sz val="12"/>
        <color theme="1"/>
        <rFont val="Arial"/>
        <family val="2"/>
        <charset val="238"/>
      </rPr>
      <t xml:space="preserve">  </t>
    </r>
    <r>
      <rPr>
        <b/>
        <sz val="12"/>
        <color theme="1"/>
        <rFont val="Times New Roman"/>
        <family val="1"/>
        <charset val="238"/>
      </rPr>
      <t>cos</t>
    </r>
    <r>
      <rPr>
        <b/>
        <sz val="12"/>
        <color theme="1"/>
        <rFont val="Arial"/>
        <family val="2"/>
        <charset val="238"/>
      </rPr>
      <t xml:space="preserve"> </t>
    </r>
    <r>
      <rPr>
        <b/>
        <sz val="12"/>
        <color theme="1"/>
        <rFont val="Symbol"/>
        <family val="1"/>
        <charset val="2"/>
      </rPr>
      <t xml:space="preserve">q </t>
    </r>
    <r>
      <rPr>
        <b/>
        <sz val="12"/>
        <color theme="1"/>
        <rFont val="Arial"/>
        <family val="2"/>
        <charset val="238"/>
      </rPr>
      <t>=</t>
    </r>
  </si>
  <si>
    <r>
      <t>n</t>
    </r>
    <r>
      <rPr>
        <b/>
        <i/>
        <sz val="12"/>
        <color theme="1"/>
        <rFont val="Arial"/>
        <family val="2"/>
        <charset val="238"/>
      </rPr>
      <t xml:space="preserve"> =</t>
    </r>
  </si>
  <si>
    <r>
      <rPr>
        <sz val="11"/>
        <color theme="1"/>
        <rFont val="Symbol"/>
        <family val="1"/>
        <charset val="2"/>
      </rPr>
      <t xml:space="preserve">   n</t>
    </r>
    <r>
      <rPr>
        <sz val="11"/>
        <color theme="1"/>
        <rFont val="Arial"/>
        <family val="2"/>
        <charset val="238"/>
      </rPr>
      <t xml:space="preserve">  wynika z  6.2.2.(6), a </t>
    </r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Arial"/>
        <family val="2"/>
        <charset val="238"/>
      </rPr>
      <t>cw</t>
    </r>
    <r>
      <rPr>
        <sz val="11"/>
        <color theme="1"/>
        <rFont val="Arial"/>
        <family val="2"/>
        <charset val="238"/>
      </rPr>
      <t xml:space="preserve"> z wyrażenia (6.9)</t>
    </r>
  </si>
  <si>
    <r>
      <t xml:space="preserve">   n</t>
    </r>
    <r>
      <rPr>
        <sz val="11"/>
        <color theme="1"/>
        <rFont val="Arial"/>
        <family val="2"/>
        <charset val="238"/>
      </rPr>
      <t xml:space="preserve"> </t>
    </r>
    <r>
      <rPr>
        <sz val="11"/>
        <color theme="1"/>
        <rFont val="Times New Roman"/>
        <family val="1"/>
        <charset val="238"/>
      </rPr>
      <t xml:space="preserve">= 0,9 – </t>
    </r>
    <r>
      <rPr>
        <i/>
        <sz val="11"/>
        <color theme="1"/>
        <rFont val="Times New Roman"/>
        <family val="1"/>
        <charset val="238"/>
      </rPr>
      <t>f</t>
    </r>
    <r>
      <rPr>
        <i/>
        <vertAlign val="subscript"/>
        <sz val="11"/>
        <color theme="1"/>
        <rFont val="Tempus Sans ITC"/>
        <family val="5"/>
      </rPr>
      <t>c</t>
    </r>
    <r>
      <rPr>
        <vertAlign val="subscript"/>
        <sz val="11"/>
        <color theme="1"/>
        <rFont val="Tempus Sans ITC"/>
        <family val="5"/>
      </rPr>
      <t>k</t>
    </r>
    <r>
      <rPr>
        <sz val="11"/>
        <color theme="1"/>
        <rFont val="Times New Roman"/>
        <family val="1"/>
        <charset val="238"/>
      </rPr>
      <t>/200 &gt; 0,5</t>
    </r>
  </si>
  <si>
    <r>
      <rPr>
        <b/>
        <i/>
        <sz val="9.5"/>
        <color theme="1"/>
        <rFont val="Times New Roman"/>
        <family val="1"/>
        <charset val="238"/>
      </rPr>
      <t>V</t>
    </r>
    <r>
      <rPr>
        <b/>
        <i/>
        <vertAlign val="subscript"/>
        <sz val="9.5"/>
        <color theme="1"/>
        <rFont val="Times New Roman"/>
        <family val="1"/>
        <charset val="238"/>
      </rPr>
      <t>Rd,max</t>
    </r>
    <r>
      <rPr>
        <b/>
        <i/>
        <sz val="9.5"/>
        <color theme="1"/>
        <rFont val="Arial"/>
        <family val="2"/>
        <charset val="238"/>
      </rPr>
      <t>=</t>
    </r>
    <r>
      <rPr>
        <b/>
        <i/>
        <sz val="9.5"/>
        <color theme="1"/>
        <rFont val="Symbol"/>
        <family val="1"/>
        <charset val="2"/>
      </rPr>
      <t>a</t>
    </r>
    <r>
      <rPr>
        <b/>
        <i/>
        <vertAlign val="subscript"/>
        <sz val="9.5"/>
        <color theme="1"/>
        <rFont val="Times New Roman"/>
        <family val="1"/>
        <charset val="238"/>
      </rPr>
      <t>cw</t>
    </r>
    <r>
      <rPr>
        <b/>
        <i/>
        <sz val="9.5"/>
        <color theme="1"/>
        <rFont val="Times New Roman"/>
        <family val="1"/>
        <charset val="238"/>
      </rPr>
      <t>b</t>
    </r>
    <r>
      <rPr>
        <b/>
        <i/>
        <vertAlign val="subscript"/>
        <sz val="9.5"/>
        <color theme="1"/>
        <rFont val="Times New Roman"/>
        <family val="1"/>
        <charset val="238"/>
      </rPr>
      <t>w</t>
    </r>
    <r>
      <rPr>
        <b/>
        <i/>
        <sz val="9.5"/>
        <color theme="1"/>
        <rFont val="Times New Roman"/>
        <family val="1"/>
        <charset val="238"/>
      </rPr>
      <t>z</t>
    </r>
    <r>
      <rPr>
        <b/>
        <i/>
        <sz val="9.5"/>
        <color theme="1"/>
        <rFont val="Symbol"/>
        <family val="1"/>
        <charset val="2"/>
      </rPr>
      <t>n</t>
    </r>
    <r>
      <rPr>
        <b/>
        <i/>
        <vertAlign val="subscript"/>
        <sz val="9.5"/>
        <color theme="1"/>
        <rFont val="Arial"/>
        <family val="2"/>
        <charset val="238"/>
      </rPr>
      <t xml:space="preserve">1 </t>
    </r>
    <r>
      <rPr>
        <b/>
        <i/>
        <sz val="9.5"/>
        <color theme="1"/>
        <rFont val="Times New Roman"/>
        <family val="1"/>
        <charset val="238"/>
      </rPr>
      <t>f</t>
    </r>
    <r>
      <rPr>
        <b/>
        <i/>
        <vertAlign val="subscript"/>
        <sz val="9.5"/>
        <color theme="1"/>
        <rFont val="Times New Roman"/>
        <family val="1"/>
        <charset val="238"/>
      </rPr>
      <t>cd</t>
    </r>
    <r>
      <rPr>
        <b/>
        <i/>
        <sz val="9.5"/>
        <color theme="1"/>
        <rFont val="Arial"/>
        <family val="2"/>
        <charset val="238"/>
      </rPr>
      <t>(cot</t>
    </r>
    <r>
      <rPr>
        <b/>
        <i/>
        <sz val="9.5"/>
        <color theme="1"/>
        <rFont val="Symbol"/>
        <family val="1"/>
        <charset val="2"/>
      </rPr>
      <t>q</t>
    </r>
    <r>
      <rPr>
        <b/>
        <i/>
        <sz val="9.5"/>
        <color theme="1"/>
        <rFont val="Arial"/>
        <family val="2"/>
        <charset val="238"/>
      </rPr>
      <t xml:space="preserve"> + cot</t>
    </r>
    <r>
      <rPr>
        <b/>
        <i/>
        <sz val="9.5"/>
        <color theme="1"/>
        <rFont val="Symbol"/>
        <family val="1"/>
        <charset val="2"/>
      </rPr>
      <t>a</t>
    </r>
    <r>
      <rPr>
        <b/>
        <i/>
        <sz val="9.5"/>
        <color theme="1"/>
        <rFont val="Arial"/>
        <family val="2"/>
        <charset val="238"/>
      </rPr>
      <t>)/(1 + cot</t>
    </r>
    <r>
      <rPr>
        <b/>
        <i/>
        <vertAlign val="superscript"/>
        <sz val="9.5"/>
        <color theme="1"/>
        <rFont val="Arial"/>
        <family val="2"/>
        <charset val="238"/>
      </rPr>
      <t>2</t>
    </r>
    <r>
      <rPr>
        <b/>
        <i/>
        <sz val="9.5"/>
        <color theme="1"/>
        <rFont val="Symbol"/>
        <family val="1"/>
        <charset val="2"/>
      </rPr>
      <t>q</t>
    </r>
    <r>
      <rPr>
        <b/>
        <i/>
        <sz val="9.5"/>
        <color theme="1"/>
        <rFont val="Arial"/>
        <family val="2"/>
        <charset val="238"/>
      </rPr>
      <t>)=</t>
    </r>
  </si>
  <si>
    <t xml:space="preserve">  można przyjąć pełną szerokość środnika</t>
  </si>
  <si>
    <r>
      <t xml:space="preserve">- </t>
    </r>
    <r>
      <rPr>
        <i/>
        <sz val="11"/>
        <color theme="1"/>
        <rFont val="Times New Roman"/>
        <family val="1"/>
        <charset val="238"/>
      </rPr>
      <t>T</t>
    </r>
    <r>
      <rPr>
        <i/>
        <vertAlign val="subscript"/>
        <sz val="11"/>
        <color theme="1"/>
        <rFont val="Times New Roman"/>
        <family val="1"/>
        <charset val="238"/>
      </rPr>
      <t>Edc</t>
    </r>
    <r>
      <rPr>
        <vertAlign val="subscript"/>
        <sz val="11"/>
        <color theme="1"/>
        <rFont val="Arial"/>
        <family val="2"/>
        <charset val="238"/>
      </rPr>
      <t xml:space="preserve"> </t>
    </r>
    <r>
      <rPr>
        <sz val="11"/>
        <color theme="1"/>
        <rFont val="Arial"/>
        <family val="2"/>
        <charset val="238"/>
      </rPr>
      <t>jest skręcającym momentem rysującym</t>
    </r>
  </si>
  <si>
    <r>
      <t>- V</t>
    </r>
    <r>
      <rPr>
        <i/>
        <vertAlign val="subscript"/>
        <sz val="10"/>
        <color theme="1"/>
        <rFont val="Times New Roman"/>
        <family val="1"/>
        <charset val="238"/>
      </rPr>
      <t xml:space="preserve">Ed,c </t>
    </r>
    <r>
      <rPr>
        <sz val="11"/>
        <color theme="1"/>
        <rFont val="Arial"/>
        <family val="2"/>
        <charset val="238"/>
      </rPr>
      <t>wynika z wyrażenia (6.2)</t>
    </r>
  </si>
  <si>
    <t>??</t>
  </si>
  <si>
    <r>
      <t xml:space="preserve">            n</t>
    </r>
    <r>
      <rPr>
        <b/>
        <vertAlign val="subscript"/>
        <sz val="11"/>
        <color theme="1"/>
        <rFont val="Symbol"/>
        <family val="1"/>
        <charset val="2"/>
      </rPr>
      <t>1</t>
    </r>
    <r>
      <rPr>
        <b/>
        <i/>
        <sz val="11"/>
        <color theme="1"/>
        <rFont val="Arial"/>
        <family val="2"/>
        <charset val="238"/>
      </rPr>
      <t xml:space="preserve"> = </t>
    </r>
  </si>
  <si>
    <r>
      <t>cot</t>
    </r>
    <r>
      <rPr>
        <b/>
        <sz val="10"/>
        <color theme="1"/>
        <rFont val="Symbol"/>
        <family val="1"/>
        <charset val="2"/>
      </rPr>
      <t>a = 0</t>
    </r>
  </si>
  <si>
    <r>
      <t xml:space="preserve"> cot</t>
    </r>
    <r>
      <rPr>
        <b/>
        <sz val="10"/>
        <color theme="1"/>
        <rFont val="Symbol"/>
        <family val="1"/>
        <charset val="2"/>
      </rPr>
      <t>q</t>
    </r>
    <r>
      <rPr>
        <b/>
        <sz val="10"/>
        <color theme="1"/>
        <rFont val="Czcionka tekstu podstawowego"/>
        <family val="2"/>
        <charset val="238"/>
      </rPr>
      <t xml:space="preserve"> = 1</t>
    </r>
  </si>
  <si>
    <t>siła od ścinania:</t>
  </si>
  <si>
    <t>siła od skręcania:</t>
  </si>
  <si>
    <t>suma T=</t>
  </si>
  <si>
    <r>
      <t xml:space="preserve">   </t>
    </r>
    <r>
      <rPr>
        <i/>
        <sz val="11"/>
        <color theme="1"/>
        <rFont val="Symbol"/>
        <family val="1"/>
        <charset val="2"/>
      </rPr>
      <t>t</t>
    </r>
    <r>
      <rPr>
        <i/>
        <vertAlign val="subscript"/>
        <sz val="11"/>
        <color theme="1"/>
        <rFont val="Times New Roman"/>
        <family val="1"/>
        <charset val="238"/>
      </rPr>
      <t xml:space="preserve">|| = </t>
    </r>
  </si>
  <si>
    <r>
      <t xml:space="preserve">   </t>
    </r>
    <r>
      <rPr>
        <i/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Symbol"/>
        <family val="1"/>
        <charset val="2"/>
      </rPr>
      <t>^</t>
    </r>
    <r>
      <rPr>
        <i/>
        <vertAlign val="subscript"/>
        <sz val="11"/>
        <color theme="1"/>
        <rFont val="Times New Roman"/>
        <family val="1"/>
        <charset val="238"/>
      </rPr>
      <t xml:space="preserve"> = </t>
    </r>
  </si>
  <si>
    <r>
      <t xml:space="preserve">   </t>
    </r>
    <r>
      <rPr>
        <i/>
        <sz val="11"/>
        <color theme="1"/>
        <rFont val="Symbol"/>
        <family val="1"/>
        <charset val="2"/>
      </rPr>
      <t>t</t>
    </r>
    <r>
      <rPr>
        <vertAlign val="subscript"/>
        <sz val="11"/>
        <color theme="1"/>
        <rFont val="Symbol"/>
        <family val="1"/>
        <charset val="2"/>
      </rPr>
      <t>^</t>
    </r>
    <r>
      <rPr>
        <i/>
        <vertAlign val="subscript"/>
        <sz val="11"/>
        <color theme="1"/>
        <rFont val="Times New Roman"/>
        <family val="1"/>
        <charset val="238"/>
      </rPr>
      <t xml:space="preserve"> = </t>
    </r>
  </si>
  <si>
    <r>
      <t xml:space="preserve">   </t>
    </r>
    <r>
      <rPr>
        <i/>
        <sz val="11"/>
        <color theme="1"/>
        <rFont val="Symbol"/>
        <family val="1"/>
        <charset val="2"/>
      </rPr>
      <t>s</t>
    </r>
    <r>
      <rPr>
        <i/>
        <vertAlign val="subscript"/>
        <sz val="11"/>
        <color theme="1"/>
        <rFont val="Times New Roman"/>
        <family val="1"/>
        <charset val="238"/>
      </rPr>
      <t xml:space="preserve">z </t>
    </r>
    <r>
      <rPr>
        <i/>
        <sz val="11"/>
        <color theme="1"/>
        <rFont val="Times New Roman"/>
        <family val="1"/>
        <charset val="238"/>
      </rPr>
      <t>=</t>
    </r>
    <r>
      <rPr>
        <i/>
        <vertAlign val="subscript"/>
        <sz val="11"/>
        <color theme="1"/>
        <rFont val="Times New Roman"/>
        <family val="1"/>
        <charset val="238"/>
      </rPr>
      <t xml:space="preserve"> </t>
    </r>
  </si>
  <si>
    <r>
      <t xml:space="preserve">bez uwzględnienienia </t>
    </r>
    <r>
      <rPr>
        <b/>
        <i/>
        <sz val="11"/>
        <color theme="1"/>
        <rFont val="Czcionka tekstu podstawowego"/>
        <charset val="238"/>
      </rPr>
      <t>A</t>
    </r>
    <r>
      <rPr>
        <b/>
        <i/>
        <vertAlign val="subscript"/>
        <sz val="11"/>
        <color theme="1"/>
        <rFont val="Czcionka tekstu podstawowego"/>
        <charset val="238"/>
      </rPr>
      <t>sd</t>
    </r>
  </si>
  <si>
    <r>
      <t>z uwzględnieniem redukcji 0,5∙f</t>
    </r>
    <r>
      <rPr>
        <b/>
        <vertAlign val="subscript"/>
        <sz val="11"/>
        <color theme="1"/>
        <rFont val="Czcionka tekstu podstawowego"/>
        <charset val="238"/>
      </rPr>
      <t>ck</t>
    </r>
  </si>
  <si>
    <r>
      <rPr>
        <b/>
        <i/>
        <sz val="11"/>
        <color theme="1"/>
        <rFont val="Czcionka tekstu podstawowego"/>
        <charset val="238"/>
      </rPr>
      <t>x</t>
    </r>
    <r>
      <rPr>
        <b/>
        <sz val="11"/>
        <color theme="1"/>
        <rFont val="Czcionka tekstu podstawowego"/>
        <charset val="238"/>
      </rPr>
      <t xml:space="preserve"> =</t>
    </r>
  </si>
  <si>
    <t>Stan graniczny użytkowalności</t>
  </si>
  <si>
    <t>Bez współpracy stropu</t>
  </si>
  <si>
    <t>Obliczenia ugięć</t>
  </si>
  <si>
    <r>
      <t>E</t>
    </r>
    <r>
      <rPr>
        <i/>
        <vertAlign val="subscript"/>
        <sz val="11"/>
        <color theme="1"/>
        <rFont val="Times New Roman"/>
        <family val="1"/>
        <charset val="238"/>
      </rPr>
      <t>a</t>
    </r>
    <r>
      <rPr>
        <i/>
        <sz val="11"/>
        <color theme="1"/>
        <rFont val="Times New Roman"/>
        <family val="1"/>
        <charset val="238"/>
      </rPr>
      <t xml:space="preserve"> =</t>
    </r>
  </si>
  <si>
    <r>
      <t xml:space="preserve"> </t>
    </r>
    <r>
      <rPr>
        <i/>
        <sz val="11"/>
        <color theme="1"/>
        <rFont val="Symbol"/>
        <family val="1"/>
        <charset val="2"/>
      </rPr>
      <t>y</t>
    </r>
    <r>
      <rPr>
        <i/>
        <vertAlign val="subscript"/>
        <sz val="11"/>
        <color theme="1"/>
        <rFont val="Times New Roman"/>
        <family val="1"/>
        <charset val="238"/>
      </rPr>
      <t>L</t>
    </r>
    <r>
      <rPr>
        <i/>
        <sz val="11"/>
        <color theme="1"/>
        <rFont val="Symbol"/>
        <family val="1"/>
        <charset val="2"/>
      </rPr>
      <t>j</t>
    </r>
    <r>
      <rPr>
        <i/>
        <vertAlign val="subscript"/>
        <sz val="11"/>
        <color theme="1"/>
        <rFont val="Czcionka tekstu podstawowego"/>
        <charset val="238"/>
      </rPr>
      <t>t</t>
    </r>
    <r>
      <rPr>
        <sz val="11"/>
        <color theme="1"/>
        <rFont val="Czcionka tekstu podstawowego"/>
        <family val="2"/>
        <charset val="238"/>
      </rPr>
      <t xml:space="preserve"> =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</si>
  <si>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0</t>
    </r>
    <r>
      <rPr>
        <i/>
        <sz val="11"/>
        <color theme="1"/>
        <rFont val="Times New Roman"/>
        <family val="1"/>
        <charset val="238"/>
      </rPr>
      <t>= E</t>
    </r>
    <r>
      <rPr>
        <i/>
        <vertAlign val="subscript"/>
        <sz val="11"/>
        <color theme="1"/>
        <rFont val="Times New Roman"/>
        <family val="1"/>
        <charset val="238"/>
      </rPr>
      <t>a</t>
    </r>
    <r>
      <rPr>
        <i/>
        <sz val="11"/>
        <color theme="1"/>
        <rFont val="Times New Roman"/>
        <family val="1"/>
        <charset val="238"/>
      </rPr>
      <t>/E</t>
    </r>
    <r>
      <rPr>
        <i/>
        <vertAlign val="subscript"/>
        <sz val="11"/>
        <color indexed="8"/>
        <rFont val="Times New Roman"/>
        <family val="1"/>
        <charset val="238"/>
      </rPr>
      <t>cm</t>
    </r>
    <r>
      <rPr>
        <i/>
        <sz val="11"/>
        <color indexed="8"/>
        <rFont val="Times New Roman"/>
        <family val="1"/>
        <charset val="238"/>
      </rPr>
      <t xml:space="preserve">= </t>
    </r>
  </si>
  <si>
    <r>
      <rPr>
        <i/>
        <sz val="11"/>
        <color theme="1"/>
        <rFont val="Times New Roman"/>
        <family val="1"/>
        <charset val="238"/>
      </rPr>
      <t>n</t>
    </r>
    <r>
      <rPr>
        <i/>
        <vertAlign val="subscript"/>
        <sz val="11"/>
        <color theme="1"/>
        <rFont val="Times New Roman"/>
        <family val="1"/>
        <charset val="238"/>
      </rPr>
      <t>L</t>
    </r>
    <r>
      <rPr>
        <i/>
        <sz val="11"/>
        <color theme="1"/>
        <rFont val="Times New Roman"/>
        <family val="1"/>
        <charset val="238"/>
      </rPr>
      <t xml:space="preserve"> = n</t>
    </r>
    <r>
      <rPr>
        <vertAlign val="subscript"/>
        <sz val="11"/>
        <color theme="1"/>
        <rFont val="Times New Roman"/>
        <family val="1"/>
        <charset val="238"/>
      </rPr>
      <t>0</t>
    </r>
    <r>
      <rPr>
        <i/>
        <sz val="11"/>
        <color theme="1"/>
        <rFont val="Times New Roman"/>
        <family val="1"/>
        <charset val="238"/>
      </rPr>
      <t xml:space="preserve"> </t>
    </r>
    <r>
      <rPr>
        <sz val="11"/>
        <color theme="1"/>
        <rFont val="Times New Roman"/>
        <family val="1"/>
        <charset val="238"/>
      </rPr>
      <t>(1+</t>
    </r>
    <r>
      <rPr>
        <i/>
        <sz val="11"/>
        <color theme="1"/>
        <rFont val="Symbol"/>
        <family val="1"/>
        <charset val="2"/>
      </rPr>
      <t xml:space="preserve"> y</t>
    </r>
    <r>
      <rPr>
        <i/>
        <vertAlign val="subscript"/>
        <sz val="11"/>
        <color theme="1"/>
        <rFont val="Times New Roman"/>
        <family val="1"/>
        <charset val="238"/>
      </rPr>
      <t>L</t>
    </r>
    <r>
      <rPr>
        <i/>
        <sz val="11"/>
        <color theme="1"/>
        <rFont val="Symbol"/>
        <family val="1"/>
        <charset val="2"/>
      </rPr>
      <t>j</t>
    </r>
    <r>
      <rPr>
        <i/>
        <vertAlign val="subscript"/>
        <sz val="11"/>
        <color theme="1"/>
        <rFont val="Times New Roman"/>
        <family val="1"/>
        <charset val="238"/>
      </rPr>
      <t>p</t>
    </r>
    <r>
      <rPr>
        <sz val="11"/>
        <color theme="1"/>
        <rFont val="Symbol"/>
        <family val="1"/>
        <charset val="2"/>
      </rPr>
      <t>(</t>
    </r>
    <r>
      <rPr>
        <i/>
        <sz val="11"/>
        <color theme="1"/>
        <rFont val="Symbol"/>
        <family val="1"/>
        <charset val="2"/>
      </rPr>
      <t>t, t</t>
    </r>
    <r>
      <rPr>
        <vertAlign val="subscript"/>
        <sz val="11"/>
        <color theme="1"/>
        <rFont val="Symbol"/>
        <family val="1"/>
        <charset val="2"/>
      </rPr>
      <t>0</t>
    </r>
    <r>
      <rPr>
        <sz val="11"/>
        <color theme="1"/>
        <rFont val="Symbol"/>
        <family val="1"/>
        <charset val="2"/>
      </rPr>
      <t>)) =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</si>
  <si>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zcionka tekstu podstawowego"/>
        <family val="2"/>
        <charset val="238"/>
      </rPr>
      <t xml:space="preserve"> =</t>
    </r>
  </si>
  <si>
    <r>
      <rPr>
        <sz val="11"/>
        <color theme="1"/>
        <rFont val="Symbol"/>
        <family val="1"/>
        <charset val="2"/>
      </rPr>
      <t>Ö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zcionka tekstu podstawowego"/>
        <family val="2"/>
        <charset val="238"/>
      </rPr>
      <t xml:space="preserve"> =</t>
    </r>
  </si>
  <si>
    <r>
      <rPr>
        <i/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mbria"/>
        <family val="1"/>
        <charset val="238"/>
        <scheme val="major"/>
      </rPr>
      <t>1</t>
    </r>
    <r>
      <rPr>
        <sz val="11"/>
        <color theme="1"/>
        <rFont val="Czcionka tekstu podstawowego"/>
        <family val="2"/>
        <charset val="238"/>
      </rPr>
      <t xml:space="preserve"> </t>
    </r>
    <r>
      <rPr>
        <i/>
        <sz val="11"/>
        <color theme="1"/>
        <rFont val="Czcionka tekstu podstawowego"/>
        <family val="2"/>
        <charset val="238"/>
      </rPr>
      <t>=</t>
    </r>
  </si>
  <si>
    <r>
      <rPr>
        <i/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mbria"/>
        <family val="1"/>
        <charset val="238"/>
        <scheme val="major"/>
      </rPr>
      <t>2</t>
    </r>
    <r>
      <rPr>
        <sz val="11"/>
        <color theme="1"/>
        <rFont val="Czcionka tekstu podstawowego"/>
        <family val="2"/>
        <charset val="238"/>
      </rPr>
      <t xml:space="preserve"> </t>
    </r>
    <r>
      <rPr>
        <i/>
        <sz val="11"/>
        <color theme="1"/>
        <rFont val="Czcionka tekstu podstawowego"/>
        <family val="2"/>
        <charset val="238"/>
      </rPr>
      <t>=</t>
    </r>
  </si>
  <si>
    <r>
      <t xml:space="preserve"> x=(-b+</t>
    </r>
    <r>
      <rPr>
        <i/>
        <sz val="11"/>
        <color theme="1"/>
        <rFont val="Symbol"/>
        <family val="1"/>
        <charset val="2"/>
      </rPr>
      <t>ÖD)</t>
    </r>
    <r>
      <rPr>
        <i/>
        <sz val="11"/>
        <color theme="1"/>
        <rFont val="Czcionka tekstu podstawowego"/>
        <family val="2"/>
        <charset val="238"/>
      </rPr>
      <t>/(2a)=</t>
    </r>
  </si>
  <si>
    <r>
      <t>cm</t>
    </r>
    <r>
      <rPr>
        <vertAlign val="superscript"/>
        <sz val="11"/>
        <color theme="1"/>
        <rFont val="Arial"/>
        <family val="2"/>
        <charset val="238"/>
      </rPr>
      <t>2</t>
    </r>
  </si>
  <si>
    <r>
      <t>cm</t>
    </r>
    <r>
      <rPr>
        <vertAlign val="superscript"/>
        <sz val="11"/>
        <color theme="1"/>
        <rFont val="Arial"/>
        <family val="2"/>
        <charset val="238"/>
      </rPr>
      <t>4</t>
    </r>
  </si>
  <si>
    <r>
      <t>I</t>
    </r>
    <r>
      <rPr>
        <i/>
        <vertAlign val="subscript"/>
        <sz val="11"/>
        <color theme="1"/>
        <rFont val="Cambria"/>
        <family val="1"/>
        <charset val="238"/>
        <scheme val="major"/>
      </rPr>
      <t>es</t>
    </r>
    <r>
      <rPr>
        <i/>
        <sz val="11"/>
        <color theme="1"/>
        <rFont val="Czcionka tekstu podstawowego"/>
        <family val="2"/>
        <charset val="238"/>
      </rPr>
      <t xml:space="preserve"> =</t>
    </r>
  </si>
  <si>
    <r>
      <t>I</t>
    </r>
    <r>
      <rPr>
        <i/>
        <vertAlign val="subscript"/>
        <sz val="11"/>
        <color theme="1"/>
        <rFont val="Cambria"/>
        <family val="1"/>
        <charset val="238"/>
        <scheme val="major"/>
      </rPr>
      <t>es3</t>
    </r>
    <r>
      <rPr>
        <i/>
        <sz val="11"/>
        <color theme="1"/>
        <rFont val="Czcionka tekstu podstawowego"/>
        <family val="2"/>
        <charset val="238"/>
      </rPr>
      <t xml:space="preserve"> =</t>
    </r>
  </si>
  <si>
    <r>
      <t>I</t>
    </r>
    <r>
      <rPr>
        <i/>
        <vertAlign val="subscript"/>
        <sz val="11"/>
        <color theme="1"/>
        <rFont val="Cambria"/>
        <family val="1"/>
        <charset val="238"/>
        <scheme val="major"/>
      </rPr>
      <t>ec</t>
    </r>
    <r>
      <rPr>
        <i/>
        <sz val="11"/>
        <color theme="1"/>
        <rFont val="Czcionka tekstu podstawowego"/>
        <family val="2"/>
        <charset val="238"/>
      </rPr>
      <t xml:space="preserve"> =</t>
    </r>
  </si>
  <si>
    <r>
      <t>I</t>
    </r>
    <r>
      <rPr>
        <i/>
        <vertAlign val="subscript"/>
        <sz val="11"/>
        <color theme="1"/>
        <rFont val="Cambria"/>
        <family val="1"/>
        <charset val="238"/>
        <scheme val="major"/>
      </rPr>
      <t>ec3</t>
    </r>
    <r>
      <rPr>
        <i/>
        <sz val="11"/>
        <color theme="1"/>
        <rFont val="Czcionka tekstu podstawowego"/>
        <family val="2"/>
        <charset val="238"/>
      </rPr>
      <t xml:space="preserve"> =</t>
    </r>
  </si>
  <si>
    <r>
      <t>I</t>
    </r>
    <r>
      <rPr>
        <i/>
        <vertAlign val="subscript"/>
        <sz val="11"/>
        <color theme="1"/>
        <rFont val="Cambria"/>
        <family val="1"/>
        <charset val="238"/>
        <scheme val="major"/>
      </rPr>
      <t>d</t>
    </r>
    <r>
      <rPr>
        <i/>
        <sz val="11"/>
        <color theme="1"/>
        <rFont val="Czcionka tekstu podstawowego"/>
        <family val="2"/>
        <charset val="238"/>
      </rPr>
      <t xml:space="preserve"> =</t>
    </r>
  </si>
  <si>
    <t>Sztywność przekroju niezarysowanego przy obciążeniu długotrwałym:</t>
  </si>
  <si>
    <t>Moment bezwładności sprowadzony:</t>
  </si>
  <si>
    <r>
      <rPr>
        <i/>
        <sz val="11"/>
        <color theme="1"/>
        <rFont val="Times New Roman"/>
        <family val="1"/>
        <charset val="238"/>
      </rPr>
      <t>E</t>
    </r>
    <r>
      <rPr>
        <i/>
        <vertAlign val="subscript"/>
        <sz val="11"/>
        <color theme="1"/>
        <rFont val="Times New Roman"/>
        <family val="1"/>
        <charset val="238"/>
      </rPr>
      <t>cm</t>
    </r>
    <r>
      <rPr>
        <i/>
        <sz val="11"/>
        <color theme="1"/>
        <rFont val="Times New Roman"/>
        <family val="1"/>
        <charset val="238"/>
      </rPr>
      <t>I</t>
    </r>
    <r>
      <rPr>
        <i/>
        <vertAlign val="subscript"/>
        <sz val="11"/>
        <color theme="1"/>
        <rFont val="Times New Roman"/>
        <family val="1"/>
        <charset val="238"/>
      </rPr>
      <t>d</t>
    </r>
    <r>
      <rPr>
        <i/>
        <sz val="11"/>
        <color theme="1"/>
        <rFont val="Times New Roman"/>
        <family val="1"/>
        <charset val="238"/>
      </rPr>
      <t>/</t>
    </r>
    <r>
      <rPr>
        <sz val="11"/>
        <color theme="1"/>
        <rFont val="Times New Roman"/>
        <family val="1"/>
        <charset val="238"/>
      </rPr>
      <t>(1+</t>
    </r>
    <r>
      <rPr>
        <i/>
        <sz val="11"/>
        <color theme="1"/>
        <rFont val="Symbol"/>
        <family val="1"/>
        <charset val="2"/>
      </rPr>
      <t>y</t>
    </r>
    <r>
      <rPr>
        <i/>
        <vertAlign val="subscript"/>
        <sz val="11"/>
        <color theme="1"/>
        <rFont val="Czcionka tekstu podstawowego"/>
        <charset val="238"/>
      </rPr>
      <t>L</t>
    </r>
    <r>
      <rPr>
        <i/>
        <sz val="11"/>
        <color theme="1"/>
        <rFont val="Symbol"/>
        <family val="1"/>
        <charset val="2"/>
      </rPr>
      <t>j</t>
    </r>
    <r>
      <rPr>
        <i/>
        <vertAlign val="subscript"/>
        <sz val="11"/>
        <color theme="1"/>
        <rFont val="Times New Roman"/>
        <family val="1"/>
        <charset val="238"/>
      </rPr>
      <t>t</t>
    </r>
    <r>
      <rPr>
        <sz val="11"/>
        <color theme="1"/>
        <rFont val="Times New Roman"/>
        <family val="1"/>
        <charset val="238"/>
      </rPr>
      <t>)</t>
    </r>
    <r>
      <rPr>
        <sz val="11"/>
        <color theme="1"/>
        <rFont val="Czcionka tekstu podstawowego"/>
        <family val="2"/>
        <charset val="238"/>
      </rPr>
      <t>=</t>
    </r>
  </si>
  <si>
    <t>Ugięcie długotrwałe od obciążenia całkowitego:</t>
  </si>
  <si>
    <r>
      <t>f</t>
    </r>
    <r>
      <rPr>
        <b/>
        <i/>
        <vertAlign val="subscript"/>
        <sz val="10"/>
        <color theme="1"/>
        <rFont val="Times New Roman"/>
        <family val="1"/>
        <charset val="238"/>
      </rPr>
      <t>dc</t>
    </r>
    <r>
      <rPr>
        <b/>
        <i/>
        <sz val="10"/>
        <color theme="1"/>
        <rFont val="Times New Roman"/>
        <family val="1"/>
        <charset val="238"/>
      </rPr>
      <t xml:space="preserve"> =</t>
    </r>
  </si>
  <si>
    <r>
      <t>I</t>
    </r>
    <r>
      <rPr>
        <i/>
        <vertAlign val="subscript"/>
        <sz val="11"/>
        <color theme="1"/>
        <rFont val="Cambria"/>
        <family val="1"/>
        <charset val="238"/>
        <scheme val="major"/>
      </rPr>
      <t>ec1</t>
    </r>
    <r>
      <rPr>
        <i/>
        <sz val="11"/>
        <color theme="1"/>
        <rFont val="Czcionka tekstu podstawowego"/>
        <family val="2"/>
        <charset val="238"/>
      </rPr>
      <t xml:space="preserve"> =</t>
    </r>
  </si>
  <si>
    <t>Sztywność przekroju niezarysowanego przy obciążeniu krótkotwałym:</t>
  </si>
  <si>
    <r>
      <rPr>
        <i/>
        <sz val="11"/>
        <color theme="1"/>
        <rFont val="Times New Roman"/>
        <family val="1"/>
        <charset val="238"/>
      </rPr>
      <t>E</t>
    </r>
    <r>
      <rPr>
        <i/>
        <vertAlign val="subscript"/>
        <sz val="11"/>
        <color theme="1"/>
        <rFont val="Times New Roman"/>
        <family val="1"/>
        <charset val="238"/>
      </rPr>
      <t>cm</t>
    </r>
    <r>
      <rPr>
        <i/>
        <sz val="11"/>
        <color theme="1"/>
        <rFont val="Times New Roman"/>
        <family val="1"/>
        <charset val="238"/>
      </rPr>
      <t>I</t>
    </r>
    <r>
      <rPr>
        <i/>
        <vertAlign val="subscript"/>
        <sz val="11"/>
        <color theme="1"/>
        <rFont val="Times New Roman"/>
        <family val="1"/>
        <charset val="238"/>
      </rPr>
      <t xml:space="preserve">k </t>
    </r>
    <r>
      <rPr>
        <sz val="11"/>
        <color theme="1"/>
        <rFont val="Czcionka tekstu podstawowego"/>
        <family val="2"/>
        <charset val="238"/>
      </rPr>
      <t>=</t>
    </r>
  </si>
  <si>
    <t>Ugięcie krótkotwałe od obciążenia długotrwałego (uwzgledniono 50 % obc. zmiennego)</t>
  </si>
  <si>
    <t>Ugięcie długotrwałe od obciążenia długotrwałego (uwzgledniono 50 % obc. zmiennego)</t>
  </si>
  <si>
    <t>Przy współpracy stropu</t>
  </si>
  <si>
    <t>powierzchnia sprowadzona</t>
  </si>
  <si>
    <r>
      <t xml:space="preserve">moment stat. sprowadzony wzgl. osi </t>
    </r>
    <r>
      <rPr>
        <i/>
        <sz val="10"/>
        <color theme="1"/>
        <rFont val="Symbol"/>
        <family val="1"/>
        <charset val="2"/>
      </rPr>
      <t>a</t>
    </r>
    <r>
      <rPr>
        <i/>
        <sz val="10"/>
        <color theme="1"/>
        <rFont val="Czcionka tekstu podstawowego"/>
        <charset val="238"/>
      </rPr>
      <t xml:space="preserve"> - </t>
    </r>
    <r>
      <rPr>
        <i/>
        <sz val="10"/>
        <color theme="1"/>
        <rFont val="Symbol"/>
        <family val="1"/>
        <charset val="2"/>
      </rPr>
      <t>a</t>
    </r>
  </si>
  <si>
    <t>głębokość strefy ściskanej</t>
  </si>
  <si>
    <t>Ugięcie krótkotwałe od obciążenia ciężarem własnym belki</t>
  </si>
  <si>
    <t>d w [mm]</t>
  </si>
  <si>
    <r>
      <t>f</t>
    </r>
    <r>
      <rPr>
        <vertAlign val="subscript"/>
        <sz val="10"/>
        <color theme="1"/>
        <rFont val="Arial"/>
        <family val="2"/>
        <charset val="238"/>
      </rPr>
      <t>ck</t>
    </r>
    <r>
      <rPr>
        <sz val="10"/>
        <color theme="1"/>
        <rFont val="Arial"/>
        <family val="2"/>
        <charset val="238"/>
      </rPr>
      <t xml:space="preserve"> w [MPa]</t>
    </r>
  </si>
  <si>
    <r>
      <t>b</t>
    </r>
    <r>
      <rPr>
        <vertAlign val="subscript"/>
        <sz val="10"/>
        <color theme="1"/>
        <rFont val="Arial"/>
        <family val="2"/>
        <charset val="238"/>
      </rPr>
      <t xml:space="preserve">w </t>
    </r>
    <r>
      <rPr>
        <sz val="10"/>
        <color theme="1"/>
        <rFont val="Arial"/>
        <family val="2"/>
        <charset val="238"/>
      </rPr>
      <t>w [mm]</t>
    </r>
  </si>
  <si>
    <t>- najmniejsza szerokość przekroju w obszarze rozciąganym</t>
  </si>
  <si>
    <r>
      <t>=  N</t>
    </r>
    <r>
      <rPr>
        <vertAlign val="subscript"/>
        <sz val="10"/>
        <color theme="1"/>
        <rFont val="Arial"/>
        <family val="2"/>
        <charset val="238"/>
      </rPr>
      <t>Ed</t>
    </r>
    <r>
      <rPr>
        <sz val="10"/>
        <color theme="1"/>
        <rFont val="Arial"/>
        <family val="2"/>
        <charset val="238"/>
      </rPr>
      <t>/A</t>
    </r>
    <r>
      <rPr>
        <vertAlign val="subscript"/>
        <sz val="10"/>
        <color theme="1"/>
        <rFont val="Arial"/>
        <family val="2"/>
        <charset val="238"/>
      </rPr>
      <t>c</t>
    </r>
    <r>
      <rPr>
        <sz val="10"/>
        <color theme="1"/>
        <rFont val="Arial"/>
        <family val="2"/>
        <charset val="238"/>
      </rPr>
      <t xml:space="preserve"> &lt; 0,2 f</t>
    </r>
    <r>
      <rPr>
        <vertAlign val="subscript"/>
        <sz val="10"/>
        <color theme="1"/>
        <rFont val="Arial"/>
        <family val="2"/>
        <charset val="238"/>
      </rPr>
      <t xml:space="preserve">cd </t>
    </r>
    <r>
      <rPr>
        <sz val="10"/>
        <color theme="1"/>
        <rFont val="Arial"/>
        <family val="2"/>
        <charset val="238"/>
      </rPr>
      <t>[MPa]</t>
    </r>
  </si>
  <si>
    <r>
      <t>A</t>
    </r>
    <r>
      <rPr>
        <vertAlign val="subscript"/>
        <sz val="10"/>
        <color theme="1"/>
        <rFont val="Arial"/>
        <family val="2"/>
        <charset val="238"/>
      </rPr>
      <t xml:space="preserve">sI </t>
    </r>
    <r>
      <rPr>
        <sz val="10"/>
        <color theme="1"/>
        <rFont val="Arial"/>
        <family val="2"/>
        <charset val="238"/>
      </rPr>
      <t>w [mm</t>
    </r>
    <r>
      <rPr>
        <vertAlign val="superscript"/>
        <sz val="10"/>
        <color theme="1"/>
        <rFont val="Arial"/>
        <family val="2"/>
        <charset val="238"/>
      </rPr>
      <t>2</t>
    </r>
    <r>
      <rPr>
        <sz val="10"/>
        <color theme="1"/>
        <rFont val="Arial"/>
        <family val="2"/>
        <charset val="238"/>
      </rPr>
      <t>]</t>
    </r>
  </si>
  <si>
    <r>
      <t xml:space="preserve">- pole przekroju zbrojenia rozciąganego, które jest przedłużone </t>
    </r>
    <r>
      <rPr>
        <sz val="10"/>
        <color theme="1"/>
        <rFont val="Symbol"/>
        <family val="1"/>
        <charset val="2"/>
      </rPr>
      <t xml:space="preserve">³ </t>
    </r>
    <r>
      <rPr>
        <sz val="10"/>
        <color theme="1"/>
        <rFont val="Arial"/>
        <family val="2"/>
        <charset val="238"/>
      </rPr>
      <t>(I</t>
    </r>
    <r>
      <rPr>
        <vertAlign val="subscript"/>
        <sz val="10"/>
        <color theme="1"/>
        <rFont val="Arial"/>
        <family val="2"/>
        <charset val="238"/>
      </rPr>
      <t>bd</t>
    </r>
    <r>
      <rPr>
        <sz val="10"/>
        <color theme="1"/>
        <rFont val="Arial"/>
        <family val="2"/>
        <charset val="238"/>
      </rPr>
      <t xml:space="preserve"> + d) poza rozważany przekrój (patrz Rysunek 6.3)</t>
    </r>
  </si>
  <si>
    <r>
      <t>A</t>
    </r>
    <r>
      <rPr>
        <vertAlign val="subscript"/>
        <sz val="10"/>
        <color theme="1"/>
        <rFont val="Arial"/>
        <family val="2"/>
        <charset val="238"/>
      </rPr>
      <t xml:space="preserve">so </t>
    </r>
    <r>
      <rPr>
        <sz val="10"/>
        <color theme="1"/>
        <rFont val="Arial"/>
        <family val="2"/>
        <charset val="238"/>
      </rPr>
      <t>=</t>
    </r>
  </si>
  <si>
    <r>
      <t>A</t>
    </r>
    <r>
      <rPr>
        <vertAlign val="subscript"/>
        <sz val="10"/>
        <color theme="1"/>
        <rFont val="Arial"/>
        <family val="2"/>
        <charset val="238"/>
      </rPr>
      <t xml:space="preserve">so </t>
    </r>
    <r>
      <rPr>
        <sz val="10"/>
        <color theme="1"/>
        <rFont val="Arial"/>
        <family val="2"/>
        <charset val="238"/>
      </rPr>
      <t>w [mm</t>
    </r>
    <r>
      <rPr>
        <vertAlign val="superscript"/>
        <sz val="10"/>
        <color theme="1"/>
        <rFont val="Arial"/>
        <family val="2"/>
        <charset val="238"/>
      </rPr>
      <t>2</t>
    </r>
    <r>
      <rPr>
        <sz val="10"/>
        <color theme="1"/>
        <rFont val="Arial"/>
        <family val="2"/>
        <charset val="238"/>
      </rPr>
      <t>]</t>
    </r>
  </si>
  <si>
    <t>- pole przekroju kanału</t>
  </si>
  <si>
    <r>
      <t>f</t>
    </r>
    <r>
      <rPr>
        <vertAlign val="subscript"/>
        <sz val="10"/>
        <color theme="1"/>
        <rFont val="Arial"/>
        <family val="2"/>
        <charset val="238"/>
      </rPr>
      <t>ctk</t>
    </r>
    <r>
      <rPr>
        <sz val="10"/>
        <color theme="1"/>
        <rFont val="Arial"/>
        <family val="2"/>
        <charset val="238"/>
      </rPr>
      <t xml:space="preserve"> w [MPa]</t>
    </r>
  </si>
  <si>
    <r>
      <t>N</t>
    </r>
    <r>
      <rPr>
        <vertAlign val="subscript"/>
        <sz val="10"/>
        <color theme="1"/>
        <rFont val="Arial"/>
        <family val="2"/>
        <charset val="238"/>
      </rPr>
      <t>Ed</t>
    </r>
    <r>
      <rPr>
        <sz val="10"/>
        <color theme="1"/>
        <rFont val="Arial"/>
        <family val="2"/>
        <charset val="238"/>
      </rPr>
      <t xml:space="preserve"> - siła osiowa spowodowana obciążeniem lub sprężeniem w [N] (N</t>
    </r>
    <r>
      <rPr>
        <vertAlign val="subscript"/>
        <sz val="10"/>
        <color theme="1"/>
        <rFont val="Arial"/>
        <family val="2"/>
        <charset val="238"/>
      </rPr>
      <t>Ed</t>
    </r>
    <r>
      <rPr>
        <sz val="10"/>
        <color theme="1"/>
        <rFont val="Arial"/>
        <family val="2"/>
        <charset val="238"/>
      </rPr>
      <t>&lt;0 dla ściskania). Wpływ odkształceń wymuszonych na N</t>
    </r>
    <r>
      <rPr>
        <vertAlign val="subscript"/>
        <sz val="10"/>
        <color theme="1"/>
        <rFont val="Arial"/>
        <family val="2"/>
        <charset val="238"/>
      </rPr>
      <t>E</t>
    </r>
    <r>
      <rPr>
        <sz val="10"/>
        <color theme="1"/>
        <rFont val="Arial"/>
        <family val="2"/>
        <charset val="238"/>
      </rPr>
      <t xml:space="preserve"> można pominąć.</t>
    </r>
  </si>
  <si>
    <r>
      <t>A</t>
    </r>
    <r>
      <rPr>
        <vertAlign val="subscript"/>
        <sz val="10"/>
        <color theme="1"/>
        <rFont val="Arial"/>
        <family val="2"/>
        <charset val="238"/>
      </rPr>
      <t>C</t>
    </r>
    <r>
      <rPr>
        <sz val="10"/>
        <color theme="1"/>
        <rFont val="Arial"/>
        <family val="2"/>
        <charset val="238"/>
      </rPr>
      <t xml:space="preserve"> - pole przekroju betonu [mm2]</t>
    </r>
  </si>
  <si>
    <r>
      <t>V</t>
    </r>
    <r>
      <rPr>
        <vertAlign val="subscript"/>
        <sz val="10"/>
        <color theme="1"/>
        <rFont val="Arial"/>
        <family val="2"/>
        <charset val="238"/>
      </rPr>
      <t>Rd,c</t>
    </r>
    <r>
      <rPr>
        <sz val="10"/>
        <color theme="1"/>
        <rFont val="Arial"/>
        <family val="2"/>
        <charset val="238"/>
      </rPr>
      <t xml:space="preserve"> w </t>
    </r>
    <r>
      <rPr>
        <sz val="11"/>
        <color theme="1"/>
        <rFont val="Arial"/>
        <family val="2"/>
        <charset val="238"/>
      </rPr>
      <t>[N]</t>
    </r>
  </si>
  <si>
    <r>
      <t>V</t>
    </r>
    <r>
      <rPr>
        <vertAlign val="subscript"/>
        <sz val="11"/>
        <color theme="1"/>
        <rFont val="Arial"/>
        <family val="2"/>
        <charset val="238"/>
      </rPr>
      <t>Rd,c</t>
    </r>
    <r>
      <rPr>
        <sz val="11"/>
        <color theme="1"/>
        <rFont val="Arial"/>
        <family val="2"/>
        <charset val="238"/>
      </rPr>
      <t xml:space="preserve"> </t>
    </r>
    <r>
      <rPr>
        <vertAlign val="subscript"/>
        <sz val="11"/>
        <color theme="1"/>
        <rFont val="Arial"/>
        <family val="2"/>
        <charset val="238"/>
      </rPr>
      <t>min</t>
    </r>
    <r>
      <rPr>
        <sz val="11"/>
        <color theme="1"/>
        <rFont val="Arial"/>
        <family val="2"/>
        <charset val="238"/>
      </rPr>
      <t xml:space="preserve"> = </t>
    </r>
  </si>
  <si>
    <r>
      <t>Wartości C</t>
    </r>
    <r>
      <rPr>
        <vertAlign val="subscript"/>
        <sz val="11"/>
        <color theme="1"/>
        <rFont val="Arial"/>
        <family val="2"/>
        <charset val="238"/>
      </rPr>
      <t>Rd,c</t>
    </r>
    <r>
      <rPr>
        <sz val="11"/>
        <color theme="1"/>
        <rFont val="Arial"/>
        <family val="2"/>
        <charset val="238"/>
      </rPr>
      <t>, v</t>
    </r>
    <r>
      <rPr>
        <vertAlign val="subscript"/>
        <sz val="11"/>
        <color theme="1"/>
        <rFont val="Arial"/>
        <family val="2"/>
        <charset val="238"/>
      </rPr>
      <t>min</t>
    </r>
    <r>
      <rPr>
        <sz val="11"/>
        <color theme="1"/>
        <rFont val="Arial"/>
        <family val="2"/>
        <charset val="238"/>
      </rPr>
      <t xml:space="preserve"> i k</t>
    </r>
    <r>
      <rPr>
        <vertAlign val="subscript"/>
        <sz val="11"/>
        <color theme="1"/>
        <rFont val="Arial"/>
        <family val="2"/>
        <charset val="238"/>
      </rPr>
      <t>1</t>
    </r>
    <r>
      <rPr>
        <sz val="11"/>
        <color theme="1"/>
        <rFont val="Arial"/>
        <family val="2"/>
        <charset val="238"/>
      </rPr>
      <t xml:space="preserve"> do stosowania w kraju mogą być określone w Załączniku krajowym. </t>
    </r>
  </si>
  <si>
    <r>
      <t xml:space="preserve">Wartościami </t>
    </r>
    <r>
      <rPr>
        <b/>
        <sz val="11"/>
        <color theme="1"/>
        <rFont val="Arial"/>
        <family val="2"/>
        <charset val="238"/>
      </rPr>
      <t xml:space="preserve"> </t>
    </r>
    <r>
      <rPr>
        <sz val="11"/>
        <color theme="1"/>
        <rFont val="Arial"/>
        <family val="2"/>
        <charset val="238"/>
      </rPr>
      <t>zalecanymi dla C</t>
    </r>
    <r>
      <rPr>
        <vertAlign val="subscript"/>
        <sz val="11"/>
        <color theme="1"/>
        <rFont val="Arial"/>
        <family val="2"/>
        <charset val="238"/>
      </rPr>
      <t>Rd,c</t>
    </r>
    <r>
      <rPr>
        <sz val="11"/>
        <color theme="1"/>
        <rFont val="Arial"/>
        <family val="2"/>
        <charset val="238"/>
      </rPr>
      <t xml:space="preserve"> jest 0,18/</t>
    </r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Arial"/>
        <family val="2"/>
        <charset val="238"/>
      </rPr>
      <t>c</t>
    </r>
    <r>
      <rPr>
        <sz val="11"/>
        <color theme="1"/>
        <rFont val="Arial"/>
        <family val="2"/>
        <charset val="238"/>
      </rPr>
      <t>, dla v</t>
    </r>
    <r>
      <rPr>
        <vertAlign val="subscript"/>
        <sz val="11"/>
        <color theme="1"/>
        <rFont val="Arial"/>
        <family val="2"/>
        <charset val="238"/>
      </rPr>
      <t>min</t>
    </r>
    <r>
      <rPr>
        <sz val="11"/>
        <color theme="1"/>
        <rFont val="Arial"/>
        <family val="2"/>
        <charset val="238"/>
      </rPr>
      <t xml:space="preserve"> jest wartość według</t>
    </r>
    <r>
      <rPr>
        <vertAlign val="subscript"/>
        <sz val="11"/>
        <color theme="1"/>
        <rFont val="Arial"/>
        <family val="2"/>
        <charset val="238"/>
      </rPr>
      <t xml:space="preserve"> </t>
    </r>
    <r>
      <rPr>
        <sz val="11"/>
        <color theme="1"/>
        <rFont val="Arial"/>
        <family val="2"/>
        <charset val="238"/>
      </rPr>
      <t>wyrażenia (6.3N) a dla k</t>
    </r>
    <r>
      <rPr>
        <vertAlign val="subscript"/>
        <sz val="11"/>
        <color theme="1"/>
        <rFont val="Arial"/>
        <family val="2"/>
        <charset val="238"/>
      </rPr>
      <t>1</t>
    </r>
    <r>
      <rPr>
        <sz val="11"/>
        <color theme="1"/>
        <rFont val="Arial"/>
        <family val="2"/>
        <charset val="238"/>
      </rPr>
      <t xml:space="preserve"> jest 0,15.</t>
    </r>
  </si>
  <si>
    <r>
      <t>v</t>
    </r>
    <r>
      <rPr>
        <vertAlign val="subscript"/>
        <sz val="11"/>
        <color theme="1"/>
        <rFont val="Arial"/>
        <family val="2"/>
        <charset val="238"/>
      </rPr>
      <t>min</t>
    </r>
    <r>
      <rPr>
        <sz val="11"/>
        <color theme="1"/>
        <rFont val="Arial"/>
        <family val="2"/>
        <charset val="238"/>
      </rPr>
      <t xml:space="preserve"> =  0,035k</t>
    </r>
    <r>
      <rPr>
        <vertAlign val="superscript"/>
        <sz val="11"/>
        <color theme="1"/>
        <rFont val="Arial"/>
        <family val="2"/>
        <charset val="238"/>
      </rPr>
      <t>3/2</t>
    </r>
    <r>
      <rPr>
        <sz val="11"/>
        <color theme="1"/>
        <rFont val="Arial"/>
        <family val="2"/>
        <charset val="238"/>
      </rPr>
      <t>f</t>
    </r>
    <r>
      <rPr>
        <vertAlign val="subscript"/>
        <sz val="11"/>
        <color theme="1"/>
        <rFont val="Arial"/>
        <family val="2"/>
        <charset val="238"/>
      </rPr>
      <t>ck</t>
    </r>
    <r>
      <rPr>
        <vertAlign val="superscript"/>
        <sz val="11"/>
        <color theme="1"/>
        <rFont val="Arial"/>
        <family val="2"/>
        <charset val="238"/>
      </rPr>
      <t>1/2</t>
    </r>
    <r>
      <rPr>
        <sz val="11"/>
        <color theme="1"/>
        <rFont val="Arial"/>
        <family val="2"/>
        <charset val="238"/>
      </rPr>
      <t xml:space="preserve"> =</t>
    </r>
  </si>
  <si>
    <t>Wartości obliczeniowe</t>
  </si>
  <si>
    <t>MN</t>
  </si>
  <si>
    <r>
      <t>N</t>
    </r>
    <r>
      <rPr>
        <vertAlign val="subscript"/>
        <sz val="11"/>
        <color theme="0" tint="-0.499984740745262"/>
        <rFont val="Czcionka tekstu podstawowego"/>
        <charset val="238"/>
      </rPr>
      <t>Rd</t>
    </r>
    <r>
      <rPr>
        <sz val="11"/>
        <color theme="0" tint="-0.499984740745262"/>
        <rFont val="Czcionka tekstu podstawowego"/>
        <charset val="238"/>
      </rPr>
      <t xml:space="preserve"> =</t>
    </r>
  </si>
  <si>
    <r>
      <rPr>
        <i/>
        <sz val="10"/>
        <color theme="0" tint="-0.499984740745262"/>
        <rFont val="Czcionka tekstu podstawowego"/>
        <charset val="238"/>
      </rPr>
      <t>x</t>
    </r>
    <r>
      <rPr>
        <i/>
        <vertAlign val="subscript"/>
        <sz val="10"/>
        <color theme="0" tint="-0.499984740745262"/>
        <rFont val="Czcionka tekstu podstawowego"/>
        <charset val="238"/>
      </rPr>
      <t>pl</t>
    </r>
    <r>
      <rPr>
        <sz val="10"/>
        <color theme="0" tint="-0.499984740745262"/>
        <rFont val="Czcionka tekstu podstawowego"/>
        <charset val="238"/>
      </rPr>
      <t xml:space="preserve"> =</t>
    </r>
  </si>
  <si>
    <r>
      <t>0,85f</t>
    </r>
    <r>
      <rPr>
        <vertAlign val="subscript"/>
        <sz val="10"/>
        <color theme="0" tint="-0.499984740745262"/>
        <rFont val="Czcionka tekstu podstawowego"/>
        <charset val="238"/>
      </rPr>
      <t>cd</t>
    </r>
    <r>
      <rPr>
        <sz val="10"/>
        <color theme="0" tint="-0.499984740745262"/>
        <rFont val="Czcionka tekstu podstawowego"/>
        <charset val="238"/>
      </rPr>
      <t xml:space="preserve"> =</t>
    </r>
  </si>
  <si>
    <r>
      <t>kN/cm</t>
    </r>
    <r>
      <rPr>
        <vertAlign val="superscript"/>
        <sz val="10"/>
        <color theme="0" tint="-0.499984740745262"/>
        <rFont val="Czcionka tekstu podstawowego"/>
        <charset val="238"/>
      </rPr>
      <t>2</t>
    </r>
  </si>
  <si>
    <t>rozstaw kanałów</t>
  </si>
  <si>
    <t>[mm]</t>
  </si>
  <si>
    <t>BH 50-650</t>
  </si>
  <si>
    <t>Ciężar płyt kanałowych
HC 265</t>
  </si>
  <si>
    <t>BH 27-450</t>
  </si>
  <si>
    <t>beton</t>
  </si>
  <si>
    <t>S 460 N/NL</t>
  </si>
  <si>
    <t>PFEIFER Steel Production Poland
Wrocławska 68, 55-330 Krępice, Poland
biuro.pspp@pfeifer.pl</t>
  </si>
  <si>
    <t>Treści zawarte w niniejszym opracowaniu stanowią wyłączną własność PFEIFER Steel Production Poland i moga być stosowane, powielane oraz udostępniane osobom trzecim jedynie na podstawie pisemnego zezwolenia ww. firmy z zastrzeżeniem wszelkich skutków prawnych.</t>
  </si>
  <si>
    <t>BETON</t>
  </si>
  <si>
    <t>PŁYTY KANAŁOWE</t>
  </si>
  <si>
    <r>
      <t>g</t>
    </r>
    <r>
      <rPr>
        <i/>
        <vertAlign val="subscript"/>
        <sz val="11"/>
        <color theme="0" tint="-0.499984740745262"/>
        <rFont val="Arial"/>
        <family val="2"/>
        <charset val="238"/>
      </rPr>
      <t>c</t>
    </r>
  </si>
  <si>
    <t>( - )</t>
  </si>
  <si>
    <r>
      <t>g</t>
    </r>
    <r>
      <rPr>
        <i/>
        <vertAlign val="subscript"/>
        <sz val="11"/>
        <color theme="0" tint="-0.499984740745262"/>
        <rFont val="Arial"/>
        <family val="2"/>
        <charset val="238"/>
      </rPr>
      <t>c bet zal</t>
    </r>
  </si>
  <si>
    <r>
      <t>r</t>
    </r>
    <r>
      <rPr>
        <i/>
        <vertAlign val="subscript"/>
        <sz val="11"/>
        <color theme="0" tint="-0.499984740745262"/>
        <rFont val="Arial"/>
        <family val="2"/>
        <charset val="238"/>
      </rPr>
      <t>betonu</t>
    </r>
  </si>
  <si>
    <t>(g/cm3)</t>
  </si>
  <si>
    <t>C6/7,5</t>
  </si>
  <si>
    <t>C8/10</t>
  </si>
  <si>
    <t>C12/15</t>
  </si>
  <si>
    <t>C16/20</t>
  </si>
  <si>
    <t>C25/30</t>
  </si>
  <si>
    <t>C30/37</t>
  </si>
  <si>
    <t>C35/45</t>
  </si>
  <si>
    <t>C40/50</t>
  </si>
  <si>
    <t>C45/55</t>
  </si>
  <si>
    <t>C50/60</t>
  </si>
  <si>
    <t>C55/67</t>
  </si>
  <si>
    <t>C70/85</t>
  </si>
  <si>
    <t>C80/95</t>
  </si>
  <si>
    <r>
      <t>f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ck</t>
    </r>
  </si>
  <si>
    <r>
      <t>f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ck,cube</t>
    </r>
  </si>
  <si>
    <r>
      <t>f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cm</t>
    </r>
  </si>
  <si>
    <r>
      <t>f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ctm</t>
    </r>
  </si>
  <si>
    <r>
      <t>f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ctk,0.05</t>
    </r>
  </si>
  <si>
    <r>
      <t>A</t>
    </r>
    <r>
      <rPr>
        <vertAlign val="subscript"/>
        <sz val="11"/>
        <rFont val="Calibri"/>
        <family val="2"/>
        <charset val="238"/>
        <scheme val="minor"/>
      </rPr>
      <t>tot</t>
    </r>
  </si>
  <si>
    <r>
      <t>A</t>
    </r>
    <r>
      <rPr>
        <vertAlign val="subscript"/>
        <sz val="11"/>
        <rFont val="Calibri"/>
        <family val="2"/>
        <charset val="238"/>
        <scheme val="minor"/>
      </rPr>
      <t>op</t>
    </r>
  </si>
  <si>
    <r>
      <t>A</t>
    </r>
    <r>
      <rPr>
        <vertAlign val="subscript"/>
        <sz val="11"/>
        <rFont val="Calibri"/>
        <family val="2"/>
        <charset val="238"/>
        <scheme val="minor"/>
      </rPr>
      <t>con</t>
    </r>
  </si>
  <si>
    <r>
      <t>wysokość płyty h</t>
    </r>
    <r>
      <rPr>
        <vertAlign val="subscript"/>
        <sz val="11"/>
        <rFont val="Czcionka tekstu podstawowego"/>
        <charset val="238"/>
      </rPr>
      <t>pł</t>
    </r>
  </si>
  <si>
    <t>UWAGI</t>
  </si>
  <si>
    <r>
      <t>f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ctk,0.95</t>
    </r>
  </si>
  <si>
    <r>
      <t>[mm</t>
    </r>
    <r>
      <rPr>
        <vertAlign val="superscript"/>
        <sz val="11"/>
        <rFont val="Czcionka tekstu podstawowego"/>
        <charset val="238"/>
      </rPr>
      <t>2</t>
    </r>
    <r>
      <rPr>
        <sz val="11"/>
        <rFont val="Czcionka tekstu podstawowego"/>
        <family val="2"/>
        <charset val="238"/>
      </rPr>
      <t>]</t>
    </r>
  </si>
  <si>
    <r>
      <t>E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cm</t>
    </r>
  </si>
  <si>
    <t>wg producenta</t>
  </si>
  <si>
    <r>
      <rPr>
        <i/>
        <sz val="12"/>
        <color theme="0" tint="-0.499984740745262"/>
        <rFont val="Symbol"/>
        <family val="1"/>
        <charset val="2"/>
      </rPr>
      <t>e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c1</t>
    </r>
  </si>
  <si>
    <r>
      <t>(</t>
    </r>
    <r>
      <rPr>
        <i/>
        <vertAlign val="superscript"/>
        <sz val="12"/>
        <color theme="0" tint="-0.499984740745262"/>
        <rFont val="Calibri"/>
        <family val="2"/>
        <charset val="238"/>
        <scheme val="minor"/>
      </rPr>
      <t>o</t>
    </r>
    <r>
      <rPr>
        <i/>
        <sz val="12"/>
        <color theme="0" tint="-0.499984740745262"/>
        <rFont val="Calibri"/>
        <family val="2"/>
        <charset val="238"/>
        <scheme val="minor"/>
      </rPr>
      <t>/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oo</t>
    </r>
    <r>
      <rPr>
        <i/>
        <sz val="12"/>
        <color theme="0" tint="-0.499984740745262"/>
        <rFont val="Calibri"/>
        <family val="2"/>
        <charset val="238"/>
        <scheme val="minor"/>
      </rPr>
      <t>)</t>
    </r>
  </si>
  <si>
    <r>
      <rPr>
        <i/>
        <sz val="12"/>
        <color theme="0" tint="-0.499984740745262"/>
        <rFont val="Symbol"/>
        <family val="1"/>
        <charset val="2"/>
      </rPr>
      <t>e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cu1</t>
    </r>
  </si>
  <si>
    <r>
      <rPr>
        <i/>
        <sz val="12"/>
        <color theme="0" tint="-0.499984740745262"/>
        <rFont val="Symbol"/>
        <family val="1"/>
        <charset val="2"/>
      </rPr>
      <t>e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c2</t>
    </r>
  </si>
  <si>
    <r>
      <rPr>
        <i/>
        <sz val="12"/>
        <color theme="0" tint="-0.499984740745262"/>
        <rFont val="Symbol"/>
        <family val="1"/>
        <charset val="2"/>
      </rPr>
      <t>e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cu2</t>
    </r>
  </si>
  <si>
    <r>
      <rPr>
        <i/>
        <sz val="12"/>
        <color theme="0" tint="-0.499984740745262"/>
        <rFont val="Symbol"/>
        <family val="1"/>
        <charset val="2"/>
      </rPr>
      <t>e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c3</t>
    </r>
  </si>
  <si>
    <r>
      <rPr>
        <i/>
        <sz val="12"/>
        <color theme="0" tint="-0.499984740745262"/>
        <rFont val="Symbol"/>
        <family val="1"/>
        <charset val="2"/>
      </rPr>
      <t>e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cu3</t>
    </r>
  </si>
  <si>
    <r>
      <t>R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bzk</t>
    </r>
  </si>
  <si>
    <r>
      <t>R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>bz mean</t>
    </r>
  </si>
  <si>
    <t>STAL KONSTRUKCYJNA</t>
  </si>
  <si>
    <r>
      <t>g</t>
    </r>
    <r>
      <rPr>
        <i/>
        <vertAlign val="subscript"/>
        <sz val="12"/>
        <color theme="0" tint="-0.499984740745262"/>
        <rFont val="Arial"/>
        <family val="2"/>
        <charset val="238"/>
      </rPr>
      <t>a</t>
    </r>
  </si>
  <si>
    <r>
      <t>r</t>
    </r>
    <r>
      <rPr>
        <i/>
        <vertAlign val="subscript"/>
        <sz val="12"/>
        <color theme="0" tint="-0.499984740745262"/>
        <rFont val="Arial"/>
        <family val="2"/>
        <charset val="238"/>
      </rPr>
      <t>stali</t>
    </r>
  </si>
  <si>
    <r>
      <rPr>
        <i/>
        <sz val="12"/>
        <color theme="0" tint="-0.499984740745262"/>
        <rFont val="Calibri"/>
        <family val="2"/>
        <charset val="238"/>
        <scheme val="minor"/>
      </rPr>
      <t>E</t>
    </r>
    <r>
      <rPr>
        <i/>
        <vertAlign val="subscript"/>
        <sz val="12"/>
        <color theme="0" tint="-0.499984740745262"/>
        <rFont val="Arial"/>
        <family val="2"/>
        <charset val="238"/>
      </rPr>
      <t>a</t>
    </r>
  </si>
  <si>
    <t>GPa</t>
  </si>
  <si>
    <t>EN 10025-3</t>
  </si>
  <si>
    <r>
      <t xml:space="preserve">t </t>
    </r>
    <r>
      <rPr>
        <sz val="12"/>
        <color theme="0" tint="-0.499984740745262"/>
        <rFont val="Calibri"/>
        <family val="2"/>
        <charset val="238"/>
      </rPr>
      <t>≤ 40 mm</t>
    </r>
  </si>
  <si>
    <r>
      <t xml:space="preserve">40 &lt; t </t>
    </r>
    <r>
      <rPr>
        <sz val="12"/>
        <color theme="0" tint="-0.499984740745262"/>
        <rFont val="Calibri"/>
        <family val="2"/>
        <charset val="238"/>
      </rPr>
      <t>≤ 80 mm</t>
    </r>
  </si>
  <si>
    <r>
      <t>f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 xml:space="preserve">y </t>
    </r>
    <r>
      <rPr>
        <i/>
        <sz val="12"/>
        <color theme="0" tint="-0.499984740745262"/>
        <rFont val="Calibri"/>
        <family val="2"/>
        <charset val="238"/>
        <scheme val="minor"/>
      </rPr>
      <t>[MPa]</t>
    </r>
  </si>
  <si>
    <r>
      <t>f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 xml:space="preserve">u </t>
    </r>
    <r>
      <rPr>
        <i/>
        <sz val="12"/>
        <color theme="0" tint="-0.499984740745262"/>
        <rFont val="Calibri"/>
        <family val="2"/>
        <charset val="238"/>
        <scheme val="minor"/>
      </rPr>
      <t>[MPa]</t>
    </r>
  </si>
  <si>
    <t>S 275 N/NL</t>
  </si>
  <si>
    <t>S 355 N/NL</t>
  </si>
  <si>
    <t>S 420 N/NL</t>
  </si>
  <si>
    <t>STAL ZBROJENIOWA</t>
  </si>
  <si>
    <r>
      <t>g</t>
    </r>
    <r>
      <rPr>
        <i/>
        <vertAlign val="subscript"/>
        <sz val="12"/>
        <color theme="0" tint="-0.499984740745262"/>
        <rFont val="Arial"/>
        <family val="2"/>
        <charset val="238"/>
      </rPr>
      <t>s</t>
    </r>
  </si>
  <si>
    <r>
      <rPr>
        <i/>
        <sz val="12"/>
        <color theme="0" tint="-0.499984740745262"/>
        <rFont val="Calibri"/>
        <family val="2"/>
        <charset val="238"/>
        <scheme val="minor"/>
      </rPr>
      <t>E</t>
    </r>
    <r>
      <rPr>
        <i/>
        <vertAlign val="subscript"/>
        <sz val="12"/>
        <color theme="0" tint="-0.499984740745262"/>
        <rFont val="Arial"/>
        <family val="2"/>
        <charset val="238"/>
      </rPr>
      <t>s</t>
    </r>
  </si>
  <si>
    <r>
      <t>f</t>
    </r>
    <r>
      <rPr>
        <i/>
        <vertAlign val="subscript"/>
        <sz val="12"/>
        <color theme="0" tint="-0.499984740745262"/>
        <rFont val="Calibri"/>
        <family val="2"/>
        <charset val="238"/>
        <scheme val="minor"/>
      </rPr>
      <t xml:space="preserve">sk </t>
    </r>
    <r>
      <rPr>
        <i/>
        <sz val="12"/>
        <color theme="0" tint="-0.499984740745262"/>
        <rFont val="Calibri"/>
        <family val="2"/>
        <charset val="238"/>
        <scheme val="minor"/>
      </rPr>
      <t>[MPa]</t>
    </r>
  </si>
  <si>
    <t>SPOINY</t>
  </si>
  <si>
    <r>
      <t>g</t>
    </r>
    <r>
      <rPr>
        <i/>
        <vertAlign val="subscript"/>
        <sz val="12"/>
        <color theme="0" tint="-0.499984740745262"/>
        <rFont val="Arial"/>
        <family val="2"/>
        <charset val="238"/>
      </rPr>
      <t>M2</t>
    </r>
  </si>
  <si>
    <r>
      <rPr>
        <i/>
        <sz val="12"/>
        <color theme="0" tint="-0.499984740745262"/>
        <rFont val="Calibri"/>
        <family val="2"/>
        <charset val="238"/>
        <scheme val="minor"/>
      </rPr>
      <t>f</t>
    </r>
    <r>
      <rPr>
        <i/>
        <vertAlign val="subscript"/>
        <sz val="12"/>
        <color theme="0" tint="-0.499984740745262"/>
        <rFont val="Arial"/>
        <family val="2"/>
        <charset val="238"/>
      </rPr>
      <t>u</t>
    </r>
  </si>
  <si>
    <t>xpl</t>
  </si>
  <si>
    <t>ag</t>
  </si>
  <si>
    <t>z</t>
  </si>
  <si>
    <t>ad</t>
  </si>
  <si>
    <t>przekrój</t>
  </si>
  <si>
    <t>przypadki</t>
  </si>
  <si>
    <t>Hc-xpl</t>
  </si>
  <si>
    <t>?</t>
  </si>
  <si>
    <t>montaz</t>
  </si>
  <si>
    <t>uzyt - bez ws</t>
  </si>
  <si>
    <t>uzyt - z ws</t>
  </si>
  <si>
    <t>rozciąg +</t>
  </si>
  <si>
    <t>ścisk -</t>
  </si>
  <si>
    <t>Asd (+)
bez Asd
redukcja 0,85fcd</t>
  </si>
  <si>
    <t>Asd (+)
uwzgl Asd
redukcja 0,85fcd</t>
  </si>
  <si>
    <t>Asd (+)
uwzgl Asd
bez redukcji 0,85fcd</t>
  </si>
  <si>
    <t>Asd (+)
bez Asd
bez redukcji 0,85fcd</t>
  </si>
  <si>
    <t>Asd (-)
uwzgl Asd
redukcja 0,85fcd</t>
  </si>
  <si>
    <t>Asd (-)
uwzgl Asd
bez redukcji 0,85fcd</t>
  </si>
  <si>
    <t>Hc =</t>
  </si>
  <si>
    <t>uwzględnienie Asd</t>
  </si>
  <si>
    <t>kN/m2</t>
  </si>
  <si>
    <t>PRZEKRÓJ BETONOWY</t>
  </si>
  <si>
    <t>ZBROJENIE</t>
  </si>
  <si>
    <t>BH 40-500</t>
  </si>
  <si>
    <t>PRZEKRÓJ STALOWY</t>
  </si>
  <si>
    <r>
      <t xml:space="preserve">Wysokość - </t>
    </r>
    <r>
      <rPr>
        <sz val="10"/>
        <color theme="1"/>
        <rFont val="Arial"/>
        <family val="2"/>
        <charset val="238"/>
      </rPr>
      <t>Hc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</si>
  <si>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t>Szerokość -</t>
    </r>
    <r>
      <rPr>
        <sz val="10"/>
        <color theme="1"/>
        <rFont val="Arial"/>
        <family val="2"/>
        <charset val="238"/>
      </rPr>
      <t xml:space="preserve">Bc </t>
    </r>
    <r>
      <rPr>
        <sz val="10"/>
        <color theme="1"/>
        <rFont val="Czcionka tekstu podstawowego"/>
        <family val="2"/>
        <charset val="238"/>
      </rPr>
      <t>[mm]</t>
    </r>
  </si>
  <si>
    <r>
      <t xml:space="preserve">Średnica - </t>
    </r>
    <r>
      <rPr>
        <sz val="10"/>
        <color theme="1"/>
        <rFont val="Arial"/>
        <family val="2"/>
        <charset val="238"/>
      </rPr>
      <t>D</t>
    </r>
    <r>
      <rPr>
        <vertAlign val="subscript"/>
        <sz val="10"/>
        <color theme="1"/>
        <rFont val="Arial"/>
        <family val="2"/>
        <charset val="238"/>
      </rPr>
      <t>o</t>
    </r>
    <r>
      <rPr>
        <sz val="10"/>
        <color theme="1"/>
        <rFont val="Czcionka tekstu podstawowego"/>
        <family val="2"/>
        <charset val="238"/>
      </rPr>
      <t xml:space="preserve"> [mm]</t>
    </r>
  </si>
  <si>
    <t>długość obliczeniowa belki [m]</t>
  </si>
  <si>
    <t>półka dolna</t>
  </si>
  <si>
    <t>środnik</t>
  </si>
  <si>
    <t>B [mm]</t>
  </si>
  <si>
    <t>nośność na ścinanie</t>
  </si>
  <si>
    <t>nośność na zginanie</t>
  </si>
  <si>
    <t>otulina górna [mm]</t>
  </si>
  <si>
    <t>otulina dolna [mm]</t>
  </si>
  <si>
    <t>obciążenia na belkę w stanie użytkowania</t>
  </si>
  <si>
    <r>
      <t>g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L </t>
    </r>
    <r>
      <rPr>
        <sz val="11"/>
        <color theme="1"/>
        <rFont val="Calibri"/>
        <family val="2"/>
        <charset val="238"/>
        <scheme val="minor"/>
      </rPr>
      <t>[kN/m]</t>
    </r>
  </si>
  <si>
    <r>
      <t>q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L </t>
    </r>
    <r>
      <rPr>
        <sz val="11"/>
        <color theme="1"/>
        <rFont val="Calibri"/>
        <family val="2"/>
        <charset val="238"/>
        <scheme val="minor"/>
      </rPr>
      <t>[kN/m]</t>
    </r>
  </si>
  <si>
    <t>Opr.</t>
  </si>
  <si>
    <t>W. Radkiewicz</t>
  </si>
  <si>
    <t>Spr.</t>
  </si>
  <si>
    <t>J. Derysz</t>
  </si>
  <si>
    <t>Zał.</t>
  </si>
  <si>
    <t>przekrój stalowy</t>
  </si>
  <si>
    <t>przekrój żelbetowy</t>
  </si>
  <si>
    <t>data</t>
  </si>
  <si>
    <t>strzemiona</t>
  </si>
  <si>
    <t>klasa odporności ogniowej</t>
  </si>
  <si>
    <t>R120</t>
  </si>
  <si>
    <t>stal budowlana</t>
  </si>
  <si>
    <t>przewyższenie</t>
  </si>
  <si>
    <t>korpus</t>
  </si>
  <si>
    <t>stal zbrojeniowa</t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</si>
  <si>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s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</si>
  <si>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</si>
  <si>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s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</si>
  <si>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</si>
  <si>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</si>
  <si>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u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</si>
  <si>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</si>
  <si>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t>KDWU/BH/1-02/2017</t>
  </si>
  <si>
    <t>dokumenty odniesienia:</t>
  </si>
  <si>
    <r>
      <t>zbrojenie górne A</t>
    </r>
    <r>
      <rPr>
        <vertAlign val="subscript"/>
        <sz val="11"/>
        <color theme="1"/>
        <rFont val="Calibri"/>
        <family val="2"/>
        <charset val="238"/>
        <scheme val="minor"/>
      </rPr>
      <t>sg</t>
    </r>
  </si>
  <si>
    <r>
      <t>zbrojenie dolne A</t>
    </r>
    <r>
      <rPr>
        <vertAlign val="subscript"/>
        <sz val="11"/>
        <color theme="1"/>
        <rFont val="Calibri"/>
        <family val="2"/>
        <charset val="238"/>
        <scheme val="minor"/>
      </rPr>
      <t>sd</t>
    </r>
  </si>
  <si>
    <r>
      <t>zbrojenie zszyw. A</t>
    </r>
    <r>
      <rPr>
        <vertAlign val="subscript"/>
        <sz val="11"/>
        <color theme="1"/>
        <rFont val="Calibri"/>
        <family val="2"/>
        <charset val="238"/>
        <scheme val="minor"/>
      </rPr>
      <t>sl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</si>
  <si>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Rd</t>
    </r>
    <r>
      <rPr>
        <sz val="11"/>
        <color theme="1"/>
        <rFont val="Calibri"/>
        <family val="2"/>
        <charset val="238"/>
        <scheme val="minor"/>
      </rPr>
      <t xml:space="preserve"> [kN]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</si>
  <si>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Rd</t>
    </r>
    <r>
      <rPr>
        <sz val="11"/>
        <color theme="1"/>
        <rFont val="Calibri"/>
        <family val="2"/>
        <charset val="238"/>
        <scheme val="minor"/>
      </rPr>
      <t xml:space="preserve"> [kNm]</t>
    </r>
  </si>
  <si>
    <t>pole wyboru belki</t>
  </si>
  <si>
    <t>pole wyboru danych</t>
  </si>
  <si>
    <t>1 - katalog, 2 - z ręki</t>
  </si>
  <si>
    <r>
      <rPr>
        <sz val="10"/>
        <color theme="1"/>
        <rFont val="Arial"/>
        <family val="2"/>
        <charset val="238"/>
      </rPr>
      <t>dsg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</si>
  <si>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rPr>
        <sz val="10"/>
        <color theme="1"/>
        <rFont val="Arial"/>
        <family val="2"/>
        <charset val="238"/>
      </rPr>
      <t>dsd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</si>
  <si>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rPr>
        <sz val="10"/>
        <color theme="1"/>
        <rFont val="Arial"/>
        <family val="2"/>
        <charset val="238"/>
      </rPr>
      <t>ds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</si>
  <si>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t>s</t>
    </r>
    <r>
      <rPr>
        <sz val="10"/>
        <color theme="1"/>
        <rFont val="Czcionka tekstu podstawowego"/>
        <family val="2"/>
        <charset val="238"/>
      </rPr>
      <t xml:space="preserve">  [mm]</t>
    </r>
  </si>
  <si>
    <t>zbrojenie górne</t>
  </si>
  <si>
    <t>zbrojenie dolne</t>
  </si>
  <si>
    <t>BOLCE</t>
  </si>
  <si>
    <r>
      <t>Rozstaw bolców -</t>
    </r>
    <r>
      <rPr>
        <sz val="8"/>
        <color theme="1"/>
        <rFont val="Arial"/>
        <family val="2"/>
        <charset val="238"/>
      </rPr>
      <t xml:space="preserve"> a</t>
    </r>
    <r>
      <rPr>
        <vertAlign val="subscript"/>
        <sz val="8"/>
        <color theme="1"/>
        <rFont val="Arial"/>
        <family val="2"/>
        <charset val="238"/>
      </rPr>
      <t>KB</t>
    </r>
    <r>
      <rPr>
        <sz val="8"/>
        <color theme="1"/>
        <rFont val="Czcionka tekstu podstawowego"/>
        <family val="2"/>
        <charset val="238"/>
      </rPr>
      <t xml:space="preserve"> [mm]</t>
    </r>
  </si>
  <si>
    <t>PEKABEX HC 150</t>
  </si>
  <si>
    <t>PEKABEX HC 200</t>
  </si>
  <si>
    <t>PEKABEX HC 265</t>
  </si>
  <si>
    <t>PEKABEX HC 320</t>
  </si>
  <si>
    <t>PEKABEX HC 400</t>
  </si>
  <si>
    <t>PEKABEX HC 500</t>
  </si>
  <si>
    <t>ciężar płyty</t>
  </si>
  <si>
    <t>ciężar wypełn. fug</t>
  </si>
  <si>
    <t>CONSOLIS HC-200</t>
  </si>
  <si>
    <t>CONSOLIS HC-265</t>
  </si>
  <si>
    <t>CONSOLIS HC-320</t>
  </si>
  <si>
    <t>CONSOLIS HC-400</t>
  </si>
  <si>
    <t>CONSOLIS HC-500</t>
  </si>
  <si>
    <t>BETARD HCU 160</t>
  </si>
  <si>
    <t>BETARD HCU 200</t>
  </si>
  <si>
    <t>BETARD HCU 265</t>
  </si>
  <si>
    <t>BETARD HCU 320</t>
  </si>
  <si>
    <t>BETARD HCU 400</t>
  </si>
  <si>
    <t>BETARD HCU 500</t>
  </si>
  <si>
    <t>FABUD WKB HC160</t>
  </si>
  <si>
    <t>FABUD WKB HC200</t>
  </si>
  <si>
    <t>FABUD WKB HC220</t>
  </si>
  <si>
    <t>FABUD WKB HC265</t>
  </si>
  <si>
    <t>FABUD WKB HC320</t>
  </si>
  <si>
    <t>FABUD WKB HC400</t>
  </si>
  <si>
    <t>FABUD WKB HC500</t>
  </si>
  <si>
    <t>BUDIZOL HCS160</t>
  </si>
  <si>
    <t>BUDIZOL HCS200</t>
  </si>
  <si>
    <t>BUDIZOL HCS265</t>
  </si>
  <si>
    <t>BUDIZOL HCS320</t>
  </si>
  <si>
    <t>BUDIZOL HCS400</t>
  </si>
  <si>
    <t>czerwony kolor - brak danch producenta / dane wprowadzone ręcznie</t>
  </si>
  <si>
    <t>ilość kanałów</t>
  </si>
  <si>
    <t>[szt]</t>
  </si>
  <si>
    <t>wysokość kanału</t>
  </si>
  <si>
    <t>BRAK W BAZIE DANCH</t>
  </si>
  <si>
    <t>pole wyboru płyty</t>
  </si>
  <si>
    <t>Płyta kanałowa</t>
  </si>
  <si>
    <r>
      <t>wysokość płyty h</t>
    </r>
    <r>
      <rPr>
        <vertAlign val="subscript"/>
        <sz val="11"/>
        <rFont val="Calibri"/>
        <family val="2"/>
        <charset val="238"/>
        <scheme val="minor"/>
      </rPr>
      <t>pł</t>
    </r>
  </si>
  <si>
    <r>
      <t>[mm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charset val="238"/>
        <scheme val="minor"/>
      </rPr>
      <t>]</t>
    </r>
  </si>
  <si>
    <t>średnica pręta</t>
  </si>
  <si>
    <t>pole przekroju</t>
  </si>
  <si>
    <t>[mm2]</t>
  </si>
  <si>
    <t>pole wyboru pręta</t>
  </si>
  <si>
    <t>STAL</t>
  </si>
  <si>
    <r>
      <t>odl. od dolnej półki -</t>
    </r>
    <r>
      <rPr>
        <sz val="8"/>
        <color theme="1"/>
        <rFont val="Arial"/>
        <family val="2"/>
        <charset val="238"/>
      </rPr>
      <t xml:space="preserve"> h</t>
    </r>
    <r>
      <rPr>
        <vertAlign val="subscript"/>
        <sz val="8"/>
        <color theme="1"/>
        <rFont val="Arial"/>
        <family val="2"/>
        <charset val="238"/>
      </rPr>
      <t>KB</t>
    </r>
    <r>
      <rPr>
        <sz val="8"/>
        <color theme="1"/>
        <rFont val="Czcionka tekstu podstawowego"/>
        <family val="2"/>
        <charset val="238"/>
      </rPr>
      <t xml:space="preserve"> [mm]</t>
    </r>
  </si>
  <si>
    <r>
      <rPr>
        <sz val="9"/>
        <color theme="1"/>
        <rFont val="Arial"/>
        <family val="2"/>
        <charset val="238"/>
      </rPr>
      <t>hs</t>
    </r>
    <r>
      <rPr>
        <sz val="9"/>
        <color theme="1"/>
        <rFont val="Czcionka tekstu podstawowego"/>
        <family val="2"/>
        <charset val="238"/>
      </rPr>
      <t xml:space="preserve"> [mm]</t>
    </r>
  </si>
  <si>
    <r>
      <rPr>
        <sz val="9"/>
        <color theme="1"/>
        <rFont val="Arial"/>
        <family val="2"/>
        <charset val="238"/>
      </rPr>
      <t>ts</t>
    </r>
    <r>
      <rPr>
        <sz val="9"/>
        <color theme="1"/>
        <rFont val="Czcionka tekstu podstawowego"/>
        <family val="2"/>
        <charset val="238"/>
      </rPr>
      <t xml:space="preserve"> [mm]</t>
    </r>
  </si>
  <si>
    <r>
      <rPr>
        <sz val="9"/>
        <color theme="1"/>
        <rFont val="Arial"/>
        <family val="2"/>
        <charset val="238"/>
      </rPr>
      <t>B</t>
    </r>
    <r>
      <rPr>
        <sz val="9"/>
        <color theme="1"/>
        <rFont val="Czcionka tekstu podstawowego"/>
        <family val="2"/>
        <charset val="238"/>
      </rPr>
      <t xml:space="preserve"> [mm]</t>
    </r>
  </si>
  <si>
    <r>
      <rPr>
        <sz val="9"/>
        <color theme="1"/>
        <rFont val="Arial"/>
        <family val="2"/>
        <charset val="238"/>
      </rPr>
      <t>Bf</t>
    </r>
    <r>
      <rPr>
        <sz val="9"/>
        <color theme="1"/>
        <rFont val="Czcionka tekstu podstawowego"/>
        <family val="2"/>
        <charset val="238"/>
      </rPr>
      <t xml:space="preserve"> [mm]</t>
    </r>
  </si>
  <si>
    <r>
      <rPr>
        <sz val="9"/>
        <color theme="1"/>
        <rFont val="Arial"/>
        <family val="2"/>
        <charset val="238"/>
      </rPr>
      <t>tf</t>
    </r>
    <r>
      <rPr>
        <sz val="9"/>
        <color theme="1"/>
        <rFont val="Czcionka tekstu podstawowego"/>
        <family val="2"/>
        <charset val="238"/>
      </rPr>
      <t xml:space="preserve"> [mm]</t>
    </r>
  </si>
  <si>
    <t>DANE DO OBLICZEŃ - PODSUMOWANIE</t>
  </si>
  <si>
    <t>[cm2]</t>
  </si>
  <si>
    <t>d</t>
  </si>
  <si>
    <t>oznaczenie belki:</t>
  </si>
  <si>
    <t>KROK 6  - analiza warunków wytrzymałościowych</t>
  </si>
  <si>
    <r>
      <t xml:space="preserve">odl. od górnej kraw. </t>
    </r>
    <r>
      <rPr>
        <sz val="10"/>
        <color theme="1"/>
        <rFont val="Arial"/>
        <family val="2"/>
        <charset val="238"/>
      </rPr>
      <t>h</t>
    </r>
    <r>
      <rPr>
        <vertAlign val="subscript"/>
        <sz val="10"/>
        <color theme="1"/>
        <rFont val="Arial"/>
        <family val="2"/>
        <charset val="238"/>
      </rPr>
      <t>o</t>
    </r>
    <r>
      <rPr>
        <sz val="10"/>
        <color theme="1"/>
        <rFont val="Czcionka tekstu podstawowego"/>
        <family val="2"/>
        <charset val="238"/>
      </rPr>
      <t xml:space="preserve"> [mm]</t>
    </r>
  </si>
  <si>
    <t>DANE WEJŚCIOWE</t>
  </si>
  <si>
    <t>ANALIZA WYNIKÓW</t>
  </si>
  <si>
    <t>Asd*fds</t>
  </si>
  <si>
    <t>suma</t>
  </si>
  <si>
    <t>-Asd*fds</t>
  </si>
  <si>
    <t>beton zalewowy</t>
  </si>
  <si>
    <t>środnik powyżej xpl</t>
  </si>
  <si>
    <t>środnik poniżej xpl</t>
  </si>
  <si>
    <t>półka</t>
  </si>
  <si>
    <t>brak betonu w miejscu Asg</t>
  </si>
  <si>
    <t>zbrojenie Asg</t>
  </si>
  <si>
    <t>zbrojenie Asd</t>
  </si>
  <si>
    <t>brak betonu w miejscu Asd</t>
  </si>
  <si>
    <t>beton w wycięciu ts</t>
  </si>
  <si>
    <t xml:space="preserve">xpl = </t>
  </si>
  <si>
    <t>-0,85fcd(xpl-Do)*Bc</t>
  </si>
  <si>
    <t>-Asg*fsd</t>
  </si>
  <si>
    <t>+0,85*fcd*Asg</t>
  </si>
  <si>
    <t>-Do*Bc*0,85fcd,bz</t>
  </si>
  <si>
    <t>-2ts*Do*0,85fcd</t>
  </si>
  <si>
    <t>+0,85*fcd*Asd</t>
  </si>
  <si>
    <t>-(xpl-(Hc-hs)-Do)*2ts*fyd</t>
  </si>
  <si>
    <t>+(Hc-xpl)*2ts*fyd</t>
  </si>
  <si>
    <t>+B*tf*fyd</t>
  </si>
  <si>
    <t>przypadek 2 - Asd w strefie ściskanej</t>
  </si>
  <si>
    <t>przypadek 1 - Asd w strefie rozciąganej</t>
  </si>
  <si>
    <t>/nie uwzgl. rozciągania betonu/</t>
  </si>
  <si>
    <t>z bazy danych</t>
  </si>
  <si>
    <t>"z ręki"</t>
  </si>
  <si>
    <t>z "ręki"</t>
  </si>
  <si>
    <t>[1 - uwzględnienie Asd ; 0 - bez uwzględnienia Asd]</t>
  </si>
  <si>
    <t>DANE ROBOCZE - NIE USUWAĆ</t>
  </si>
  <si>
    <t>pole wyboru zbrojenia Asd</t>
  </si>
  <si>
    <t>Sprawdzenie nośności - stan użytkowania (bez współpracy stropu):</t>
  </si>
  <si>
    <t>≤</t>
  </si>
  <si>
    <t>= MRd [kNm]</t>
  </si>
  <si>
    <t>MEd [kNm] =</t>
  </si>
  <si>
    <t>Sprawdzenie nośności - stan użytkowania (przy współpracy stropu):</t>
  </si>
  <si>
    <t>Analiza osi obojętnej - dane pomocnicze do wykresu</t>
  </si>
  <si>
    <t>Sprawdzenie nośności - stan montażu:</t>
  </si>
  <si>
    <r>
      <t>M</t>
    </r>
    <r>
      <rPr>
        <vertAlign val="subscript"/>
        <sz val="11"/>
        <color theme="1"/>
        <rFont val="Czcionka tekstu podstawowego"/>
        <charset val="238"/>
      </rPr>
      <t>Ed</t>
    </r>
    <r>
      <rPr>
        <sz val="11"/>
        <color theme="1"/>
        <rFont val="Czcionka tekstu podstawowego"/>
        <charset val="238"/>
      </rPr>
      <t xml:space="preserve"> [kNm]</t>
    </r>
  </si>
  <si>
    <r>
      <t>M</t>
    </r>
    <r>
      <rPr>
        <vertAlign val="subscript"/>
        <sz val="11"/>
        <color theme="1"/>
        <rFont val="Czcionka tekstu podstawowego"/>
        <charset val="238"/>
      </rPr>
      <t>Rd</t>
    </r>
    <r>
      <rPr>
        <sz val="11"/>
        <color theme="1"/>
        <rFont val="Czcionka tekstu podstawowego"/>
        <charset val="238"/>
      </rPr>
      <t xml:space="preserve"> [kNm]</t>
    </r>
  </si>
  <si>
    <t>wytężenie</t>
  </si>
  <si>
    <r>
      <t>V</t>
    </r>
    <r>
      <rPr>
        <vertAlign val="subscript"/>
        <sz val="11"/>
        <color theme="1"/>
        <rFont val="Czcionka tekstu podstawowego"/>
        <charset val="238"/>
      </rPr>
      <t>Ed</t>
    </r>
    <r>
      <rPr>
        <sz val="11"/>
        <color theme="1"/>
        <rFont val="Czcionka tekstu podstawowego"/>
        <charset val="238"/>
      </rPr>
      <t xml:space="preserve"> [kN]</t>
    </r>
  </si>
  <si>
    <r>
      <t>V</t>
    </r>
    <r>
      <rPr>
        <vertAlign val="subscript"/>
        <sz val="11"/>
        <color theme="1"/>
        <rFont val="Czcionka tekstu podstawowego"/>
        <charset val="238"/>
      </rPr>
      <t>Rd</t>
    </r>
    <r>
      <rPr>
        <sz val="11"/>
        <color theme="1"/>
        <rFont val="Czcionka tekstu podstawowego"/>
        <charset val="238"/>
      </rPr>
      <t xml:space="preserve"> [kN]</t>
    </r>
  </si>
  <si>
    <t>Obliczeniowa nośność na ścinanie wg teorii prof. U. Kuhlmann</t>
  </si>
  <si>
    <t>PŁYTA KANAŁOWA</t>
  </si>
  <si>
    <t>belka</t>
  </si>
  <si>
    <r>
      <t xml:space="preserve">Obliczeniowa nośność łącznika na ścinanie wg EC4 6.18 
</t>
    </r>
    <r>
      <rPr>
        <b/>
        <sz val="10"/>
        <color theme="1"/>
        <rFont val="Arial"/>
        <family val="2"/>
        <charset val="238"/>
      </rPr>
      <t>(zniszczenie podstawy trzpienia)</t>
    </r>
  </si>
  <si>
    <r>
      <t xml:space="preserve">Obliczeniowa nośność łącznika na ścinanie wg EC4 6.19 
</t>
    </r>
    <r>
      <rPr>
        <b/>
        <sz val="10"/>
        <color theme="1"/>
        <rFont val="Arial"/>
        <family val="2"/>
        <charset val="238"/>
      </rPr>
      <t>(zniszczenie betonu)</t>
    </r>
  </si>
  <si>
    <t>siła max na 1 bolec</t>
  </si>
  <si>
    <t>Wyznaczenie sił przypadających na 1 bolec:</t>
  </si>
  <si>
    <r>
      <rPr>
        <b/>
        <sz val="10.5"/>
        <color theme="0" tint="-0.34998626667073579"/>
        <rFont val="Czcionka tekstu podstawowego"/>
        <charset val="238"/>
      </rPr>
      <t>n</t>
    </r>
    <r>
      <rPr>
        <sz val="10.5"/>
        <color theme="0" tint="-0.34998626667073579"/>
        <rFont val="Czcionka tekstu podstawowego"/>
        <family val="2"/>
        <charset val="238"/>
      </rPr>
      <t xml:space="preserve"> - ilość bolców na połowie belki</t>
    </r>
  </si>
  <si>
    <t>WR - do wyjaśnienia wartość siły poziomej na bolec</t>
  </si>
  <si>
    <r>
      <t xml:space="preserve">siła </t>
    </r>
    <r>
      <rPr>
        <b/>
        <sz val="10"/>
        <color theme="1"/>
        <rFont val="Czcionka tekstu podstawowego"/>
        <family val="2"/>
        <charset val="238"/>
      </rPr>
      <t>poprzeczna</t>
    </r>
    <r>
      <rPr>
        <sz val="10"/>
        <color theme="1"/>
        <rFont val="Czcionka tekstu podstawowego"/>
        <family val="2"/>
        <charset val="238"/>
      </rPr>
      <t xml:space="preserve"> (od skręcania) przypadająca na 1 trzpień zespalający</t>
    </r>
  </si>
  <si>
    <r>
      <t xml:space="preserve">siła </t>
    </r>
    <r>
      <rPr>
        <b/>
        <sz val="10"/>
        <color theme="1"/>
        <rFont val="Czcionka tekstu podstawowego"/>
        <family val="2"/>
        <charset val="238"/>
      </rPr>
      <t xml:space="preserve">podłużna </t>
    </r>
    <r>
      <rPr>
        <sz val="10"/>
        <color theme="1"/>
        <rFont val="Czcionka tekstu podstawowego"/>
        <charset val="238"/>
      </rPr>
      <t>(od zginania)</t>
    </r>
    <r>
      <rPr>
        <sz val="10"/>
        <color theme="1"/>
        <rFont val="Czcionka tekstu podstawowego"/>
        <family val="2"/>
        <charset val="238"/>
      </rPr>
      <t xml:space="preserve"> przypadająca na 1 trzpień zespalający</t>
    </r>
  </si>
  <si>
    <r>
      <t xml:space="preserve">Obliczeniowa nośność trzpienia główkowego położonego poziomo na </t>
    </r>
    <r>
      <rPr>
        <b/>
        <sz val="10"/>
        <color theme="1"/>
        <rFont val="Arial"/>
        <family val="2"/>
        <charset val="238"/>
      </rPr>
      <t>ścinanie poziome</t>
    </r>
  </si>
  <si>
    <r>
      <t xml:space="preserve">Obliczeniowa nośność trzpienia główkowego położonego poziomo na </t>
    </r>
    <r>
      <rPr>
        <b/>
        <sz val="10"/>
        <color theme="1"/>
        <rFont val="Arial"/>
        <family val="2"/>
        <charset val="238"/>
      </rPr>
      <t>ścinanie pionowe</t>
    </r>
  </si>
  <si>
    <t>Sprawdzenie nośności trzpieni w stanie montażu</t>
  </si>
  <si>
    <t>sprawdzenie warunku interakcji wg. teorii prof. Kuhlmann</t>
  </si>
  <si>
    <t>sprawdzenie warunku nośności wg EN 1994-1</t>
  </si>
  <si>
    <r>
      <t>(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d,L</t>
    </r>
    <r>
      <rPr>
        <i/>
        <sz val="11"/>
        <color theme="1"/>
        <rFont val="Czcionka tekstu podstawowego"/>
        <charset val="238"/>
      </rPr>
      <t>/P</t>
    </r>
    <r>
      <rPr>
        <i/>
        <vertAlign val="subscript"/>
        <sz val="11"/>
        <color theme="1"/>
        <rFont val="Czcionka tekstu podstawowego"/>
        <charset val="238"/>
      </rPr>
      <t>Rd,L</t>
    </r>
    <r>
      <rPr>
        <sz val="11"/>
        <color theme="1"/>
        <rFont val="Czcionka tekstu podstawowego"/>
        <family val="2"/>
        <charset val="238"/>
      </rPr>
      <t>)</t>
    </r>
    <r>
      <rPr>
        <vertAlign val="superscript"/>
        <sz val="11"/>
        <color theme="1"/>
        <rFont val="Czcionka tekstu podstawowego"/>
        <charset val="238"/>
      </rPr>
      <t>1,2</t>
    </r>
    <r>
      <rPr>
        <sz val="11"/>
        <color theme="1"/>
        <rFont val="Czcionka tekstu podstawowego"/>
        <family val="2"/>
        <charset val="238"/>
      </rPr>
      <t xml:space="preserve"> + (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d,V</t>
    </r>
    <r>
      <rPr>
        <i/>
        <sz val="11"/>
        <color theme="1"/>
        <rFont val="Czcionka tekstu podstawowego"/>
        <charset val="238"/>
      </rPr>
      <t>/P</t>
    </r>
    <r>
      <rPr>
        <i/>
        <vertAlign val="subscript"/>
        <sz val="11"/>
        <color theme="1"/>
        <rFont val="Czcionka tekstu podstawowego"/>
        <charset val="238"/>
      </rPr>
      <t>Rd,V</t>
    </r>
    <r>
      <rPr>
        <sz val="11"/>
        <color theme="1"/>
        <rFont val="Czcionka tekstu podstawowego"/>
        <family val="2"/>
        <charset val="238"/>
      </rPr>
      <t>)</t>
    </r>
    <r>
      <rPr>
        <vertAlign val="superscript"/>
        <sz val="11"/>
        <color theme="1"/>
        <rFont val="Czcionka tekstu podstawowego"/>
        <charset val="238"/>
      </rPr>
      <t>1,2</t>
    </r>
    <r>
      <rPr>
        <sz val="11"/>
        <color theme="1"/>
        <rFont val="Czcionka tekstu podstawowego"/>
        <family val="2"/>
        <charset val="238"/>
      </rPr>
      <t xml:space="preserve"> </t>
    </r>
    <r>
      <rPr>
        <sz val="11"/>
        <color theme="1"/>
        <rFont val="Symbol"/>
        <family val="1"/>
        <charset val="2"/>
      </rPr>
      <t>=</t>
    </r>
  </si>
  <si>
    <r>
      <t>(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d,L</t>
    </r>
    <r>
      <rPr>
        <vertAlign val="superscript"/>
        <sz val="11"/>
        <color theme="1"/>
        <rFont val="Czcionka tekstu podstawowego"/>
        <charset val="238"/>
      </rPr>
      <t>2</t>
    </r>
    <r>
      <rPr>
        <sz val="11"/>
        <color theme="1"/>
        <rFont val="Czcionka tekstu podstawowego"/>
        <family val="2"/>
        <charset val="238"/>
      </rPr>
      <t xml:space="preserve"> + </t>
    </r>
    <r>
      <rPr>
        <i/>
        <sz val="11"/>
        <color theme="1"/>
        <rFont val="Czcionka tekstu podstawowego"/>
        <charset val="238"/>
      </rPr>
      <t>F</t>
    </r>
    <r>
      <rPr>
        <i/>
        <vertAlign val="subscript"/>
        <sz val="11"/>
        <color theme="1"/>
        <rFont val="Czcionka tekstu podstawowego"/>
        <charset val="238"/>
      </rPr>
      <t>d,V</t>
    </r>
    <r>
      <rPr>
        <vertAlign val="superscript"/>
        <sz val="11"/>
        <color theme="1"/>
        <rFont val="Czcionka tekstu podstawowego"/>
        <charset val="238"/>
      </rPr>
      <t>2</t>
    </r>
    <r>
      <rPr>
        <sz val="11"/>
        <color theme="1"/>
        <rFont val="Czcionka tekstu podstawowego"/>
        <charset val="238"/>
      </rPr>
      <t>)</t>
    </r>
    <r>
      <rPr>
        <vertAlign val="superscript"/>
        <sz val="11"/>
        <color theme="1"/>
        <rFont val="Czcionka tekstu podstawowego"/>
        <charset val="238"/>
      </rPr>
      <t xml:space="preserve">0,5 </t>
    </r>
    <r>
      <rPr>
        <sz val="11"/>
        <color theme="1"/>
        <rFont val="Symbol"/>
        <family val="1"/>
        <charset val="2"/>
      </rPr>
      <t>=</t>
    </r>
  </si>
  <si>
    <t>WR - formuła zmodyfikowana
przed zmianą: =1
po zmianie: = jeżeli…</t>
  </si>
  <si>
    <t>OBLICZENIA BELKI HYBRYDOWEJ</t>
  </si>
  <si>
    <t>Sprawdzenie nośności na zginanie dla półki dolnej w stanie montażu</t>
  </si>
  <si>
    <r>
      <t>M</t>
    </r>
    <r>
      <rPr>
        <sz val="11"/>
        <color theme="1"/>
        <rFont val="Calibri"/>
        <family val="2"/>
        <charset val="238"/>
      </rPr>
      <t>α,</t>
    </r>
    <r>
      <rPr>
        <sz val="11"/>
        <color theme="1"/>
        <rFont val="Czcionka tekstu podstawowego"/>
        <charset val="238"/>
      </rPr>
      <t>d [kNcm/cm] =</t>
    </r>
  </si>
  <si>
    <t>= Mpl,Rd [kNm]</t>
  </si>
  <si>
    <t>montaż</t>
  </si>
  <si>
    <t>użytkowanie - bez wsp. stropu</t>
  </si>
  <si>
    <t>użytkowanie - przy wsp. stropu</t>
  </si>
  <si>
    <t>użytkowanie - tylko środniki</t>
  </si>
  <si>
    <t>montaż - warunek interakcji wg. teorii prof. Kuhlmann</t>
  </si>
  <si>
    <t>montaż - warunek nośności wg EN 1994-1</t>
  </si>
  <si>
    <t>ZGINANIE BELKI</t>
  </si>
  <si>
    <t>ŚCINANIE BELKI</t>
  </si>
  <si>
    <t>ZGINANIE PÓŁKI DOLNEJ</t>
  </si>
  <si>
    <r>
      <t>M</t>
    </r>
    <r>
      <rPr>
        <sz val="11"/>
        <color theme="1"/>
        <rFont val="Calibri"/>
        <family val="2"/>
        <charset val="238"/>
      </rPr>
      <t>α,</t>
    </r>
    <r>
      <rPr>
        <sz val="11"/>
        <color theme="1"/>
        <rFont val="Czcionka tekstu podstawowego"/>
        <charset val="238"/>
      </rPr>
      <t>d [kNcm/cm]</t>
    </r>
  </si>
  <si>
    <t>Mpl,Rd [kNm]</t>
  </si>
  <si>
    <t>obliczeniowy moment skręcający (w stanie montażu)</t>
  </si>
  <si>
    <t>obliczeniowa siła poprzeczna</t>
  </si>
  <si>
    <r>
      <t>T</t>
    </r>
    <r>
      <rPr>
        <b/>
        <vertAlign val="subscript"/>
        <sz val="12"/>
        <color theme="1"/>
        <rFont val="Arial"/>
        <family val="2"/>
        <charset val="238"/>
      </rPr>
      <t>Ed</t>
    </r>
    <r>
      <rPr>
        <b/>
        <sz val="12"/>
        <color theme="1"/>
        <rFont val="Arial"/>
        <family val="2"/>
        <charset val="238"/>
      </rPr>
      <t>/T</t>
    </r>
    <r>
      <rPr>
        <b/>
        <vertAlign val="subscript"/>
        <sz val="12"/>
        <color theme="1"/>
        <rFont val="Arial"/>
        <family val="2"/>
        <charset val="238"/>
      </rPr>
      <t>Rd,max</t>
    </r>
    <r>
      <rPr>
        <b/>
        <sz val="12"/>
        <color theme="1"/>
        <rFont val="Arial"/>
        <family val="2"/>
        <charset val="238"/>
      </rPr>
      <t xml:space="preserve"> + V</t>
    </r>
    <r>
      <rPr>
        <b/>
        <vertAlign val="subscript"/>
        <sz val="12"/>
        <color theme="1"/>
        <rFont val="Arial"/>
        <family val="2"/>
        <charset val="238"/>
      </rPr>
      <t>Ed</t>
    </r>
    <r>
      <rPr>
        <b/>
        <sz val="12"/>
        <color theme="1"/>
        <rFont val="Arial"/>
        <family val="2"/>
        <charset val="238"/>
      </rPr>
      <t>/V</t>
    </r>
    <r>
      <rPr>
        <b/>
        <vertAlign val="subscript"/>
        <sz val="12"/>
        <color theme="1"/>
        <rFont val="Arial"/>
        <family val="2"/>
        <charset val="238"/>
      </rPr>
      <t>Rd,max</t>
    </r>
    <r>
      <rPr>
        <b/>
        <sz val="12"/>
        <color theme="1"/>
        <rFont val="Arial"/>
        <family val="2"/>
        <charset val="238"/>
      </rPr>
      <t xml:space="preserve"> ≤ 1,0</t>
    </r>
  </si>
  <si>
    <r>
      <t>T</t>
    </r>
    <r>
      <rPr>
        <b/>
        <i/>
        <vertAlign val="subscript"/>
        <sz val="12"/>
        <color theme="1"/>
        <rFont val="Arial"/>
        <family val="2"/>
        <charset val="238"/>
      </rPr>
      <t>Ed</t>
    </r>
    <r>
      <rPr>
        <b/>
        <i/>
        <sz val="12"/>
        <color theme="1"/>
        <rFont val="Arial"/>
        <family val="2"/>
        <charset val="238"/>
      </rPr>
      <t>/T</t>
    </r>
    <r>
      <rPr>
        <b/>
        <i/>
        <vertAlign val="subscript"/>
        <sz val="12"/>
        <color theme="1"/>
        <rFont val="Arial"/>
        <family val="2"/>
        <charset val="238"/>
      </rPr>
      <t>Rd,max</t>
    </r>
    <r>
      <rPr>
        <b/>
        <i/>
        <sz val="12"/>
        <color theme="1"/>
        <rFont val="Arial"/>
        <family val="2"/>
        <charset val="238"/>
      </rPr>
      <t xml:space="preserve"> + V</t>
    </r>
    <r>
      <rPr>
        <b/>
        <i/>
        <vertAlign val="subscript"/>
        <sz val="12"/>
        <color theme="1"/>
        <rFont val="Arial"/>
        <family val="2"/>
        <charset val="238"/>
      </rPr>
      <t>Ed</t>
    </r>
    <r>
      <rPr>
        <b/>
        <i/>
        <sz val="12"/>
        <color theme="1"/>
        <rFont val="Arial"/>
        <family val="2"/>
        <charset val="238"/>
      </rPr>
      <t>/V</t>
    </r>
    <r>
      <rPr>
        <b/>
        <i/>
        <vertAlign val="subscript"/>
        <sz val="12"/>
        <color theme="1"/>
        <rFont val="Arial"/>
        <family val="2"/>
        <charset val="238"/>
      </rPr>
      <t>Rd,max</t>
    </r>
    <r>
      <rPr>
        <b/>
        <i/>
        <sz val="12"/>
        <color theme="1"/>
        <rFont val="Arial"/>
        <family val="2"/>
        <charset val="238"/>
      </rPr>
      <t xml:space="preserve"> =</t>
    </r>
  </si>
  <si>
    <t>Sprawdzenie nośności krzyżulców betonowych przy skręcaniu i ścinaniu w stanie montażu</t>
  </si>
  <si>
    <t>obliczeniowa nośność na skręcanie</t>
  </si>
  <si>
    <r>
      <rPr>
        <b/>
        <i/>
        <sz val="11"/>
        <color theme="0" tint="-0.34998626667073579"/>
        <rFont val="Symbol"/>
        <family val="1"/>
        <charset val="2"/>
      </rPr>
      <t>t</t>
    </r>
    <r>
      <rPr>
        <b/>
        <i/>
        <vertAlign val="subscript"/>
        <sz val="11"/>
        <color theme="0" tint="-0.34998626667073579"/>
        <rFont val="Arial"/>
        <family val="2"/>
        <charset val="238"/>
      </rPr>
      <t xml:space="preserve">t,i </t>
    </r>
    <r>
      <rPr>
        <b/>
        <i/>
        <sz val="11"/>
        <color theme="0" tint="-0.34998626667073579"/>
        <rFont val="Arial"/>
        <family val="2"/>
        <charset val="238"/>
      </rPr>
      <t>=</t>
    </r>
    <r>
      <rPr>
        <b/>
        <i/>
        <sz val="11"/>
        <color theme="0" tint="-0.34998626667073579"/>
        <rFont val="Times New Roman"/>
        <family val="1"/>
        <charset val="238"/>
      </rPr>
      <t xml:space="preserve"> f</t>
    </r>
    <r>
      <rPr>
        <b/>
        <i/>
        <vertAlign val="subscript"/>
        <sz val="11"/>
        <color theme="0" tint="-0.34998626667073579"/>
        <rFont val="Times New Roman"/>
        <family val="1"/>
        <charset val="238"/>
      </rPr>
      <t>ctd</t>
    </r>
    <r>
      <rPr>
        <b/>
        <i/>
        <vertAlign val="subscript"/>
        <sz val="11"/>
        <color theme="0" tint="-0.34998626667073579"/>
        <rFont val="Arial"/>
        <family val="2"/>
        <charset val="238"/>
      </rPr>
      <t xml:space="preserve"> </t>
    </r>
    <r>
      <rPr>
        <b/>
        <i/>
        <sz val="11"/>
        <color theme="0" tint="-0.34998626667073579"/>
        <rFont val="Arial"/>
        <family val="2"/>
        <charset val="238"/>
      </rPr>
      <t>=</t>
    </r>
  </si>
  <si>
    <r>
      <rPr>
        <b/>
        <i/>
        <sz val="11"/>
        <color theme="0" tint="-0.34998626667073579"/>
        <rFont val="Symbol"/>
        <family val="1"/>
        <charset val="2"/>
      </rPr>
      <t>a</t>
    </r>
    <r>
      <rPr>
        <b/>
        <i/>
        <vertAlign val="subscript"/>
        <sz val="11"/>
        <color theme="0" tint="-0.34998626667073579"/>
        <rFont val="Arial"/>
        <family val="2"/>
        <charset val="238"/>
      </rPr>
      <t xml:space="preserve">cw </t>
    </r>
    <r>
      <rPr>
        <b/>
        <i/>
        <sz val="11"/>
        <color theme="0" tint="-0.34998626667073579"/>
        <rFont val="Arial"/>
        <family val="2"/>
        <charset val="238"/>
      </rPr>
      <t xml:space="preserve">= </t>
    </r>
  </si>
  <si>
    <t>dane przekroju "K"</t>
  </si>
  <si>
    <r>
      <t>b</t>
    </r>
    <r>
      <rPr>
        <i/>
        <vertAlign val="subscript"/>
        <sz val="11"/>
        <color theme="1"/>
        <rFont val="Arial"/>
        <family val="2"/>
        <charset val="238"/>
      </rPr>
      <t>k</t>
    </r>
    <r>
      <rPr>
        <i/>
        <sz val="11"/>
        <color theme="1"/>
        <rFont val="Arial"/>
        <family val="2"/>
        <charset val="238"/>
      </rPr>
      <t xml:space="preserve"> =</t>
    </r>
  </si>
  <si>
    <r>
      <t>h</t>
    </r>
    <r>
      <rPr>
        <i/>
        <vertAlign val="subscript"/>
        <sz val="11"/>
        <color theme="1"/>
        <rFont val="Arial"/>
        <family val="2"/>
        <charset val="238"/>
      </rPr>
      <t>k</t>
    </r>
    <r>
      <rPr>
        <i/>
        <sz val="11"/>
        <color theme="1"/>
        <rFont val="Arial"/>
        <family val="2"/>
        <charset val="238"/>
      </rPr>
      <t xml:space="preserve"> =</t>
    </r>
  </si>
  <si>
    <r>
      <t xml:space="preserve"> A</t>
    </r>
    <r>
      <rPr>
        <i/>
        <vertAlign val="subscript"/>
        <sz val="11"/>
        <color theme="1"/>
        <rFont val="Arial"/>
        <family val="2"/>
        <charset val="238"/>
      </rPr>
      <t>k</t>
    </r>
    <r>
      <rPr>
        <i/>
        <sz val="11"/>
        <color theme="1"/>
        <rFont val="Arial"/>
        <family val="2"/>
        <charset val="238"/>
      </rPr>
      <t xml:space="preserve"> =</t>
    </r>
  </si>
  <si>
    <t>Nośność na skręcanie (PN-EN 1992-1-1 6.3)</t>
  </si>
  <si>
    <r>
      <t>t</t>
    </r>
    <r>
      <rPr>
        <vertAlign val="subscript"/>
        <sz val="11"/>
        <color theme="1"/>
        <rFont val="Arial"/>
        <family val="2"/>
        <charset val="238"/>
      </rPr>
      <t xml:space="preserve">ef,i </t>
    </r>
    <r>
      <rPr>
        <sz val="11"/>
        <color theme="1"/>
        <rFont val="Arial"/>
        <family val="2"/>
        <charset val="238"/>
      </rPr>
      <t>=</t>
    </r>
  </si>
  <si>
    <t>efektywna grubość ściany</t>
  </si>
  <si>
    <r>
      <rPr>
        <i/>
        <sz val="11"/>
        <color theme="1"/>
        <rFont val="Times New Roman"/>
        <family val="1"/>
        <charset val="238"/>
      </rPr>
      <t>- V</t>
    </r>
    <r>
      <rPr>
        <i/>
        <vertAlign val="subscript"/>
        <sz val="11"/>
        <color theme="1"/>
        <rFont val="Times New Roman"/>
        <family val="1"/>
        <charset val="238"/>
      </rPr>
      <t xml:space="preserve">Rd,max </t>
    </r>
    <r>
      <rPr>
        <sz val="11"/>
        <color theme="1"/>
        <rFont val="Arial"/>
        <family val="2"/>
        <charset val="238"/>
      </rPr>
      <t>maksymalna nośność obliczeniowa zgodnie '  z (6.9) lub (6.14); do określenia w przekrojach pełnych</t>
    </r>
  </si>
  <si>
    <r>
      <t xml:space="preserve">WR - wartości współczynników </t>
    </r>
    <r>
      <rPr>
        <sz val="11"/>
        <color rgb="FFFF0000"/>
        <rFont val="Calibri"/>
        <family val="2"/>
        <charset val="238"/>
      </rPr>
      <t>ν</t>
    </r>
    <r>
      <rPr>
        <sz val="9.35"/>
        <color rgb="FFFF0000"/>
        <rFont val="Czcionka tekstu podstawowego"/>
        <family val="2"/>
        <charset val="238"/>
      </rPr>
      <t xml:space="preserve"> oraz ν1 do sprawdzenia</t>
    </r>
  </si>
  <si>
    <t>ramię sił wewnętrznych</t>
  </si>
  <si>
    <r>
      <t>b</t>
    </r>
    <r>
      <rPr>
        <b/>
        <i/>
        <vertAlign val="subscript"/>
        <sz val="11"/>
        <color theme="1"/>
        <rFont val="Arial"/>
        <family val="2"/>
        <charset val="238"/>
      </rPr>
      <t>w</t>
    </r>
    <r>
      <rPr>
        <b/>
        <i/>
        <sz val="11"/>
        <color theme="1"/>
        <rFont val="Arial"/>
        <family val="2"/>
        <charset val="238"/>
      </rPr>
      <t xml:space="preserve"> = Bc =</t>
    </r>
  </si>
  <si>
    <t>szerokość przekroju</t>
  </si>
  <si>
    <t>obliczeniowa nośność na ścinanie</t>
  </si>
  <si>
    <r>
      <t>WR - sposób obliczania Vrd,max</t>
    </r>
    <r>
      <rPr>
        <sz val="9.35"/>
        <color rgb="FFFF0000"/>
        <rFont val="Czcionka tekstu podstawowego"/>
        <family val="2"/>
        <charset val="238"/>
      </rPr>
      <t xml:space="preserve"> do sprawdzenia</t>
    </r>
  </si>
  <si>
    <r>
      <t>T</t>
    </r>
    <r>
      <rPr>
        <i/>
        <vertAlign val="subscript"/>
        <sz val="11"/>
        <color theme="1"/>
        <rFont val="Arial"/>
        <family val="2"/>
        <charset val="238"/>
      </rPr>
      <t>Ed</t>
    </r>
    <r>
      <rPr>
        <i/>
        <sz val="11"/>
        <color theme="1"/>
        <rFont val="Arial"/>
        <family val="2"/>
        <charset val="238"/>
      </rPr>
      <t>/T</t>
    </r>
    <r>
      <rPr>
        <i/>
        <vertAlign val="subscript"/>
        <sz val="11"/>
        <color theme="1"/>
        <rFont val="Arial"/>
        <family val="2"/>
        <charset val="238"/>
      </rPr>
      <t>Rd,max</t>
    </r>
    <r>
      <rPr>
        <i/>
        <sz val="11"/>
        <color theme="1"/>
        <rFont val="Arial"/>
        <family val="2"/>
        <charset val="238"/>
      </rPr>
      <t xml:space="preserve"> + V</t>
    </r>
    <r>
      <rPr>
        <i/>
        <vertAlign val="subscript"/>
        <sz val="11"/>
        <color theme="1"/>
        <rFont val="Arial"/>
        <family val="2"/>
        <charset val="238"/>
      </rPr>
      <t>Ed</t>
    </r>
    <r>
      <rPr>
        <i/>
        <sz val="11"/>
        <color theme="1"/>
        <rFont val="Arial"/>
        <family val="2"/>
        <charset val="238"/>
      </rPr>
      <t>/V</t>
    </r>
    <r>
      <rPr>
        <i/>
        <vertAlign val="subscript"/>
        <sz val="11"/>
        <color theme="1"/>
        <rFont val="Arial"/>
        <family val="2"/>
        <charset val="238"/>
      </rPr>
      <t>Rd,max</t>
    </r>
    <r>
      <rPr>
        <i/>
        <sz val="11"/>
        <color theme="1"/>
        <rFont val="Arial"/>
        <family val="2"/>
        <charset val="238"/>
      </rPr>
      <t xml:space="preserve"> =</t>
    </r>
  </si>
  <si>
    <t>montaż - warunek nośności krzyżulców betonowych przy skręcaniu i ścinaniu</t>
  </si>
  <si>
    <t>SKRĘCANIE BELKI</t>
  </si>
  <si>
    <t>sprawdzenie warunków nośności dla spoin bolców:</t>
  </si>
  <si>
    <r>
      <t xml:space="preserve">   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Symbol"/>
        <family val="1"/>
        <charset val="2"/>
      </rPr>
      <t>^</t>
    </r>
    <r>
      <rPr>
        <vertAlign val="subscript"/>
        <sz val="11"/>
        <color theme="1"/>
        <rFont val="Times New Roman"/>
        <family val="1"/>
        <charset val="238"/>
      </rPr>
      <t xml:space="preserve"> </t>
    </r>
    <r>
      <rPr>
        <sz val="11"/>
        <color theme="1"/>
        <rFont val="Arial"/>
        <family val="2"/>
        <charset val="238"/>
      </rPr>
      <t>[kN/cm</t>
    </r>
    <r>
      <rPr>
        <vertAlign val="superscript"/>
        <sz val="11"/>
        <color theme="1"/>
        <rFont val="Arial"/>
        <family val="2"/>
        <charset val="238"/>
      </rPr>
      <t>2</t>
    </r>
    <r>
      <rPr>
        <sz val="11"/>
        <color theme="1"/>
        <rFont val="Cambria"/>
        <family val="1"/>
        <charset val="238"/>
      </rPr>
      <t>] =</t>
    </r>
    <r>
      <rPr>
        <vertAlign val="subscript"/>
        <sz val="11"/>
        <color theme="1"/>
        <rFont val="Times New Roman"/>
        <family val="1"/>
        <charset val="238"/>
      </rPr>
      <t xml:space="preserve"> </t>
    </r>
  </si>
  <si>
    <r>
      <t xml:space="preserve">   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Arial"/>
        <family val="2"/>
        <charset val="238"/>
      </rPr>
      <t>z</t>
    </r>
    <r>
      <rPr>
        <vertAlign val="subscript"/>
        <sz val="11"/>
        <color theme="1"/>
        <rFont val="Times New Roman"/>
        <family val="1"/>
        <charset val="238"/>
      </rPr>
      <t xml:space="preserve"> </t>
    </r>
    <r>
      <rPr>
        <sz val="11"/>
        <color theme="1"/>
        <rFont val="Arial"/>
        <family val="2"/>
        <charset val="238"/>
      </rPr>
      <t>[kN/cm</t>
    </r>
    <r>
      <rPr>
        <vertAlign val="superscript"/>
        <sz val="11"/>
        <color theme="1"/>
        <rFont val="Arial"/>
        <family val="2"/>
        <charset val="238"/>
      </rPr>
      <t>2</t>
    </r>
    <r>
      <rPr>
        <sz val="11"/>
        <color theme="1"/>
        <rFont val="Cambria"/>
        <family val="1"/>
        <charset val="238"/>
      </rPr>
      <t>] =</t>
    </r>
    <r>
      <rPr>
        <vertAlign val="subscript"/>
        <sz val="11"/>
        <color theme="1"/>
        <rFont val="Times New Roman"/>
        <family val="1"/>
        <charset val="238"/>
      </rPr>
      <t xml:space="preserve"> </t>
    </r>
  </si>
  <si>
    <t>= 0,9*fu / γM2</t>
  </si>
  <si>
    <t>= fu / βw*γM2</t>
  </si>
  <si>
    <t>użytkowanie - warunki nośności dla spoin</t>
  </si>
  <si>
    <t>SGN</t>
  </si>
  <si>
    <t>SGU</t>
  </si>
  <si>
    <t>Sprawdzenie stopnia zbrojenia w belce:</t>
  </si>
  <si>
    <r>
      <rPr>
        <sz val="11"/>
        <rFont val="Calibri"/>
        <family val="2"/>
        <charset val="238"/>
      </rPr>
      <t>ρ</t>
    </r>
    <r>
      <rPr>
        <sz val="7.7"/>
        <rFont val="Czcionka tekstu podstawowego"/>
        <family val="2"/>
        <charset val="238"/>
      </rPr>
      <t>c =</t>
    </r>
  </si>
  <si>
    <t xml:space="preserve">L/300 = </t>
  </si>
  <si>
    <t>sprawdzenie zarysowania</t>
  </si>
  <si>
    <r>
      <t>f</t>
    </r>
    <r>
      <rPr>
        <vertAlign val="subscript"/>
        <sz val="10"/>
        <color theme="1"/>
        <rFont val="Arial"/>
        <family val="2"/>
        <charset val="238"/>
      </rPr>
      <t>kd</t>
    </r>
    <r>
      <rPr>
        <sz val="10"/>
        <color theme="1"/>
        <rFont val="Arial"/>
        <family val="2"/>
        <charset val="238"/>
      </rPr>
      <t xml:space="preserve"> [cm] =</t>
    </r>
  </si>
  <si>
    <r>
      <t>= L</t>
    </r>
    <r>
      <rPr>
        <vertAlign val="subscript"/>
        <sz val="10"/>
        <rFont val="Czcionka tekstu podstawowego"/>
        <charset val="238"/>
      </rPr>
      <t>HB</t>
    </r>
    <r>
      <rPr>
        <sz val="10"/>
        <rFont val="Czcionka tekstu podstawowego"/>
        <family val="2"/>
        <charset val="238"/>
      </rPr>
      <t>/300 [cm]</t>
    </r>
  </si>
  <si>
    <t>ugięcie krótkotwałe od obciążenia długotrwałego (uwzgledniono 50 % obc. zmiennego)</t>
  </si>
  <si>
    <t>UGIĘCIE BELKI</t>
  </si>
  <si>
    <t>stan użytkowania - bez współpracy stropu</t>
  </si>
  <si>
    <t>stan użytkowania - przy współpracy stropu</t>
  </si>
  <si>
    <t>ugięcie długotrwałe od obciążenia całkowitego</t>
  </si>
  <si>
    <r>
      <t xml:space="preserve">f </t>
    </r>
    <r>
      <rPr>
        <sz val="10"/>
        <color theme="1"/>
        <rFont val="Arial"/>
        <family val="2"/>
        <charset val="238"/>
      </rPr>
      <t>[cm] =</t>
    </r>
  </si>
  <si>
    <r>
      <t xml:space="preserve">   </t>
    </r>
    <r>
      <rPr>
        <sz val="10"/>
        <color theme="1"/>
        <rFont val="Calibri"/>
        <family val="2"/>
        <charset val="238"/>
      </rPr>
      <t>σ</t>
    </r>
    <r>
      <rPr>
        <vertAlign val="subscript"/>
        <sz val="10"/>
        <color theme="1"/>
        <rFont val="Arial"/>
        <family val="2"/>
        <charset val="238"/>
      </rPr>
      <t xml:space="preserve">cr </t>
    </r>
    <r>
      <rPr>
        <sz val="10"/>
        <color theme="1"/>
        <rFont val="Arial"/>
        <family val="2"/>
        <charset val="238"/>
      </rPr>
      <t>[MPa] =</t>
    </r>
  </si>
  <si>
    <r>
      <t xml:space="preserve"> = </t>
    </r>
    <r>
      <rPr>
        <i/>
        <sz val="10"/>
        <color theme="1"/>
        <rFont val="Arial"/>
        <family val="2"/>
        <charset val="238"/>
      </rPr>
      <t>f</t>
    </r>
    <r>
      <rPr>
        <i/>
        <vertAlign val="subscript"/>
        <sz val="10"/>
        <color theme="1"/>
        <rFont val="Arial"/>
        <family val="2"/>
        <charset val="238"/>
      </rPr>
      <t>ctk</t>
    </r>
    <r>
      <rPr>
        <sz val="10"/>
        <color theme="1"/>
        <rFont val="Arial"/>
        <family val="2"/>
        <charset val="238"/>
      </rPr>
      <t xml:space="preserve"> [MPa]</t>
    </r>
  </si>
  <si>
    <t>ZARYSOWANIE PRZEKROJU ŻELBETOWEGO</t>
  </si>
  <si>
    <t>PRZEWYŻSZENIE BELKI</t>
  </si>
  <si>
    <t>wartość minimalna</t>
  </si>
  <si>
    <r>
      <t>f</t>
    </r>
    <r>
      <rPr>
        <i/>
        <vertAlign val="subscript"/>
        <sz val="11"/>
        <rFont val="Czcionka tekstu podstawowego"/>
        <charset val="238"/>
      </rPr>
      <t>u,min</t>
    </r>
    <r>
      <rPr>
        <i/>
        <sz val="11"/>
        <rFont val="Czcionka tekstu podstawowego"/>
        <charset val="238"/>
      </rPr>
      <t xml:space="preserve"> = f - L/300 =</t>
    </r>
  </si>
  <si>
    <r>
      <t>f</t>
    </r>
    <r>
      <rPr>
        <i/>
        <vertAlign val="subscript"/>
        <sz val="11"/>
        <rFont val="Czcionka tekstu podstawowego"/>
        <charset val="238"/>
      </rPr>
      <t xml:space="preserve">u </t>
    </r>
    <r>
      <rPr>
        <i/>
        <sz val="11"/>
        <rFont val="Czcionka tekstu podstawowego"/>
        <charset val="238"/>
      </rPr>
      <t>=</t>
    </r>
  </si>
  <si>
    <r>
      <t>Odległość od dolnej półki -</t>
    </r>
    <r>
      <rPr>
        <b/>
        <sz val="10"/>
        <color theme="1"/>
        <rFont val="Arial"/>
        <family val="2"/>
        <charset val="238"/>
      </rPr>
      <t xml:space="preserve"> h</t>
    </r>
    <r>
      <rPr>
        <b/>
        <vertAlign val="subscript"/>
        <sz val="10"/>
        <color theme="1"/>
        <rFont val="Arial"/>
        <family val="2"/>
        <charset val="238"/>
      </rPr>
      <t>KB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</si>
  <si>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t xml:space="preserve">długość bolca 
</t>
    </r>
    <r>
      <rPr>
        <b/>
        <sz val="11"/>
        <color theme="1"/>
        <rFont val="Czcionka tekstu podstawowego"/>
        <family val="2"/>
        <charset val="238"/>
      </rPr>
      <t>h</t>
    </r>
    <r>
      <rPr>
        <b/>
        <vertAlign val="subscript"/>
        <sz val="11"/>
        <color theme="1"/>
        <rFont val="Arial"/>
        <family val="2"/>
        <charset val="238"/>
      </rPr>
      <t>sc [mm]</t>
    </r>
  </si>
  <si>
    <r>
      <t>Rozstaw bolców -</t>
    </r>
    <r>
      <rPr>
        <b/>
        <sz val="10"/>
        <color theme="1"/>
        <rFont val="Arial"/>
        <family val="2"/>
        <charset val="238"/>
      </rPr>
      <t xml:space="preserve"> </t>
    </r>
    <r>
      <rPr>
        <b/>
        <sz val="11"/>
        <color theme="1"/>
        <rFont val="Arial"/>
        <family val="2"/>
        <charset val="238"/>
      </rPr>
      <t>a</t>
    </r>
    <r>
      <rPr>
        <b/>
        <vertAlign val="subscript"/>
        <sz val="11"/>
        <color theme="1"/>
        <rFont val="Arial"/>
        <family val="2"/>
        <charset val="238"/>
      </rPr>
      <t>KB</t>
    </r>
    <r>
      <rPr>
        <sz val="11"/>
        <color theme="1"/>
        <rFont val="Czcionka tekstu podstawowego"/>
        <family val="2"/>
        <charset val="238"/>
      </rPr>
      <t xml:space="preserve"> [mm]</t>
    </r>
  </si>
  <si>
    <r>
      <t>wartość przyjęta do produkcji (min 15mm) &gt; f</t>
    </r>
    <r>
      <rPr>
        <i/>
        <vertAlign val="subscript"/>
        <sz val="11"/>
        <color theme="1"/>
        <rFont val="Czcionka tekstu podstawowego"/>
        <charset val="238"/>
      </rPr>
      <t>u,min</t>
    </r>
  </si>
  <si>
    <r>
      <t xml:space="preserve">długość bolca 
</t>
    </r>
    <r>
      <rPr>
        <sz val="11"/>
        <color theme="1"/>
        <rFont val="Czcionka tekstu podstawowego"/>
        <family val="2"/>
        <charset val="238"/>
      </rPr>
      <t>h</t>
    </r>
    <r>
      <rPr>
        <vertAlign val="subscript"/>
        <sz val="11"/>
        <color theme="1"/>
        <rFont val="Arial"/>
        <family val="2"/>
        <charset val="238"/>
      </rPr>
      <t>sc [mm]</t>
    </r>
  </si>
  <si>
    <t>KROK 5  - iteracyjne sprawdzenie położenia osi obojętnej</t>
  </si>
  <si>
    <r>
      <t>L</t>
    </r>
    <r>
      <rPr>
        <vertAlign val="subscript"/>
        <sz val="11"/>
        <rFont val="Czcionka tekstu podstawowego"/>
        <charset val="238"/>
      </rPr>
      <t>HB</t>
    </r>
    <r>
      <rPr>
        <sz val="11"/>
        <rFont val="Czcionka tekstu podstawowego"/>
        <family val="2"/>
        <charset val="238"/>
      </rPr>
      <t xml:space="preserve"> =</t>
    </r>
  </si>
  <si>
    <t>DŁUGOŚĆ OBLICZENIOWA</t>
  </si>
  <si>
    <t>KROK 3 - obciążenia</t>
  </si>
  <si>
    <r>
      <t>kN/m</t>
    </r>
    <r>
      <rPr>
        <vertAlign val="superscript"/>
        <sz val="11"/>
        <rFont val="Czcionka tekstu podstawowego"/>
        <charset val="238"/>
      </rPr>
      <t>2</t>
    </r>
  </si>
  <si>
    <t>warstwy na stropie</t>
  </si>
  <si>
    <t>OBCIĄŻENIA STAŁE</t>
  </si>
  <si>
    <t>OBCIĄŻENIA ZMIENNE</t>
  </si>
  <si>
    <t>podsufitka / izolacja</t>
  </si>
  <si>
    <t>użytkowanie</t>
  </si>
  <si>
    <t>KROK 2 - dane płyty kanałowej sprężonej</t>
  </si>
  <si>
    <r>
      <t>L</t>
    </r>
    <r>
      <rPr>
        <vertAlign val="subscript"/>
        <sz val="11"/>
        <rFont val="Czcionka tekstu podstawowego"/>
        <charset val="238"/>
      </rPr>
      <t>pł</t>
    </r>
    <r>
      <rPr>
        <sz val="11"/>
        <rFont val="Czcionka tekstu podstawowego"/>
        <family val="2"/>
        <charset val="238"/>
      </rPr>
      <t xml:space="preserve"> =</t>
    </r>
  </si>
  <si>
    <t>KROK 1  - dane przekroju belki hybrydowej</t>
  </si>
  <si>
    <t>rozpiętość płyty</t>
  </si>
  <si>
    <t>s =</t>
  </si>
  <si>
    <t>rozstaw między otw. kanał.</t>
  </si>
  <si>
    <t>grubość stropu [cm]</t>
  </si>
  <si>
    <t>UWAGA: wartość dla obciążenia od zalanych kanałów</t>
  </si>
  <si>
    <t>KROK 4 - pozostałe dane</t>
  </si>
  <si>
    <t>UWAGA: 2 kanały na szerokości płyty + fugi</t>
  </si>
  <si>
    <t>zbrojenie zszywające belkę ze stropem</t>
  </si>
  <si>
    <t>STOPIEŃ ZBROJENIA</t>
  </si>
  <si>
    <t>Obliczenia statyczne sprawdzające belek zespolonych BH</t>
  </si>
  <si>
    <t>min. 2,26 cm2/m</t>
  </si>
  <si>
    <t>wyciąg z obliczeń statycznych</t>
  </si>
  <si>
    <t>stałe, charakteryst.</t>
  </si>
  <si>
    <t>zmienne, charakteryst.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</si>
  <si>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g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</si>
  <si>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d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</si>
  <si>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t>ITB-KOT-2017/0032 (wyd. 1)</t>
  </si>
  <si>
    <t>projekt:</t>
  </si>
  <si>
    <t>nazwa projektu:</t>
  </si>
  <si>
    <t>miasto / nazwa inwestycji</t>
  </si>
  <si>
    <r>
      <t>h</t>
    </r>
    <r>
      <rPr>
        <vertAlign val="subscript"/>
        <sz val="9"/>
        <color theme="1"/>
        <rFont val="Calibri"/>
        <family val="2"/>
        <charset val="238"/>
        <scheme val="minor"/>
      </rPr>
      <t>s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</si>
  <si>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r>
      <t>B</t>
    </r>
    <r>
      <rPr>
        <vertAlign val="subscript"/>
        <sz val="9"/>
        <color theme="1"/>
        <rFont val="Calibri"/>
        <family val="2"/>
        <charset val="238"/>
        <scheme val="minor"/>
      </rPr>
      <t>f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</si>
  <si>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r>
      <t>t</t>
    </r>
    <r>
      <rPr>
        <vertAlign val="subscript"/>
        <sz val="9"/>
        <color theme="1"/>
        <rFont val="Calibri"/>
        <family val="2"/>
        <charset val="238"/>
        <scheme val="minor"/>
      </rPr>
      <t>s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</si>
  <si>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r>
      <t>t</t>
    </r>
    <r>
      <rPr>
        <vertAlign val="subscript"/>
        <sz val="9"/>
        <color theme="1"/>
        <rFont val="Calibri"/>
        <family val="2"/>
        <charset val="238"/>
        <scheme val="minor"/>
      </rPr>
      <t>f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</si>
  <si>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r>
      <t>f</t>
    </r>
    <r>
      <rPr>
        <vertAlign val="subscript"/>
        <sz val="9"/>
        <color theme="1"/>
        <rFont val="Calibri"/>
        <family val="2"/>
        <charset val="238"/>
        <scheme val="minor"/>
      </rPr>
      <t>u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</si>
  <si>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r>
      <t>H</t>
    </r>
    <r>
      <rPr>
        <vertAlign val="subscript"/>
        <sz val="9"/>
        <color theme="1"/>
        <rFont val="Calibri"/>
        <family val="2"/>
        <charset val="238"/>
        <scheme val="minor"/>
      </rPr>
      <t>c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</si>
  <si>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r>
      <t>zbrojenie górne A</t>
    </r>
    <r>
      <rPr>
        <vertAlign val="subscript"/>
        <sz val="9"/>
        <color theme="1"/>
        <rFont val="Calibri"/>
        <family val="2"/>
        <charset val="238"/>
        <scheme val="minor"/>
      </rPr>
      <t>sg</t>
    </r>
  </si>
  <si>
    <r>
      <t>B</t>
    </r>
    <r>
      <rPr>
        <vertAlign val="subscript"/>
        <sz val="9"/>
        <color theme="1"/>
        <rFont val="Calibri"/>
        <family val="2"/>
        <charset val="238"/>
        <scheme val="minor"/>
      </rPr>
      <t>c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</si>
  <si>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r>
      <t>zbrojenie dolne A</t>
    </r>
    <r>
      <rPr>
        <vertAlign val="subscript"/>
        <sz val="9"/>
        <color theme="1"/>
        <rFont val="Calibri"/>
        <family val="2"/>
        <charset val="238"/>
        <scheme val="minor"/>
      </rPr>
      <t>sd</t>
    </r>
  </si>
  <si>
    <t>zbrojenie</t>
  </si>
  <si>
    <t>stal bud.</t>
  </si>
  <si>
    <r>
      <t>h</t>
    </r>
    <r>
      <rPr>
        <vertAlign val="subscript"/>
        <sz val="9"/>
        <color theme="1"/>
        <rFont val="Calibri"/>
        <family val="2"/>
        <charset val="238"/>
        <scheme val="minor"/>
      </rPr>
      <t>strz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</si>
  <si>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r>
      <t>b</t>
    </r>
    <r>
      <rPr>
        <vertAlign val="subscript"/>
        <sz val="9"/>
        <color theme="1"/>
        <rFont val="Calibri"/>
        <family val="2"/>
        <charset val="238"/>
        <scheme val="minor"/>
      </rPr>
      <t>strz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</si>
  <si>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t>ciężar [kg]</t>
  </si>
  <si>
    <t>beton C60/75</t>
  </si>
  <si>
    <t>grubość [mm]</t>
  </si>
  <si>
    <t>środniki</t>
  </si>
  <si>
    <t>powierz.[m2]</t>
  </si>
  <si>
    <t>objętość [m3]</t>
  </si>
  <si>
    <t>średnica</t>
  </si>
  <si>
    <t>długość [m]</t>
  </si>
  <si>
    <t>ilość [szt]</t>
  </si>
  <si>
    <t>dług . całk [m]</t>
  </si>
  <si>
    <t>numer z listy</t>
  </si>
  <si>
    <t>wybrana belka</t>
  </si>
  <si>
    <t>wersja arkusza</t>
  </si>
  <si>
    <t>01/2018</t>
  </si>
  <si>
    <t>data:</t>
  </si>
  <si>
    <t>numer projektu:</t>
  </si>
  <si>
    <t>wzrost nośności / MRd(zws) - MRd (bzs)</t>
  </si>
  <si>
    <r>
      <rPr>
        <b/>
        <i/>
        <sz val="9"/>
        <color theme="1"/>
        <rFont val="Czcionka tekstu podstawowego"/>
        <charset val="238"/>
      </rPr>
      <t>przyjęta wartość MRd belki w stanie użytkowania</t>
    </r>
    <r>
      <rPr>
        <i/>
        <sz val="9"/>
        <color theme="1"/>
        <rFont val="Czcionka tekstu podstawowego"/>
        <charset val="238"/>
      </rPr>
      <t xml:space="preserve">
[założony 30% wzrost nośności od zespolenia ze stropem]</t>
    </r>
  </si>
  <si>
    <t>01/11-2018</t>
  </si>
  <si>
    <t>wybrana płyta</t>
  </si>
  <si>
    <t>KONBET POZNAŃ SPK20</t>
  </si>
  <si>
    <t>KONBET POZNAŃ SPK26.5</t>
  </si>
  <si>
    <t>KONBET POZNAŃ SPK32</t>
  </si>
  <si>
    <t>KONBET POZNAŃ SPK40</t>
  </si>
  <si>
    <t>UWAGA:</t>
  </si>
  <si>
    <t>Arkusz wypełniać tylko w żółtych polach</t>
  </si>
  <si>
    <t>Wstępny dobór przekroju belki na podstawie kroków 1-6</t>
  </si>
  <si>
    <t>suma [kg]</t>
  </si>
  <si>
    <r>
      <t>L</t>
    </r>
    <r>
      <rPr>
        <vertAlign val="subscript"/>
        <sz val="9"/>
        <color theme="1"/>
        <rFont val="Calibri"/>
        <family val="2"/>
        <charset val="238"/>
        <scheme val="minor"/>
      </rPr>
      <t>HB</t>
    </r>
    <r>
      <rPr>
        <sz val="9"/>
        <color theme="1"/>
        <rFont val="Calibri"/>
        <family val="2"/>
        <charset val="238"/>
        <scheme val="minor"/>
      </rPr>
      <t xml:space="preserve"> [m]</t>
    </r>
  </si>
  <si>
    <t>długość obliczeniowa belki</t>
  </si>
  <si>
    <r>
      <t>c</t>
    </r>
    <r>
      <rPr>
        <vertAlign val="subscript"/>
        <sz val="9"/>
        <color theme="1"/>
        <rFont val="Calibri"/>
        <family val="2"/>
        <charset val="238"/>
        <scheme val="minor"/>
      </rPr>
      <t>vg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</si>
  <si>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r>
      <t>c</t>
    </r>
    <r>
      <rPr>
        <vertAlign val="subscript"/>
        <sz val="9"/>
        <color theme="1"/>
        <rFont val="Calibri"/>
        <family val="2"/>
        <charset val="238"/>
        <scheme val="minor"/>
      </rPr>
      <t>vd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</si>
  <si>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t>d [mm]</t>
  </si>
  <si>
    <t>średnica trzpienia [mm]</t>
  </si>
  <si>
    <t>trzpienie zespalające</t>
  </si>
  <si>
    <t>odległość od dolnej półki [mm]</t>
  </si>
  <si>
    <r>
      <t>h</t>
    </r>
    <r>
      <rPr>
        <vertAlign val="subscript"/>
        <sz val="9"/>
        <color theme="1"/>
        <rFont val="Calibri"/>
        <family val="2"/>
        <charset val="238"/>
        <scheme val="minor"/>
      </rPr>
      <t>KB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</si>
  <si>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r>
      <t>h</t>
    </r>
    <r>
      <rPr>
        <vertAlign val="subscript"/>
        <sz val="9"/>
        <color theme="1"/>
        <rFont val="Calibri"/>
        <family val="2"/>
        <charset val="238"/>
        <scheme val="minor"/>
      </rPr>
      <t>SC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</si>
  <si>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t>długość trzpienia [mm]</t>
  </si>
  <si>
    <r>
      <t>a</t>
    </r>
    <r>
      <rPr>
        <vertAlign val="subscript"/>
        <sz val="9"/>
        <color theme="1"/>
        <rFont val="Calibri"/>
        <family val="2"/>
        <charset val="238"/>
        <scheme val="minor"/>
      </rPr>
      <t>KB</t>
    </r>
    <r>
      <rPr>
        <sz val="9"/>
        <color theme="1"/>
        <rFont val="Calibri"/>
        <family val="2"/>
        <charset val="238"/>
        <scheme val="minor"/>
      </rPr>
      <t xml:space="preserve"> [mm]</t>
    </r>
  </si>
  <si>
    <t>rozstaw trzpieni w belce [mm]</t>
  </si>
  <si>
    <t>trzpienie</t>
  </si>
  <si>
    <t>długość [mm]</t>
  </si>
  <si>
    <t xml:space="preserve"> UWAGA: rzeczywista długość belki na podst. rys.konstrukcji</t>
  </si>
  <si>
    <t>ORIENTACYJNE ILOŚCI MATERIAŁOWE:</t>
  </si>
  <si>
    <t>TRZPIENIE ZESPALAJĄCE</t>
  </si>
  <si>
    <t>wymiary strzemion zweryfikować z rysunkiem konstrukcyjnym belki!</t>
  </si>
  <si>
    <t>wymiary strzemion</t>
  </si>
  <si>
    <r>
      <rPr>
        <sz val="10"/>
        <rFont val="Calibri"/>
        <family val="2"/>
        <charset val="238"/>
      </rPr>
      <t>ρ</t>
    </r>
    <r>
      <rPr>
        <vertAlign val="subscript"/>
        <sz val="10"/>
        <rFont val="Czcionka tekstu podstawowego"/>
        <charset val="238"/>
      </rPr>
      <t>c</t>
    </r>
  </si>
  <si>
    <r>
      <rPr>
        <sz val="10"/>
        <rFont val="Calibri"/>
        <family val="2"/>
        <charset val="238"/>
      </rPr>
      <t>ρ</t>
    </r>
    <r>
      <rPr>
        <vertAlign val="subscript"/>
        <sz val="10"/>
        <rFont val="Czcionka tekstu podstawowego"/>
        <charset val="238"/>
      </rPr>
      <t>max</t>
    </r>
  </si>
  <si>
    <r>
      <rPr>
        <i/>
        <sz val="10"/>
        <color theme="1"/>
        <rFont val="Arial"/>
        <family val="2"/>
        <charset val="238"/>
      </rPr>
      <t>Hc</t>
    </r>
    <r>
      <rPr>
        <i/>
        <sz val="10"/>
        <color theme="1"/>
        <rFont val="Czcionka tekstu podstawowego"/>
        <family val="2"/>
        <charset val="238"/>
      </rPr>
      <t xml:space="preserve"> [mm]</t>
    </r>
  </si>
  <si>
    <r>
      <rPr>
        <i/>
        <sz val="10"/>
        <color theme="1"/>
        <rFont val="Arial"/>
        <family val="2"/>
        <charset val="238"/>
      </rPr>
      <t>Bc</t>
    </r>
    <r>
      <rPr>
        <i/>
        <sz val="10"/>
        <color theme="1"/>
        <rFont val="Czcionka tekstu podstawowego"/>
        <family val="2"/>
        <charset val="238"/>
      </rPr>
      <t xml:space="preserve"> [mm]</t>
    </r>
  </si>
  <si>
    <r>
      <rPr>
        <sz val="10"/>
        <color theme="1"/>
        <rFont val="Arial"/>
        <family val="2"/>
        <charset val="238"/>
      </rPr>
      <t>D</t>
    </r>
    <r>
      <rPr>
        <vertAlign val="subscript"/>
        <sz val="10"/>
        <color theme="1"/>
        <rFont val="Arial"/>
        <family val="2"/>
        <charset val="238"/>
      </rPr>
      <t>o</t>
    </r>
    <r>
      <rPr>
        <sz val="10"/>
        <color theme="1"/>
        <rFont val="Czcionka tekstu podstawowego"/>
        <family val="2"/>
        <charset val="238"/>
      </rPr>
      <t xml:space="preserve"> [mm]</t>
    </r>
  </si>
  <si>
    <r>
      <t xml:space="preserve">odl. od górnej kraw.
</t>
    </r>
    <r>
      <rPr>
        <i/>
        <sz val="10"/>
        <color theme="1"/>
        <rFont val="Arial"/>
        <family val="2"/>
        <charset val="238"/>
      </rPr>
      <t>h</t>
    </r>
    <r>
      <rPr>
        <i/>
        <vertAlign val="subscript"/>
        <sz val="10"/>
        <color theme="1"/>
        <rFont val="Arial"/>
        <family val="2"/>
        <charset val="238"/>
      </rPr>
      <t>o</t>
    </r>
    <r>
      <rPr>
        <i/>
        <sz val="10"/>
        <color theme="1"/>
        <rFont val="Czcionka tekstu podstawowego"/>
        <family val="2"/>
        <charset val="238"/>
      </rPr>
      <t xml:space="preserve"> [mm]</t>
    </r>
  </si>
  <si>
    <r>
      <rPr>
        <i/>
        <sz val="10"/>
        <color theme="1"/>
        <rFont val="Arial"/>
        <family val="2"/>
        <charset val="238"/>
      </rPr>
      <t>dsg</t>
    </r>
    <r>
      <rPr>
        <i/>
        <sz val="10"/>
        <color theme="1"/>
        <rFont val="Czcionka tekstu podstawowego"/>
        <family val="2"/>
        <charset val="238"/>
      </rPr>
      <t xml:space="preserve"> [mm]</t>
    </r>
  </si>
  <si>
    <r>
      <rPr>
        <i/>
        <sz val="10"/>
        <color theme="1"/>
        <rFont val="Arial"/>
        <family val="2"/>
        <charset val="238"/>
      </rPr>
      <t>dsd</t>
    </r>
    <r>
      <rPr>
        <i/>
        <sz val="10"/>
        <color theme="1"/>
        <rFont val="Czcionka tekstu podstawowego"/>
        <family val="2"/>
        <charset val="238"/>
      </rPr>
      <t xml:space="preserve"> [mm]</t>
    </r>
  </si>
  <si>
    <r>
      <rPr>
        <i/>
        <sz val="10"/>
        <color theme="1"/>
        <rFont val="Arial"/>
        <family val="2"/>
        <charset val="238"/>
      </rPr>
      <t>ds</t>
    </r>
    <r>
      <rPr>
        <i/>
        <sz val="10"/>
        <color theme="1"/>
        <rFont val="Czcionka tekstu podstawowego"/>
        <family val="2"/>
        <charset val="238"/>
      </rPr>
      <t xml:space="preserve"> [mm]</t>
    </r>
  </si>
  <si>
    <r>
      <t>s</t>
    </r>
    <r>
      <rPr>
        <i/>
        <sz val="10"/>
        <color theme="1"/>
        <rFont val="Czcionka tekstu podstawowego"/>
        <family val="2"/>
        <charset val="238"/>
      </rPr>
      <t xml:space="preserve">  [mm]</t>
    </r>
  </si>
  <si>
    <r>
      <rPr>
        <b/>
        <i/>
        <sz val="9"/>
        <color theme="1"/>
        <rFont val="Arial"/>
        <family val="2"/>
        <charset val="238"/>
      </rPr>
      <t>h</t>
    </r>
    <r>
      <rPr>
        <b/>
        <i/>
        <vertAlign val="subscript"/>
        <sz val="9"/>
        <color theme="1"/>
        <rFont val="Arial"/>
        <family val="2"/>
        <charset val="238"/>
      </rPr>
      <t>s</t>
    </r>
    <r>
      <rPr>
        <i/>
        <sz val="9"/>
        <color theme="1"/>
        <rFont val="Czcionka tekstu podstawowego"/>
        <family val="2"/>
        <charset val="238"/>
      </rPr>
      <t xml:space="preserve"> [mm]</t>
    </r>
  </si>
  <si>
    <r>
      <rPr>
        <b/>
        <i/>
        <sz val="9"/>
        <color theme="1"/>
        <rFont val="Arial"/>
        <family val="2"/>
        <charset val="238"/>
      </rPr>
      <t>t</t>
    </r>
    <r>
      <rPr>
        <b/>
        <i/>
        <vertAlign val="subscript"/>
        <sz val="9"/>
        <color theme="1"/>
        <rFont val="Arial"/>
        <family val="2"/>
        <charset val="238"/>
      </rPr>
      <t>s</t>
    </r>
    <r>
      <rPr>
        <i/>
        <sz val="9"/>
        <color theme="1"/>
        <rFont val="Czcionka tekstu podstawowego"/>
        <family val="2"/>
        <charset val="238"/>
      </rPr>
      <t xml:space="preserve"> [mm]</t>
    </r>
  </si>
  <si>
    <r>
      <rPr>
        <b/>
        <i/>
        <sz val="9"/>
        <color theme="1"/>
        <rFont val="Arial"/>
        <family val="2"/>
        <charset val="238"/>
      </rPr>
      <t>B</t>
    </r>
    <r>
      <rPr>
        <i/>
        <sz val="9"/>
        <color theme="1"/>
        <rFont val="Czcionka tekstu podstawowego"/>
        <family val="2"/>
        <charset val="238"/>
      </rPr>
      <t xml:space="preserve"> [mm]</t>
    </r>
  </si>
  <si>
    <r>
      <rPr>
        <b/>
        <i/>
        <sz val="9"/>
        <color theme="1"/>
        <rFont val="Arial"/>
        <family val="2"/>
        <charset val="238"/>
      </rPr>
      <t>Bf</t>
    </r>
    <r>
      <rPr>
        <i/>
        <sz val="9"/>
        <color theme="1"/>
        <rFont val="Czcionka tekstu podstawowego"/>
        <family val="2"/>
        <charset val="238"/>
      </rPr>
      <t xml:space="preserve"> [mm]</t>
    </r>
  </si>
  <si>
    <r>
      <rPr>
        <b/>
        <i/>
        <sz val="9"/>
        <color theme="1"/>
        <rFont val="Arial"/>
        <family val="2"/>
        <charset val="238"/>
      </rPr>
      <t>tf</t>
    </r>
    <r>
      <rPr>
        <i/>
        <sz val="9"/>
        <color theme="1"/>
        <rFont val="Czcionka tekstu podstawowego"/>
        <family val="2"/>
        <charset val="238"/>
      </rPr>
      <t xml:space="preserve"> [mm]</t>
    </r>
  </si>
  <si>
    <t>średn. trzpienia d [mm]</t>
  </si>
  <si>
    <r>
      <t>odl. od dolnej półki -</t>
    </r>
    <r>
      <rPr>
        <b/>
        <i/>
        <sz val="8"/>
        <color theme="1"/>
        <rFont val="Arial"/>
        <family val="2"/>
        <charset val="238"/>
      </rPr>
      <t xml:space="preserve"> h</t>
    </r>
    <r>
      <rPr>
        <b/>
        <i/>
        <vertAlign val="subscript"/>
        <sz val="8"/>
        <color theme="1"/>
        <rFont val="Arial"/>
        <family val="2"/>
        <charset val="238"/>
      </rPr>
      <t>KB</t>
    </r>
    <r>
      <rPr>
        <i/>
        <sz val="8"/>
        <color theme="1"/>
        <rFont val="Czcionka tekstu podstawowego"/>
        <family val="2"/>
        <charset val="238"/>
      </rPr>
      <t xml:space="preserve"> [mm]</t>
    </r>
  </si>
  <si>
    <r>
      <t>rozstaw trzpieni</t>
    </r>
    <r>
      <rPr>
        <b/>
        <sz val="8"/>
        <color theme="1"/>
        <rFont val="Arial"/>
        <family val="2"/>
        <charset val="238"/>
      </rPr>
      <t xml:space="preserve"> 
a</t>
    </r>
    <r>
      <rPr>
        <b/>
        <vertAlign val="subscript"/>
        <sz val="8"/>
        <color theme="1"/>
        <rFont val="Arial"/>
        <family val="2"/>
        <charset val="238"/>
      </rPr>
      <t>KB</t>
    </r>
    <r>
      <rPr>
        <sz val="8"/>
        <color theme="1"/>
        <rFont val="Czcionka tekstu podstawowego"/>
        <family val="2"/>
        <charset val="238"/>
      </rPr>
      <t xml:space="preserve"> [mm]</t>
    </r>
  </si>
  <si>
    <r>
      <t xml:space="preserve">długość trzpienia
</t>
    </r>
    <r>
      <rPr>
        <b/>
        <i/>
        <sz val="9"/>
        <color theme="1"/>
        <rFont val="Czcionka tekstu podstawowego"/>
        <family val="2"/>
        <charset val="238"/>
      </rPr>
      <t>h</t>
    </r>
    <r>
      <rPr>
        <b/>
        <i/>
        <vertAlign val="subscript"/>
        <sz val="9"/>
        <color theme="1"/>
        <rFont val="Arial"/>
        <family val="2"/>
        <charset val="238"/>
      </rPr>
      <t>sc [mm]</t>
    </r>
  </si>
  <si>
    <r>
      <t>[mm</t>
    </r>
    <r>
      <rPr>
        <i/>
        <vertAlign val="superscript"/>
        <sz val="11"/>
        <rFont val="Calibri"/>
        <family val="2"/>
        <charset val="238"/>
        <scheme val="minor"/>
      </rPr>
      <t>2</t>
    </r>
    <r>
      <rPr>
        <i/>
        <sz val="11"/>
        <rFont val="Calibri"/>
        <family val="2"/>
        <charset val="238"/>
        <scheme val="minor"/>
      </rPr>
      <t>]</t>
    </r>
  </si>
  <si>
    <t>wys. kanału</t>
  </si>
  <si>
    <r>
      <t xml:space="preserve"> wysokość h</t>
    </r>
    <r>
      <rPr>
        <vertAlign val="subscript"/>
        <sz val="11"/>
        <rFont val="Calibri"/>
        <family val="2"/>
        <charset val="238"/>
        <scheme val="minor"/>
      </rPr>
      <t>pł</t>
    </r>
  </si>
  <si>
    <r>
      <rPr>
        <i/>
        <sz val="11"/>
        <color theme="1"/>
        <rFont val="Arial"/>
        <family val="2"/>
        <charset val="238"/>
      </rPr>
      <t>d</t>
    </r>
    <r>
      <rPr>
        <sz val="11"/>
        <color theme="1"/>
        <rFont val="Arial"/>
        <family val="2"/>
        <charset val="238"/>
      </rPr>
      <t>=</t>
    </r>
  </si>
  <si>
    <t xml:space="preserve">średnica kanału </t>
  </si>
  <si>
    <t>[-]</t>
  </si>
  <si>
    <t>uwzględnienie wpływu siły podłużnej</t>
  </si>
  <si>
    <t>średnica zbrojenia kanału</t>
  </si>
  <si>
    <r>
      <t xml:space="preserve"> </t>
    </r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Arial"/>
        <family val="2"/>
        <charset val="238"/>
      </rPr>
      <t>=</t>
    </r>
  </si>
  <si>
    <t>pole przekroju zbrojenia w jednym kanale</t>
  </si>
  <si>
    <t>pole przekroju jednego kanału</t>
  </si>
  <si>
    <t>stopień zbrojenia w jednym kanale</t>
  </si>
  <si>
    <t>dane betonu zalewowego</t>
  </si>
  <si>
    <r>
      <t>v</t>
    </r>
    <r>
      <rPr>
        <vertAlign val="subscript"/>
        <sz val="10"/>
        <rFont val="Arial"/>
        <family val="2"/>
        <charset val="238"/>
      </rPr>
      <t>Rdi</t>
    </r>
    <r>
      <rPr>
        <sz val="10"/>
        <rFont val="Arial"/>
        <family val="2"/>
        <charset val="238"/>
      </rPr>
      <t xml:space="preserve">  =  c f</t>
    </r>
    <r>
      <rPr>
        <vertAlign val="subscript"/>
        <sz val="10"/>
        <rFont val="Arial"/>
        <family val="2"/>
        <charset val="238"/>
      </rPr>
      <t>ctd</t>
    </r>
    <r>
      <rPr>
        <sz val="10"/>
        <rFont val="Arial"/>
        <family val="2"/>
        <charset val="238"/>
      </rPr>
      <t xml:space="preserve">  +  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  <charset val="238"/>
      </rPr>
      <t xml:space="preserve">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  <charset val="238"/>
      </rPr>
      <t>n</t>
    </r>
    <r>
      <rPr>
        <sz val="10"/>
        <rFont val="Arial"/>
        <family val="2"/>
        <charset val="238"/>
      </rPr>
      <t xml:space="preserve">  + 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  <charset val="238"/>
      </rPr>
      <t xml:space="preserve"> f</t>
    </r>
    <r>
      <rPr>
        <vertAlign val="subscript"/>
        <sz val="10"/>
        <rFont val="Arial"/>
        <family val="2"/>
        <charset val="238"/>
      </rPr>
      <t>yd</t>
    </r>
    <r>
      <rPr>
        <sz val="10"/>
        <rFont val="Arial"/>
        <family val="2"/>
        <charset val="238"/>
      </rPr>
      <t xml:space="preserve">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  <charset val="238"/>
      </rPr>
      <t xml:space="preserve"> sin 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  <charset val="238"/>
      </rPr>
      <t xml:space="preserve">  +  cos 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  <charset val="238"/>
      </rPr>
      <t xml:space="preserve">)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  <charset val="238"/>
      </rPr>
      <t xml:space="preserve"> 0,5 </t>
    </r>
    <r>
      <rPr>
        <sz val="10"/>
        <rFont val="Symbol"/>
        <family val="1"/>
        <charset val="2"/>
      </rPr>
      <t>n</t>
    </r>
    <r>
      <rPr>
        <sz val="10"/>
        <rFont val="Arial"/>
        <family val="2"/>
        <charset val="238"/>
      </rPr>
      <t xml:space="preserve"> f</t>
    </r>
    <r>
      <rPr>
        <vertAlign val="subscript"/>
        <sz val="10"/>
        <rFont val="Arial"/>
        <family val="2"/>
        <charset val="238"/>
      </rPr>
      <t>cd</t>
    </r>
    <r>
      <rPr>
        <sz val="10"/>
        <rFont val="Arial"/>
        <family val="2"/>
        <charset val="238"/>
      </rPr>
      <t xml:space="preserve">   </t>
    </r>
  </si>
  <si>
    <r>
      <t>g</t>
    </r>
    <r>
      <rPr>
        <vertAlign val="subscript"/>
        <sz val="10"/>
        <rFont val="Arial"/>
        <family val="2"/>
        <charset val="238"/>
      </rPr>
      <t xml:space="preserve">C       </t>
    </r>
    <r>
      <rPr>
        <sz val="10"/>
        <rFont val="Arial"/>
        <family val="2"/>
        <charset val="238"/>
      </rPr>
      <t>- częściowy współczynnik bezpieczeństwa dla betonu, patrz 2.4.1.4, a</t>
    </r>
  </si>
  <si>
    <r>
      <t>a</t>
    </r>
    <r>
      <rPr>
        <vertAlign val="subscript"/>
        <sz val="10"/>
        <rFont val="Arial"/>
        <family val="2"/>
        <charset val="238"/>
      </rPr>
      <t>ct</t>
    </r>
    <r>
      <rPr>
        <sz val="10"/>
        <rFont val="Arial"/>
        <family val="2"/>
        <charset val="238"/>
      </rPr>
      <t xml:space="preserve">      współczynnik uwzględniający wpływ efektów długotrwałych na wytrzymałość </t>
    </r>
  </si>
  <si>
    <r>
      <t>Uwaga:</t>
    </r>
    <r>
      <rPr>
        <sz val="9"/>
        <rFont val="Arial"/>
        <family val="2"/>
        <charset val="238"/>
      </rPr>
      <t xml:space="preserve"> Wartość </t>
    </r>
    <r>
      <rPr>
        <sz val="9"/>
        <rFont val="Symbol"/>
        <family val="1"/>
        <charset val="2"/>
      </rPr>
      <t>a</t>
    </r>
    <r>
      <rPr>
        <vertAlign val="subscript"/>
        <sz val="9"/>
        <rFont val="Arial"/>
        <family val="2"/>
        <charset val="238"/>
      </rPr>
      <t>ct</t>
    </r>
    <r>
      <rPr>
        <sz val="9"/>
        <rFont val="Arial"/>
        <family val="2"/>
        <charset val="238"/>
      </rPr>
      <t xml:space="preserve"> do stosowania w kraju może być podana w Załączniku krajowym.  </t>
    </r>
  </si>
  <si>
    <t>wartości - obliczenia z przekroju</t>
  </si>
  <si>
    <t>wartości - przkształcenie danych PEKABEX</t>
  </si>
  <si>
    <t>siła przenoszona przez zabetonowane kanały</t>
  </si>
  <si>
    <t>siła przenoszona przez styk płyt kanałowych z zalaną szczeliną montazową</t>
  </si>
  <si>
    <t>z jednej str.</t>
  </si>
  <si>
    <t>z dwóch str.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</si>
</sst>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;[Red]0"/>
    <numFmt numFmtId="165" formatCode="0.00;[Red]0.00"/>
    <numFmt numFmtId="166" formatCode="0.0"/>
    <numFmt numFmtId="167" formatCode="0.000"/>
    <numFmt numFmtId="168" formatCode="0.0000"/>
    <numFmt numFmtId="169" formatCode="0.00000"/>
  </numFmts>
  <fonts count="256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indexed="8"/>
      <name val="Czcionka tekstu podstawowego"/>
      <charset val="238"/>
    </font>
    <font>
      <i/>
      <vertAlign val="subscript"/>
      <sz val="11"/>
      <color indexed="8"/>
      <name val="Czcionka tekstu podstawowego"/>
      <charset val="238"/>
    </font>
    <font>
      <i/>
      <sz val="11"/>
      <color indexed="8"/>
      <name val="Symbol"/>
      <family val="1"/>
      <charset val="2"/>
    </font>
    <font>
      <sz val="11"/>
      <color theme="1"/>
      <name val="Arial"/>
      <family val="2"/>
      <charset val="238"/>
    </font>
    <font>
      <i/>
      <sz val="11"/>
      <color theme="1"/>
      <name val="Czcionka tekstu podstawowego"/>
      <charset val="238"/>
    </font>
    <font>
      <sz val="11"/>
      <color theme="1"/>
      <name val="Symbol"/>
      <family val="1"/>
      <charset val="2"/>
    </font>
    <font>
      <sz val="11"/>
      <color theme="1"/>
      <name val="Czcionka tekstu podstawowego"/>
      <charset val="238"/>
    </font>
    <font>
      <sz val="9"/>
      <color theme="1"/>
      <name val="Czcionka tekstu podstawowego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Symbol"/>
      <family val="1"/>
      <charset val="2"/>
    </font>
    <font>
      <sz val="10"/>
      <color theme="1"/>
      <name val="Czcionka tekstu podstawowego"/>
      <family val="2"/>
      <charset val="238"/>
    </font>
    <font>
      <b/>
      <sz val="10"/>
      <color theme="1"/>
      <name val="Arial"/>
      <family val="2"/>
      <charset val="238"/>
    </font>
    <font>
      <sz val="9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b/>
      <sz val="8"/>
      <color theme="1"/>
      <name val="Arial"/>
      <family val="2"/>
      <charset val="238"/>
    </font>
    <font>
      <b/>
      <vertAlign val="subscript"/>
      <sz val="8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12"/>
      <color theme="1"/>
      <name val="Czcionka tekstu podstawowego"/>
      <family val="2"/>
      <charset val="238"/>
    </font>
    <font>
      <vertAlign val="superscript"/>
      <sz val="11"/>
      <color theme="1"/>
      <name val="Czcionka tekstu podstawowego"/>
      <charset val="238"/>
    </font>
    <font>
      <i/>
      <vertAlign val="subscript"/>
      <sz val="11"/>
      <color theme="1"/>
      <name val="Czcionka tekstu podstawowego"/>
      <charset val="238"/>
    </font>
    <font>
      <i/>
      <vertAlign val="subscript"/>
      <sz val="11"/>
      <color theme="1"/>
      <name val="Symbol"/>
      <family val="1"/>
      <charset val="2"/>
    </font>
    <font>
      <i/>
      <vertAlign val="subscript"/>
      <sz val="11"/>
      <color theme="1"/>
      <name val="Arial"/>
      <family val="2"/>
      <charset val="238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i/>
      <sz val="10"/>
      <color theme="1"/>
      <name val="Symbol"/>
      <family val="1"/>
      <charset val="2"/>
    </font>
    <font>
      <vertAlign val="subscript"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vertAlign val="superscript"/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vertAlign val="subscript"/>
      <sz val="9"/>
      <color theme="1"/>
      <name val="Arial"/>
      <family val="2"/>
      <charset val="238"/>
    </font>
    <font>
      <vertAlign val="subscript"/>
      <sz val="11"/>
      <color theme="1"/>
      <name val="Arial"/>
      <family val="2"/>
      <charset val="238"/>
    </font>
    <font>
      <i/>
      <sz val="11"/>
      <color theme="1"/>
      <name val="Czcionka tekstu podstawowego"/>
      <family val="2"/>
      <charset val="238"/>
    </font>
    <font>
      <i/>
      <vertAlign val="subscript"/>
      <sz val="11"/>
      <color theme="1"/>
      <name val="Cambria"/>
      <family val="1"/>
      <charset val="238"/>
      <scheme val="major"/>
    </font>
    <font>
      <i/>
      <sz val="11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vertAlign val="subscript"/>
      <sz val="12"/>
      <color theme="1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i/>
      <sz val="11"/>
      <color theme="1"/>
      <name val="Arial"/>
      <family val="2"/>
      <charset val="238"/>
    </font>
    <font>
      <b/>
      <sz val="11"/>
      <color theme="1"/>
      <name val="Czcionka tekstu podstawowego"/>
      <charset val="238"/>
    </font>
    <font>
      <sz val="10"/>
      <color theme="1"/>
      <name val="Symbol"/>
      <family val="1"/>
      <charset val="2"/>
    </font>
    <font>
      <sz val="10"/>
      <color theme="1"/>
      <name val="Czcionka tekstu podstawowego"/>
      <charset val="238"/>
    </font>
    <font>
      <i/>
      <sz val="10"/>
      <color theme="1"/>
      <name val="Times New Roman"/>
      <family val="1"/>
      <charset val="238"/>
    </font>
    <font>
      <i/>
      <vertAlign val="subscript"/>
      <sz val="10"/>
      <color theme="1"/>
      <name val="Times New Roman"/>
      <family val="1"/>
      <charset val="238"/>
    </font>
    <font>
      <i/>
      <vertAlign val="subscript"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vertAlign val="subscript"/>
      <sz val="11"/>
      <color theme="1"/>
      <name val="Times New Roman"/>
      <family val="1"/>
      <charset val="238"/>
    </font>
    <font>
      <vertAlign val="subscript"/>
      <sz val="11"/>
      <color theme="1"/>
      <name val="Symbol"/>
      <family val="1"/>
      <charset val="2"/>
    </font>
    <font>
      <vertAlign val="superscript"/>
      <sz val="10"/>
      <color theme="1"/>
      <name val="Czcionka tekstu podstawowego"/>
      <charset val="238"/>
    </font>
    <font>
      <i/>
      <vertAlign val="superscript"/>
      <sz val="11"/>
      <color theme="1"/>
      <name val="Czcionka tekstu podstawowego"/>
      <charset val="238"/>
    </font>
    <font>
      <i/>
      <sz val="10"/>
      <color theme="1"/>
      <name val="Czcionka tekstu podstawowego"/>
      <family val="2"/>
      <charset val="238"/>
    </font>
    <font>
      <i/>
      <vertAlign val="subscript"/>
      <sz val="10"/>
      <color theme="1"/>
      <name val="Cambria"/>
      <family val="1"/>
      <charset val="238"/>
      <scheme val="major"/>
    </font>
    <font>
      <i/>
      <vertAlign val="superscript"/>
      <sz val="10"/>
      <color theme="1"/>
      <name val="Symbol"/>
      <family val="1"/>
      <charset val="2"/>
    </font>
    <font>
      <i/>
      <vertAlign val="subscript"/>
      <sz val="10"/>
      <color theme="1"/>
      <name val="Czcionka tekstu podstawowego"/>
      <charset val="238"/>
    </font>
    <font>
      <vertAlign val="superscript"/>
      <sz val="10"/>
      <color theme="1"/>
      <name val="Czcionka tekstu podstawowego"/>
      <family val="2"/>
      <charset val="238"/>
    </font>
    <font>
      <sz val="8"/>
      <color theme="1"/>
      <name val="Arial"/>
      <family val="2"/>
      <charset val="238"/>
    </font>
    <font>
      <vertAlign val="subscript"/>
      <sz val="10"/>
      <color theme="1"/>
      <name val="Czcionka tekstu podstawowego"/>
      <family val="2"/>
      <charset val="238"/>
    </font>
    <font>
      <i/>
      <sz val="10"/>
      <color theme="1"/>
      <name val="Czcionka tekstu podstawowego"/>
      <charset val="238"/>
    </font>
    <font>
      <i/>
      <vertAlign val="superscript"/>
      <sz val="10"/>
      <color theme="1"/>
      <name val="Czcionka tekstu podstawowego"/>
      <charset val="238"/>
    </font>
    <font>
      <vertAlign val="subscript"/>
      <sz val="10"/>
      <color theme="1"/>
      <name val="Cambria"/>
      <family val="1"/>
      <charset val="238"/>
    </font>
    <font>
      <vertAlign val="subscript"/>
      <sz val="10"/>
      <color theme="1"/>
      <name val="Czcionka tekstu podstawowego"/>
      <charset val="238"/>
    </font>
    <font>
      <vertAlign val="superscript"/>
      <sz val="10"/>
      <color theme="1"/>
      <name val="Symbol"/>
      <family val="1"/>
      <charset val="2"/>
    </font>
    <font>
      <i/>
      <vertAlign val="subscript"/>
      <sz val="8"/>
      <color theme="1"/>
      <name val="Czcionka tekstu podstawowego"/>
      <charset val="238"/>
    </font>
    <font>
      <b/>
      <sz val="11"/>
      <color rgb="FF000000"/>
      <name val="Calibri"/>
      <family val="2"/>
      <charset val="238"/>
    </font>
    <font>
      <i/>
      <sz val="8"/>
      <color theme="1"/>
      <name val="Czcionka tekstu podstawowego"/>
      <family val="2"/>
      <charset val="238"/>
    </font>
    <font>
      <i/>
      <vertAlign val="subscript"/>
      <sz val="8"/>
      <color theme="1"/>
      <name val="Cambria"/>
      <family val="1"/>
      <charset val="238"/>
      <scheme val="major"/>
    </font>
    <font>
      <i/>
      <vertAlign val="superscript"/>
      <sz val="8"/>
      <color theme="1"/>
      <name val="Symbol"/>
      <family val="1"/>
      <charset val="2"/>
    </font>
    <font>
      <vertAlign val="superscript"/>
      <sz val="9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b/>
      <i/>
      <sz val="12"/>
      <color theme="1"/>
      <name val="Czcionka tekstu podstawowego"/>
      <charset val="238"/>
    </font>
    <font>
      <b/>
      <vertAlign val="subscript"/>
      <sz val="10"/>
      <color theme="1"/>
      <name val="Arial"/>
      <family val="2"/>
      <charset val="238"/>
    </font>
    <font>
      <b/>
      <sz val="10"/>
      <color theme="1"/>
      <name val="Czcionka tekstu podstawowego"/>
      <charset val="238"/>
    </font>
    <font>
      <b/>
      <sz val="8"/>
      <color theme="1"/>
      <name val="Wingdings"/>
      <charset val="2"/>
    </font>
    <font>
      <b/>
      <sz val="12"/>
      <color theme="1"/>
      <name val="Czcionka tekstu podstawowego"/>
      <family val="2"/>
      <charset val="238"/>
    </font>
    <font>
      <i/>
      <vertAlign val="subscript"/>
      <sz val="11"/>
      <color theme="0" tint="-0.499984740745262"/>
      <name val="Arial"/>
      <family val="2"/>
      <charset val="238"/>
    </font>
    <font>
      <i/>
      <sz val="11"/>
      <color theme="0" tint="-0.499984740745262"/>
      <name val="Symbol"/>
      <family val="1"/>
      <charset val="2"/>
    </font>
    <font>
      <sz val="11"/>
      <color indexed="8"/>
      <name val="Czcionka tekstu podstawowego"/>
      <charset val="238"/>
    </font>
    <font>
      <b/>
      <i/>
      <sz val="11"/>
      <color theme="1"/>
      <name val="Czcionka tekstu podstawowego"/>
      <charset val="238"/>
    </font>
    <font>
      <b/>
      <i/>
      <vertAlign val="subscript"/>
      <sz val="11"/>
      <color theme="1"/>
      <name val="Czcionka tekstu podstawowego"/>
      <charset val="238"/>
    </font>
    <font>
      <b/>
      <vertAlign val="subscript"/>
      <sz val="11"/>
      <color theme="1"/>
      <name val="Czcionka tekstu podstawowego"/>
      <charset val="238"/>
    </font>
    <font>
      <u/>
      <sz val="11"/>
      <color theme="1"/>
      <name val="Czcionka tekstu podstawowego"/>
      <family val="2"/>
      <charset val="238"/>
    </font>
    <font>
      <b/>
      <sz val="12"/>
      <color theme="1"/>
      <name val="Times New Roman"/>
      <family val="1"/>
      <charset val="238"/>
    </font>
    <font>
      <b/>
      <vertAlign val="subscript"/>
      <sz val="12"/>
      <color theme="1"/>
      <name val="Times New Roman"/>
      <family val="1"/>
      <charset val="238"/>
    </font>
    <font>
      <i/>
      <sz val="8"/>
      <color theme="0" tint="-0.499984740745262"/>
      <name val="Czcionka tekstu podstawowego"/>
      <charset val="238"/>
    </font>
    <font>
      <b/>
      <i/>
      <sz val="11"/>
      <color rgb="FFFF0000"/>
      <name val="Czcionka tekstu podstawowego"/>
      <charset val="238"/>
    </font>
    <font>
      <b/>
      <sz val="11"/>
      <color rgb="FFFF0000"/>
      <name val="Czcionka tekstu podstawowego"/>
      <charset val="238"/>
    </font>
    <font>
      <sz val="10.5"/>
      <color theme="1"/>
      <name val="Arial"/>
      <family val="2"/>
      <charset val="238"/>
    </font>
    <font>
      <vertAlign val="subscript"/>
      <sz val="10.5"/>
      <color theme="1"/>
      <name val="Arial"/>
      <family val="2"/>
      <charset val="238"/>
    </font>
    <font>
      <sz val="10.5"/>
      <color theme="1"/>
      <name val="Symbol"/>
      <family val="1"/>
      <charset val="2"/>
    </font>
    <font>
      <sz val="10.5"/>
      <color theme="1"/>
      <name val="Czcionka tekstu podstawowego"/>
      <family val="2"/>
      <charset val="238"/>
    </font>
    <font>
      <b/>
      <sz val="10.5"/>
      <color theme="1"/>
      <name val="Arial"/>
      <family val="2"/>
      <charset val="238"/>
    </font>
    <font>
      <b/>
      <vertAlign val="subscript"/>
      <sz val="10.5"/>
      <color theme="1"/>
      <name val="Arial"/>
      <family val="2"/>
      <charset val="238"/>
    </font>
    <font>
      <b/>
      <sz val="10.5"/>
      <color theme="1"/>
      <name val="Symbol"/>
      <family val="1"/>
      <charset val="2"/>
    </font>
    <font>
      <b/>
      <sz val="10.5"/>
      <color theme="1"/>
      <name val="Czcionka tekstu podstawowego"/>
      <charset val="238"/>
    </font>
    <font>
      <sz val="10.5"/>
      <color theme="1"/>
      <name val="Czcionka tekstu podstawowego"/>
      <charset val="238"/>
    </font>
    <font>
      <i/>
      <sz val="10.5"/>
      <color theme="1"/>
      <name val="Arial"/>
      <family val="2"/>
      <charset val="238"/>
    </font>
    <font>
      <b/>
      <vertAlign val="subscript"/>
      <sz val="10.5"/>
      <color theme="1"/>
      <name val="Czcionka tekstu podstawowego"/>
      <charset val="238"/>
    </font>
    <font>
      <i/>
      <sz val="10.5"/>
      <color theme="1"/>
      <name val="Symbol"/>
      <family val="1"/>
      <charset val="2"/>
    </font>
    <font>
      <b/>
      <sz val="10.5"/>
      <color theme="1"/>
      <name val="Czcionka tekstu podstawowego"/>
      <family val="2"/>
      <charset val="238"/>
    </font>
    <font>
      <b/>
      <i/>
      <sz val="11"/>
      <color theme="1"/>
      <name val="Times New Roman"/>
      <family val="1"/>
      <charset val="238"/>
    </font>
    <font>
      <b/>
      <i/>
      <vertAlign val="subscript"/>
      <sz val="11"/>
      <color theme="1"/>
      <name val="Times New Roman"/>
      <family val="1"/>
      <charset val="238"/>
    </font>
    <font>
      <b/>
      <i/>
      <sz val="11"/>
      <color theme="1"/>
      <name val="Symbol"/>
      <family val="1"/>
      <charset val="2"/>
    </font>
    <font>
      <b/>
      <i/>
      <sz val="12"/>
      <color theme="1"/>
      <name val="Times New Roman"/>
      <family val="1"/>
      <charset val="238"/>
    </font>
    <font>
      <b/>
      <i/>
      <vertAlign val="subscript"/>
      <sz val="12"/>
      <color theme="1"/>
      <name val="Times New Roman"/>
      <family val="1"/>
      <charset val="238"/>
    </font>
    <font>
      <b/>
      <sz val="12"/>
      <color theme="1"/>
      <name val="Symbol"/>
      <family val="1"/>
      <charset val="2"/>
    </font>
    <font>
      <b/>
      <sz val="11"/>
      <color theme="1"/>
      <name val="Arial"/>
      <family val="2"/>
      <charset val="238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Arial"/>
      <family val="2"/>
      <charset val="238"/>
    </font>
    <font>
      <b/>
      <sz val="10"/>
      <color theme="1"/>
      <name val="Symbol"/>
      <family val="1"/>
      <charset val="2"/>
    </font>
    <font>
      <b/>
      <i/>
      <sz val="11"/>
      <color theme="1"/>
      <name val="Arial"/>
      <family val="2"/>
      <charset val="238"/>
    </font>
    <font>
      <b/>
      <i/>
      <vertAlign val="subscript"/>
      <sz val="11"/>
      <color theme="1"/>
      <name val="Arial"/>
      <family val="2"/>
      <charset val="238"/>
    </font>
    <font>
      <b/>
      <sz val="11"/>
      <color theme="1"/>
      <name val="Times New Roman"/>
      <family val="1"/>
      <charset val="238"/>
    </font>
    <font>
      <b/>
      <sz val="12"/>
      <color theme="1"/>
      <name val="Arial"/>
      <family val="2"/>
      <charset val="238"/>
    </font>
    <font>
      <b/>
      <i/>
      <sz val="12"/>
      <color theme="1"/>
      <name val="Symbol"/>
      <family val="1"/>
      <charset val="2"/>
    </font>
    <font>
      <b/>
      <i/>
      <sz val="12"/>
      <color theme="1"/>
      <name val="Arial"/>
      <family val="2"/>
      <charset val="238"/>
    </font>
    <font>
      <i/>
      <vertAlign val="subscript"/>
      <sz val="11"/>
      <color theme="1"/>
      <name val="Tempus Sans ITC"/>
      <family val="5"/>
    </font>
    <font>
      <vertAlign val="subscript"/>
      <sz val="11"/>
      <color theme="1"/>
      <name val="Tempus Sans ITC"/>
      <family val="5"/>
    </font>
    <font>
      <b/>
      <i/>
      <sz val="9.5"/>
      <color theme="1"/>
      <name val="Arial"/>
      <family val="2"/>
      <charset val="238"/>
    </font>
    <font>
      <b/>
      <i/>
      <sz val="9.5"/>
      <color theme="1"/>
      <name val="Times New Roman"/>
      <family val="1"/>
      <charset val="238"/>
    </font>
    <font>
      <b/>
      <i/>
      <vertAlign val="subscript"/>
      <sz val="9.5"/>
      <color theme="1"/>
      <name val="Times New Roman"/>
      <family val="1"/>
      <charset val="238"/>
    </font>
    <font>
      <b/>
      <i/>
      <sz val="9.5"/>
      <color theme="1"/>
      <name val="Symbol"/>
      <family val="1"/>
      <charset val="2"/>
    </font>
    <font>
      <b/>
      <i/>
      <vertAlign val="subscript"/>
      <sz val="9.5"/>
      <color theme="1"/>
      <name val="Arial"/>
      <family val="2"/>
      <charset val="238"/>
    </font>
    <font>
      <b/>
      <i/>
      <vertAlign val="superscript"/>
      <sz val="9.5"/>
      <color theme="1"/>
      <name val="Arial"/>
      <family val="2"/>
      <charset val="238"/>
    </font>
    <font>
      <b/>
      <vertAlign val="subscript"/>
      <sz val="11"/>
      <color theme="1"/>
      <name val="Symbol"/>
      <family val="1"/>
      <charset val="2"/>
    </font>
    <font>
      <b/>
      <sz val="10"/>
      <color theme="1"/>
      <name val="Czcionka tekstu podstawowego"/>
      <family val="2"/>
      <charset val="238"/>
    </font>
    <font>
      <b/>
      <sz val="11"/>
      <name val="Czcionka tekstu podstawowego"/>
      <charset val="238"/>
    </font>
    <font>
      <i/>
      <vertAlign val="subscript"/>
      <sz val="11"/>
      <color indexed="8"/>
      <name val="Times New Roman"/>
      <family val="1"/>
      <charset val="238"/>
    </font>
    <font>
      <i/>
      <sz val="11"/>
      <color indexed="8"/>
      <name val="Times New Roman"/>
      <family val="1"/>
      <charset val="238"/>
    </font>
    <font>
      <vertAlign val="subscript"/>
      <sz val="11"/>
      <color theme="1"/>
      <name val="Cambria"/>
      <family val="1"/>
      <charset val="238"/>
      <scheme val="major"/>
    </font>
    <font>
      <vertAlign val="superscript"/>
      <sz val="11"/>
      <color theme="1"/>
      <name val="Arial"/>
      <family val="2"/>
      <charset val="238"/>
    </font>
    <font>
      <b/>
      <i/>
      <vertAlign val="subscript"/>
      <sz val="10"/>
      <color theme="1"/>
      <name val="Times New Roman"/>
      <family val="1"/>
      <charset val="238"/>
    </font>
    <font>
      <b/>
      <i/>
      <sz val="10"/>
      <color theme="1"/>
      <name val="Times New Roman"/>
      <family val="1"/>
      <charset val="238"/>
    </font>
    <font>
      <sz val="11"/>
      <color theme="0" tint="-0.499984740745262"/>
      <name val="Czcionka tekstu podstawowego"/>
      <family val="2"/>
      <charset val="238"/>
    </font>
    <font>
      <sz val="10"/>
      <color theme="0" tint="-0.499984740745262"/>
      <name val="Czcionka tekstu podstawowego"/>
      <family val="2"/>
      <charset val="238"/>
    </font>
    <font>
      <sz val="11"/>
      <color theme="0" tint="-0.499984740745262"/>
      <name val="Arial"/>
      <family val="2"/>
      <charset val="238"/>
    </font>
    <font>
      <sz val="11"/>
      <color theme="0" tint="-0.499984740745262"/>
      <name val="Czcionka tekstu podstawowego"/>
      <charset val="238"/>
    </font>
    <font>
      <vertAlign val="subscript"/>
      <sz val="11"/>
      <color theme="0" tint="-0.499984740745262"/>
      <name val="Czcionka tekstu podstawowego"/>
      <charset val="238"/>
    </font>
    <font>
      <sz val="8"/>
      <color theme="0" tint="-0.499984740745262"/>
      <name val="Czcionka tekstu podstawowego"/>
      <family val="2"/>
      <charset val="238"/>
    </font>
    <font>
      <sz val="10"/>
      <color theme="0" tint="-0.499984740745262"/>
      <name val="Czcionka tekstu podstawowego"/>
      <charset val="238"/>
    </font>
    <font>
      <i/>
      <sz val="10"/>
      <color theme="0" tint="-0.499984740745262"/>
      <name val="Czcionka tekstu podstawowego"/>
      <charset val="238"/>
    </font>
    <font>
      <i/>
      <vertAlign val="subscript"/>
      <sz val="10"/>
      <color theme="0" tint="-0.499984740745262"/>
      <name val="Czcionka tekstu podstawowego"/>
      <charset val="238"/>
    </font>
    <font>
      <vertAlign val="subscript"/>
      <sz val="10"/>
      <color theme="0" tint="-0.499984740745262"/>
      <name val="Czcionka tekstu podstawowego"/>
      <charset val="238"/>
    </font>
    <font>
      <vertAlign val="superscript"/>
      <sz val="10"/>
      <color theme="0" tint="-0.499984740745262"/>
      <name val="Czcionka tekstu podstawowego"/>
      <charset val="238"/>
    </font>
    <font>
      <i/>
      <sz val="11"/>
      <color theme="0" tint="-0.499984740745262"/>
      <name val="Czcionka tekstu podstawowego"/>
      <charset val="238"/>
    </font>
    <font>
      <i/>
      <sz val="12"/>
      <color theme="0" tint="-0.499984740745262"/>
      <name val="Symbol"/>
      <family val="1"/>
      <charset val="2"/>
    </font>
    <font>
      <i/>
      <sz val="12"/>
      <color theme="0" tint="-0.499984740745262"/>
      <name val="Czcionka tekstu podstawowego"/>
      <family val="2"/>
      <charset val="238"/>
    </font>
    <font>
      <i/>
      <sz val="10"/>
      <color theme="0" tint="-0.499984740745262"/>
      <name val="Czcionka tekstu podstawowego"/>
      <family val="2"/>
      <charset val="238"/>
    </font>
    <font>
      <i/>
      <sz val="10"/>
      <color theme="0" tint="-0.499984740745262"/>
      <name val="Times New Roman"/>
      <family val="1"/>
      <charset val="238"/>
    </font>
    <font>
      <sz val="11"/>
      <color rgb="FFFF0000"/>
      <name val="Czcionka tekstu podstawowego"/>
      <charset val="238"/>
    </font>
    <font>
      <sz val="11"/>
      <color theme="1"/>
      <name val="Czcionka tekstu podstawowego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i/>
      <sz val="12"/>
      <color theme="0" tint="-0.499984740745262"/>
      <name val="Calibri"/>
      <family val="2"/>
      <charset val="238"/>
      <scheme val="minor"/>
    </font>
    <font>
      <i/>
      <vertAlign val="subscript"/>
      <sz val="12"/>
      <color theme="0" tint="-0.499984740745262"/>
      <name val="Calibri"/>
      <family val="2"/>
      <charset val="238"/>
      <scheme val="minor"/>
    </font>
    <font>
      <vertAlign val="subscript"/>
      <sz val="11"/>
      <name val="Calibri"/>
      <family val="2"/>
      <charset val="238"/>
      <scheme val="minor"/>
    </font>
    <font>
      <vertAlign val="subscript"/>
      <sz val="11"/>
      <name val="Czcionka tekstu podstawowego"/>
      <charset val="238"/>
    </font>
    <font>
      <vertAlign val="superscript"/>
      <sz val="11"/>
      <name val="Czcionka tekstu podstawowego"/>
      <charset val="238"/>
    </font>
    <font>
      <i/>
      <vertAlign val="superscript"/>
      <sz val="12"/>
      <color theme="0" tint="-0.499984740745262"/>
      <name val="Calibri"/>
      <family val="2"/>
      <charset val="238"/>
      <scheme val="minor"/>
    </font>
    <font>
      <i/>
      <vertAlign val="subscript"/>
      <sz val="12"/>
      <color theme="0" tint="-0.499984740745262"/>
      <name val="Arial"/>
      <family val="2"/>
      <charset val="238"/>
    </font>
    <font>
      <b/>
      <i/>
      <sz val="12"/>
      <name val="Calibri"/>
      <family val="2"/>
      <charset val="238"/>
      <scheme val="minor"/>
    </font>
    <font>
      <sz val="12"/>
      <color theme="0" tint="-0.499984740745262"/>
      <name val="Calibri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1"/>
      <name val="Calibri"/>
      <family val="2"/>
      <charset val="238"/>
    </font>
    <font>
      <sz val="11"/>
      <name val="Czcionka tekstu podstawowego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zcionka tekstu podstawowego"/>
      <family val="2"/>
      <charset val="238"/>
    </font>
    <font>
      <i/>
      <sz val="12"/>
      <color theme="1"/>
      <name val="Calibri"/>
      <family val="2"/>
      <charset val="238"/>
      <scheme val="minor"/>
    </font>
    <font>
      <b/>
      <sz val="18"/>
      <color theme="1"/>
      <name val="Czcionka tekstu podstawowego"/>
      <charset val="238"/>
    </font>
    <font>
      <vertAlign val="subscript"/>
      <sz val="11"/>
      <color theme="1"/>
      <name val="Calibri"/>
      <family val="2"/>
      <charset val="238"/>
      <scheme val="minor"/>
    </font>
    <font>
      <vertAlign val="subscript"/>
      <sz val="8"/>
      <color theme="1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name val="Czcionka tekstu podstawowego"/>
      <family val="2"/>
      <charset val="238"/>
    </font>
    <font>
      <sz val="10"/>
      <name val="Czcionka tekstu podstawowego"/>
      <family val="2"/>
      <charset val="238"/>
    </font>
    <font>
      <sz val="10"/>
      <color rgb="FFFF0000"/>
      <name val="Czcionka tekstu podstawowego"/>
      <family val="2"/>
      <charset val="238"/>
    </font>
    <font>
      <sz val="10.5"/>
      <color theme="0" tint="-0.34998626667073579"/>
      <name val="Czcionka tekstu podstawowego"/>
      <charset val="238"/>
    </font>
    <font>
      <b/>
      <sz val="10.5"/>
      <color theme="0" tint="-0.34998626667073579"/>
      <name val="Czcionka tekstu podstawowego"/>
      <charset val="238"/>
    </font>
    <font>
      <sz val="10.5"/>
      <color theme="0" tint="-0.34998626667073579"/>
      <name val="Czcionka tekstu podstawowego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charset val="238"/>
    </font>
    <font>
      <sz val="10"/>
      <color theme="0" tint="-0.34998626667073579"/>
      <name val="Arial"/>
      <family val="2"/>
      <charset val="238"/>
    </font>
    <font>
      <i/>
      <sz val="11"/>
      <name val="Czcionka tekstu podstawowego"/>
      <charset val="238"/>
    </font>
    <font>
      <b/>
      <i/>
      <vertAlign val="subscript"/>
      <sz val="12"/>
      <color theme="1"/>
      <name val="Arial"/>
      <family val="2"/>
      <charset val="238"/>
    </font>
    <font>
      <b/>
      <vertAlign val="subscript"/>
      <sz val="12"/>
      <color theme="1"/>
      <name val="Arial"/>
      <family val="2"/>
      <charset val="238"/>
    </font>
    <font>
      <b/>
      <i/>
      <sz val="11"/>
      <color theme="0" tint="-0.34998626667073579"/>
      <name val="Arial"/>
      <family val="2"/>
      <charset val="238"/>
    </font>
    <font>
      <b/>
      <i/>
      <sz val="11"/>
      <color theme="0" tint="-0.34998626667073579"/>
      <name val="Symbol"/>
      <family val="1"/>
      <charset val="2"/>
    </font>
    <font>
      <b/>
      <i/>
      <vertAlign val="subscript"/>
      <sz val="11"/>
      <color theme="0" tint="-0.34998626667073579"/>
      <name val="Arial"/>
      <family val="2"/>
      <charset val="238"/>
    </font>
    <font>
      <b/>
      <i/>
      <sz val="11"/>
      <color theme="0" tint="-0.34998626667073579"/>
      <name val="Times New Roman"/>
      <family val="1"/>
      <charset val="238"/>
    </font>
    <font>
      <b/>
      <i/>
      <vertAlign val="subscript"/>
      <sz val="11"/>
      <color theme="0" tint="-0.34998626667073579"/>
      <name val="Times New Roman"/>
      <family val="1"/>
      <charset val="238"/>
    </font>
    <font>
      <b/>
      <sz val="11"/>
      <color theme="0" tint="-0.34998626667073579"/>
      <name val="Arial"/>
      <family val="2"/>
      <charset val="238"/>
    </font>
    <font>
      <i/>
      <sz val="11"/>
      <color theme="0" tint="-0.34998626667073579"/>
      <name val="Czcionka tekstu podstawowego"/>
      <family val="2"/>
      <charset val="238"/>
    </font>
    <font>
      <sz val="11"/>
      <color rgb="FFFF0000"/>
      <name val="Calibri"/>
      <family val="2"/>
      <charset val="238"/>
    </font>
    <font>
      <sz val="9.35"/>
      <color rgb="FFFF0000"/>
      <name val="Czcionka tekstu podstawowego"/>
      <family val="2"/>
      <charset val="238"/>
    </font>
    <font>
      <sz val="11"/>
      <color theme="1"/>
      <name val="Cambria"/>
      <family val="1"/>
      <charset val="238"/>
    </font>
    <font>
      <sz val="11"/>
      <name val="Calibri"/>
      <family val="2"/>
      <charset val="238"/>
    </font>
    <font>
      <sz val="11"/>
      <name val="Arial"/>
      <family val="2"/>
      <charset val="238"/>
    </font>
    <font>
      <b/>
      <sz val="12"/>
      <name val="Czcionka tekstu podstawowego"/>
      <charset val="238"/>
    </font>
    <font>
      <sz val="7.7"/>
      <name val="Czcionka tekstu podstawowego"/>
      <family val="2"/>
      <charset val="238"/>
    </font>
    <font>
      <i/>
      <vertAlign val="subscript"/>
      <sz val="10"/>
      <color theme="1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Czcionka tekstu podstawowego"/>
      <charset val="238"/>
    </font>
    <font>
      <sz val="10"/>
      <color theme="1"/>
      <name val="Calibri"/>
      <family val="2"/>
      <charset val="238"/>
    </font>
    <font>
      <i/>
      <vertAlign val="subscript"/>
      <sz val="11"/>
      <name val="Czcionka tekstu podstawowego"/>
      <charset val="238"/>
    </font>
    <font>
      <b/>
      <sz val="18"/>
      <color theme="1"/>
      <name val="Arial Black"/>
      <family val="2"/>
      <charset val="238"/>
    </font>
    <font>
      <i/>
      <sz val="11"/>
      <name val="Czcionka tekstu podstawowego"/>
      <family val="2"/>
      <charset val="238"/>
    </font>
    <font>
      <sz val="9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i/>
      <sz val="9"/>
      <color rgb="FFFF000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6"/>
      <color theme="0" tint="-0.499984740745262"/>
      <name val="Calibri"/>
      <family val="2"/>
      <charset val="238"/>
      <scheme val="minor"/>
    </font>
    <font>
      <i/>
      <sz val="9"/>
      <color theme="1"/>
      <name val="Czcionka tekstu podstawowego"/>
      <charset val="238"/>
    </font>
    <font>
      <b/>
      <i/>
      <sz val="9"/>
      <color theme="1"/>
      <name val="Czcionka tekstu podstawowego"/>
      <charset val="238"/>
    </font>
    <font>
      <b/>
      <i/>
      <sz val="16"/>
      <color theme="1"/>
      <name val="Calibri"/>
      <family val="2"/>
      <charset val="238"/>
      <scheme val="minor"/>
    </font>
    <font>
      <b/>
      <i/>
      <sz val="16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i/>
      <sz val="10"/>
      <name val="Czcionka tekstu podstawowego"/>
      <charset val="238"/>
    </font>
    <font>
      <sz val="10"/>
      <name val="Calibri"/>
      <family val="2"/>
      <charset val="238"/>
    </font>
    <font>
      <sz val="10"/>
      <name val="Czcionka tekstu podstawowego"/>
      <charset val="238"/>
    </font>
    <font>
      <i/>
      <sz val="9"/>
      <color theme="1"/>
      <name val="Czcionka tekstu podstawowego"/>
      <family val="2"/>
      <charset val="238"/>
    </font>
    <font>
      <b/>
      <i/>
      <sz val="9"/>
      <color theme="1"/>
      <name val="Arial"/>
      <family val="2"/>
      <charset val="238"/>
    </font>
    <font>
      <b/>
      <i/>
      <vertAlign val="subscript"/>
      <sz val="9"/>
      <color theme="1"/>
      <name val="Arial"/>
      <family val="2"/>
      <charset val="238"/>
    </font>
    <font>
      <b/>
      <i/>
      <sz val="8"/>
      <color theme="1"/>
      <name val="Arial"/>
      <family val="2"/>
      <charset val="238"/>
    </font>
    <font>
      <b/>
      <i/>
      <vertAlign val="subscript"/>
      <sz val="8"/>
      <color theme="1"/>
      <name val="Arial"/>
      <family val="2"/>
      <charset val="238"/>
    </font>
    <font>
      <b/>
      <i/>
      <sz val="9"/>
      <color theme="1"/>
      <name val="Czcionka tekstu podstawowego"/>
      <family val="2"/>
      <charset val="238"/>
    </font>
    <font>
      <i/>
      <sz val="11"/>
      <name val="Calibri"/>
      <family val="2"/>
      <charset val="238"/>
      <scheme val="minor"/>
    </font>
    <font>
      <i/>
      <vertAlign val="superscript"/>
      <sz val="11"/>
      <name val="Calibri"/>
      <family val="2"/>
      <charset val="238"/>
      <scheme val="minor"/>
    </font>
    <font>
      <vertAlign val="subscript"/>
      <sz val="10"/>
      <name val="Arial"/>
      <family val="2"/>
      <charset val="238"/>
    </font>
    <font>
      <sz val="10"/>
      <name val="Symbol"/>
      <family val="1"/>
      <charset val="2"/>
    </font>
    <font>
      <sz val="9"/>
      <name val="Arial"/>
      <family val="2"/>
      <charset val="238"/>
    </font>
    <font>
      <sz val="9"/>
      <name val="Symbol"/>
      <family val="1"/>
      <charset val="2"/>
    </font>
    <font>
      <vertAlign val="subscript"/>
      <sz val="9"/>
      <name val="Arial"/>
      <family val="2"/>
      <charset val="238"/>
    </font>
    <font>
      <b/>
      <sz val="1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EE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9" fillId="0" borderId="0"/>
    <xf numFmtId="0" fontId="160" fillId="0" borderId="0"/>
    <xf numFmtId="9" fontId="9" fillId="0" borderId="0" applyFont="0" applyFill="0" applyBorder="0" applyAlignment="0" applyProtection="0"/>
    <xf numFmtId="0" fontId="8" fillId="0" borderId="0"/>
    <xf numFmtId="0" fontId="160" fillId="0" borderId="0"/>
    <xf numFmtId="0" fontId="177" fillId="0" borderId="0"/>
    <xf numFmtId="9" fontId="160" fillId="0" borderId="0" applyFont="0" applyFill="0" applyBorder="0" applyAlignment="0" applyProtection="0"/>
    <xf numFmtId="0" fontId="6" fillId="0" borderId="0"/>
    <xf numFmtId="0" fontId="160" fillId="0" borderId="0"/>
    <xf numFmtId="0" fontId="6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11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50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0" applyNumberFormat="1" applyFill="1" applyAlignment="1">
      <alignment horizontal="center" vertical="center"/>
    </xf>
    <xf numFmtId="2" fontId="50" fillId="0" borderId="7" xfId="0" applyNumberFormat="1" applyFont="1" applyBorder="1" applyAlignment="1">
      <alignment horizontal="center" vertical="center"/>
    </xf>
    <xf numFmtId="2" fontId="50" fillId="0" borderId="8" xfId="0" applyNumberFormat="1" applyFont="1" applyBorder="1" applyAlignment="1">
      <alignment horizontal="center" vertical="center"/>
    </xf>
    <xf numFmtId="2" fontId="50" fillId="0" borderId="10" xfId="0" applyNumberFormat="1" applyFont="1" applyBorder="1" applyAlignment="1">
      <alignment horizontal="center" vertical="center"/>
    </xf>
    <xf numFmtId="2" fontId="50" fillId="0" borderId="11" xfId="0" applyNumberFormat="1" applyFont="1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2" fontId="50" fillId="0" borderId="36" xfId="0" applyNumberFormat="1" applyFont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" fontId="50" fillId="0" borderId="7" xfId="0" applyNumberFormat="1" applyFont="1" applyFill="1" applyBorder="1" applyAlignment="1">
      <alignment horizontal="center" vertical="center"/>
    </xf>
    <xf numFmtId="2" fontId="50" fillId="0" borderId="8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50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2" fontId="0" fillId="0" borderId="7" xfId="0" applyNumberFormat="1" applyFill="1" applyBorder="1" applyAlignment="1">
      <alignment horizontal="center" vertical="center"/>
    </xf>
    <xf numFmtId="2" fontId="50" fillId="0" borderId="4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2" fontId="50" fillId="0" borderId="17" xfId="0" applyNumberFormat="1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2" fontId="50" fillId="0" borderId="16" xfId="0" applyNumberFormat="1" applyFont="1" applyBorder="1" applyAlignment="1">
      <alignment horizontal="center" vertical="center"/>
    </xf>
    <xf numFmtId="2" fontId="50" fillId="0" borderId="2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9" xfId="0" applyBorder="1" applyAlignment="1">
      <alignment vertical="center"/>
    </xf>
    <xf numFmtId="2" fontId="50" fillId="0" borderId="10" xfId="0" applyNumberFormat="1" applyFont="1" applyFill="1" applyBorder="1" applyAlignment="1">
      <alignment horizontal="center" vertical="center"/>
    </xf>
    <xf numFmtId="2" fontId="50" fillId="0" borderId="11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4" xfId="0" applyBorder="1" applyAlignment="1">
      <alignment vertical="center"/>
    </xf>
    <xf numFmtId="2" fontId="50" fillId="0" borderId="5" xfId="0" applyNumberFormat="1" applyFont="1" applyBorder="1" applyAlignment="1">
      <alignment horizontal="center" vertical="center"/>
    </xf>
    <xf numFmtId="0" fontId="50" fillId="0" borderId="44" xfId="0" applyFont="1" applyFill="1" applyBorder="1" applyAlignment="1">
      <alignment horizontal="left" vertical="center"/>
    </xf>
    <xf numFmtId="0" fontId="50" fillId="0" borderId="31" xfId="0" applyFont="1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40" xfId="0" applyBorder="1" applyAlignment="1">
      <alignment horizontal="right" vertical="center"/>
    </xf>
    <xf numFmtId="0" fontId="50" fillId="0" borderId="22" xfId="0" applyFont="1" applyFill="1" applyBorder="1" applyAlignment="1">
      <alignment horizontal="left" vertical="center"/>
    </xf>
    <xf numFmtId="0" fontId="16" fillId="0" borderId="36" xfId="0" applyFont="1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50" fillId="0" borderId="30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20" xfId="0" applyBorder="1" applyAlignment="1">
      <alignment horizontal="right" vertical="center"/>
    </xf>
    <xf numFmtId="2" fontId="50" fillId="0" borderId="20" xfId="0" applyNumberFormat="1" applyFont="1" applyBorder="1" applyAlignment="1">
      <alignment horizontal="center" vertical="center"/>
    </xf>
    <xf numFmtId="0" fontId="50" fillId="0" borderId="33" xfId="0" applyFont="1" applyFill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50" fillId="0" borderId="34" xfId="0" applyFont="1" applyFill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42" xfId="0" applyBorder="1" applyAlignment="1">
      <alignment vertical="center"/>
    </xf>
    <xf numFmtId="0" fontId="16" fillId="0" borderId="15" xfId="0" applyFont="1" applyBorder="1" applyAlignment="1">
      <alignment horizontal="right" vertical="center"/>
    </xf>
    <xf numFmtId="2" fontId="0" fillId="0" borderId="18" xfId="0" applyNumberFormat="1" applyBorder="1" applyAlignment="1">
      <alignment horizontal="center" vertical="center"/>
    </xf>
    <xf numFmtId="0" fontId="50" fillId="3" borderId="22" xfId="0" applyFont="1" applyFill="1" applyBorder="1" applyAlignment="1">
      <alignment horizontal="left" vertical="center"/>
    </xf>
    <xf numFmtId="0" fontId="0" fillId="3" borderId="36" xfId="0" applyFill="1" applyBorder="1" applyAlignment="1">
      <alignment vertical="center"/>
    </xf>
    <xf numFmtId="0" fontId="16" fillId="3" borderId="36" xfId="0" applyFont="1" applyFill="1" applyBorder="1" applyAlignment="1">
      <alignment horizontal="right" vertical="center"/>
    </xf>
    <xf numFmtId="2" fontId="50" fillId="3" borderId="36" xfId="0" applyNumberFormat="1" applyFont="1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vertical="center"/>
    </xf>
    <xf numFmtId="0" fontId="16" fillId="0" borderId="41" xfId="0" applyFont="1" applyBorder="1" applyAlignment="1">
      <alignment horizontal="right" vertical="center"/>
    </xf>
    <xf numFmtId="2" fontId="50" fillId="0" borderId="41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16" fillId="0" borderId="43" xfId="0" applyFont="1" applyBorder="1" applyAlignment="1">
      <alignment horizontal="right" vertical="center"/>
    </xf>
    <xf numFmtId="2" fontId="0" fillId="0" borderId="42" xfId="0" applyNumberFormat="1" applyBorder="1" applyAlignment="1">
      <alignment horizontal="center" vertical="center"/>
    </xf>
    <xf numFmtId="0" fontId="50" fillId="0" borderId="35" xfId="0" applyFont="1" applyFill="1" applyBorder="1" applyAlignment="1">
      <alignment horizontal="left" vertical="center"/>
    </xf>
    <xf numFmtId="0" fontId="0" fillId="0" borderId="41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2" fontId="0" fillId="0" borderId="10" xfId="0" applyNumberFormat="1" applyFill="1" applyBorder="1" applyAlignment="1">
      <alignment horizontal="center" vertical="center"/>
    </xf>
    <xf numFmtId="2" fontId="50" fillId="0" borderId="0" xfId="0" applyNumberFormat="1" applyFont="1" applyFill="1" applyBorder="1" applyAlignment="1">
      <alignment horizontal="center" vertical="center"/>
    </xf>
    <xf numFmtId="2" fontId="50" fillId="0" borderId="41" xfId="0" applyNumberFormat="1" applyFont="1" applyFill="1" applyBorder="1" applyAlignment="1">
      <alignment horizontal="center" vertical="center"/>
    </xf>
    <xf numFmtId="2" fontId="50" fillId="0" borderId="42" xfId="0" applyNumberFormat="1" applyFont="1" applyFill="1" applyBorder="1" applyAlignment="1">
      <alignment horizontal="center" vertical="center"/>
    </xf>
    <xf numFmtId="2" fontId="50" fillId="0" borderId="24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50" fillId="0" borderId="22" xfId="0" applyFont="1" applyBorder="1" applyAlignment="1">
      <alignment horizontal="right" vertical="center"/>
    </xf>
    <xf numFmtId="0" fontId="50" fillId="0" borderId="23" xfId="0" applyFont="1" applyBorder="1" applyAlignment="1">
      <alignment vertical="center"/>
    </xf>
    <xf numFmtId="0" fontId="0" fillId="0" borderId="25" xfId="0" applyFill="1" applyBorder="1" applyAlignment="1">
      <alignment vertical="center"/>
    </xf>
    <xf numFmtId="2" fontId="0" fillId="0" borderId="25" xfId="0" applyNumberFormat="1" applyFill="1" applyBorder="1" applyAlignment="1">
      <alignment horizontal="center" vertical="center"/>
    </xf>
    <xf numFmtId="2" fontId="14" fillId="0" borderId="25" xfId="0" applyNumberFormat="1" applyFon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43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88" fillId="0" borderId="0" xfId="0" applyFon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50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21" xfId="0" applyFill="1" applyBorder="1" applyAlignment="1">
      <alignment horizontal="right" vertical="center"/>
    </xf>
    <xf numFmtId="0" fontId="50" fillId="0" borderId="21" xfId="0" applyFont="1" applyFill="1" applyBorder="1" applyAlignment="1">
      <alignment vertical="center"/>
    </xf>
    <xf numFmtId="2" fontId="0" fillId="0" borderId="21" xfId="0" applyNumberFormat="1" applyFill="1" applyBorder="1" applyAlignment="1">
      <alignment horizontal="center" vertical="center"/>
    </xf>
    <xf numFmtId="0" fontId="50" fillId="0" borderId="22" xfId="0" applyFont="1" applyFill="1" applyBorder="1" applyAlignment="1">
      <alignment horizontal="right" vertical="center"/>
    </xf>
    <xf numFmtId="0" fontId="50" fillId="0" borderId="23" xfId="0" applyFont="1" applyFill="1" applyBorder="1" applyAlignment="1">
      <alignment vertical="center"/>
    </xf>
    <xf numFmtId="2" fontId="50" fillId="0" borderId="3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1" fillId="0" borderId="25" xfId="0" applyFont="1" applyFill="1" applyBorder="1" applyAlignment="1">
      <alignment horizontal="right" vertical="center"/>
    </xf>
    <xf numFmtId="0" fontId="50" fillId="0" borderId="7" xfId="0" applyFont="1" applyFill="1" applyBorder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50" fillId="2" borderId="0" xfId="0" applyNumberFormat="1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2" fontId="34" fillId="0" borderId="0" xfId="0" applyNumberFormat="1" applyFont="1" applyBorder="1" applyAlignment="1">
      <alignment horizontal="center" vertical="center"/>
    </xf>
    <xf numFmtId="0" fontId="50" fillId="0" borderId="0" xfId="0" applyFont="1" applyFill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95" fillId="0" borderId="0" xfId="0" applyFont="1" applyFill="1" applyBorder="1" applyAlignment="1">
      <alignment horizontal="left" vertical="center"/>
    </xf>
    <xf numFmtId="0" fontId="96" fillId="0" borderId="0" xfId="0" applyFont="1" applyBorder="1" applyAlignment="1">
      <alignment vertical="center"/>
    </xf>
    <xf numFmtId="0" fontId="96" fillId="0" borderId="0" xfId="0" applyFont="1" applyFill="1" applyBorder="1" applyAlignment="1">
      <alignment vertical="center"/>
    </xf>
    <xf numFmtId="2" fontId="50" fillId="0" borderId="47" xfId="0" applyNumberFormat="1" applyFont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100" fillId="0" borderId="48" xfId="0" applyFont="1" applyBorder="1" applyAlignment="1">
      <alignment vertical="center"/>
    </xf>
    <xf numFmtId="0" fontId="100" fillId="0" borderId="49" xfId="0" applyFont="1" applyBorder="1" applyAlignment="1">
      <alignment vertical="center"/>
    </xf>
    <xf numFmtId="0" fontId="100" fillId="0" borderId="48" xfId="0" applyFont="1" applyFill="1" applyBorder="1" applyAlignment="1">
      <alignment vertical="center"/>
    </xf>
    <xf numFmtId="0" fontId="100" fillId="0" borderId="49" xfId="0" applyFont="1" applyFill="1" applyBorder="1" applyAlignment="1">
      <alignment vertical="center"/>
    </xf>
    <xf numFmtId="0" fontId="97" fillId="0" borderId="48" xfId="0" applyFont="1" applyBorder="1" applyAlignment="1">
      <alignment horizontal="left" vertical="center"/>
    </xf>
    <xf numFmtId="0" fontId="32" fillId="0" borderId="50" xfId="0" applyFont="1" applyBorder="1" applyAlignment="1">
      <alignment horizontal="right" vertical="center"/>
    </xf>
    <xf numFmtId="2" fontId="50" fillId="0" borderId="48" xfId="0" applyNumberFormat="1" applyFont="1" applyBorder="1" applyAlignment="1">
      <alignment horizontal="center" vertical="center"/>
    </xf>
    <xf numFmtId="0" fontId="38" fillId="0" borderId="50" xfId="0" applyFont="1" applyBorder="1" applyAlignment="1">
      <alignment horizontal="right" vertical="center"/>
    </xf>
    <xf numFmtId="0" fontId="14" fillId="0" borderId="50" xfId="0" applyFont="1" applyBorder="1" applyAlignment="1">
      <alignment horizontal="right" vertical="center"/>
    </xf>
    <xf numFmtId="0" fontId="19" fillId="0" borderId="50" xfId="0" applyFont="1" applyBorder="1" applyAlignment="1">
      <alignment horizontal="right" vertical="center"/>
    </xf>
    <xf numFmtId="0" fontId="16" fillId="0" borderId="50" xfId="0" applyFont="1" applyBorder="1" applyAlignment="1">
      <alignment horizontal="right" vertical="center"/>
    </xf>
    <xf numFmtId="168" fontId="50" fillId="0" borderId="48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right" vertical="center"/>
    </xf>
    <xf numFmtId="0" fontId="0" fillId="0" borderId="50" xfId="0" applyFill="1" applyBorder="1" applyAlignment="1">
      <alignment vertical="center"/>
    </xf>
    <xf numFmtId="0" fontId="56" fillId="0" borderId="48" xfId="0" applyFont="1" applyBorder="1" applyAlignment="1">
      <alignment horizontal="right" vertical="center"/>
    </xf>
    <xf numFmtId="0" fontId="0" fillId="0" borderId="48" xfId="0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46" fillId="0" borderId="50" xfId="0" applyFont="1" applyBorder="1" applyAlignment="1">
      <alignment horizontal="right" vertical="center"/>
    </xf>
    <xf numFmtId="0" fontId="18" fillId="0" borderId="50" xfId="0" applyFont="1" applyBorder="1" applyAlignment="1">
      <alignment horizontal="right" vertical="center"/>
    </xf>
    <xf numFmtId="0" fontId="18" fillId="0" borderId="48" xfId="0" applyFont="1" applyBorder="1" applyAlignment="1">
      <alignment horizontal="right" vertical="center"/>
    </xf>
    <xf numFmtId="0" fontId="0" fillId="0" borderId="50" xfId="0" applyBorder="1" applyAlignment="1">
      <alignment horizontal="right" vertical="center"/>
    </xf>
    <xf numFmtId="2" fontId="50" fillId="0" borderId="15" xfId="0" applyNumberFormat="1" applyFont="1" applyBorder="1" applyAlignment="1">
      <alignment horizontal="center" vertical="center"/>
    </xf>
    <xf numFmtId="0" fontId="14" fillId="0" borderId="46" xfId="0" applyFont="1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88" fillId="0" borderId="0" xfId="0" applyFont="1" applyFill="1" applyBorder="1" applyAlignment="1">
      <alignment horizontal="right" vertical="center"/>
    </xf>
    <xf numFmtId="0" fontId="10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99" fillId="0" borderId="0" xfId="0" applyFont="1" applyBorder="1" applyAlignment="1">
      <alignment vertical="center" wrapText="1"/>
    </xf>
    <xf numFmtId="0" fontId="32" fillId="0" borderId="0" xfId="0" applyFont="1" applyBorder="1" applyAlignment="1">
      <alignment horizontal="right" vertical="center"/>
    </xf>
    <xf numFmtId="0" fontId="38" fillId="0" borderId="0" xfId="0" applyFont="1" applyBorder="1" applyAlignment="1">
      <alignment horizontal="right" vertical="center"/>
    </xf>
    <xf numFmtId="1" fontId="50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00" fillId="0" borderId="0" xfId="0" applyFont="1" applyFill="1" applyBorder="1" applyAlignment="1">
      <alignment vertical="center"/>
    </xf>
    <xf numFmtId="0" fontId="11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 wrapText="1"/>
    </xf>
    <xf numFmtId="0" fontId="5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5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45" fillId="0" borderId="15" xfId="0" applyFont="1" applyBorder="1" applyAlignment="1">
      <alignment horizontal="right" vertical="center"/>
    </xf>
    <xf numFmtId="0" fontId="0" fillId="0" borderId="17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117" fillId="0" borderId="17" xfId="0" applyFont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2" fontId="16" fillId="0" borderId="25" xfId="0" applyNumberFormat="1" applyFont="1" applyBorder="1" applyAlignment="1">
      <alignment horizontal="center" vertical="center"/>
    </xf>
    <xf numFmtId="2" fontId="0" fillId="0" borderId="43" xfId="0" applyNumberFormat="1" applyFont="1" applyBorder="1" applyAlignment="1">
      <alignment horizontal="right" vertical="center"/>
    </xf>
    <xf numFmtId="2" fontId="16" fillId="0" borderId="0" xfId="0" applyNumberFormat="1" applyFont="1" applyBorder="1" applyAlignment="1">
      <alignment horizontal="center" vertical="center"/>
    </xf>
    <xf numFmtId="0" fontId="45" fillId="0" borderId="43" xfId="0" applyFont="1" applyBorder="1" applyAlignment="1">
      <alignment horizontal="right" vertical="center"/>
    </xf>
    <xf numFmtId="2" fontId="16" fillId="0" borderId="21" xfId="0" applyNumberFormat="1" applyFont="1" applyBorder="1" applyAlignment="1">
      <alignment horizontal="center" vertical="center"/>
    </xf>
    <xf numFmtId="0" fontId="43" fillId="0" borderId="54" xfId="0" applyFont="1" applyBorder="1" applyAlignment="1">
      <alignment horizontal="right" vertical="center"/>
    </xf>
    <xf numFmtId="166" fontId="0" fillId="0" borderId="25" xfId="0" applyNumberFormat="1" applyFont="1" applyBorder="1" applyAlignment="1">
      <alignment horizontal="center" vertical="center"/>
    </xf>
    <xf numFmtId="166" fontId="13" fillId="0" borderId="25" xfId="0" applyNumberFormat="1" applyFont="1" applyBorder="1" applyAlignment="1">
      <alignment horizontal="left" vertical="center"/>
    </xf>
    <xf numFmtId="0" fontId="43" fillId="0" borderId="43" xfId="0" applyFont="1" applyBorder="1" applyAlignment="1">
      <alignment horizontal="right" vertical="center"/>
    </xf>
    <xf numFmtId="166" fontId="0" fillId="0" borderId="0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left" vertical="center"/>
    </xf>
    <xf numFmtId="0" fontId="43" fillId="0" borderId="28" xfId="0" applyFont="1" applyBorder="1" applyAlignment="1">
      <alignment horizontal="right" vertical="center"/>
    </xf>
    <xf numFmtId="166" fontId="0" fillId="0" borderId="21" xfId="0" applyNumberFormat="1" applyFont="1" applyBorder="1" applyAlignment="1">
      <alignment horizontal="center" vertical="center"/>
    </xf>
    <xf numFmtId="166" fontId="13" fillId="0" borderId="21" xfId="0" applyNumberFormat="1" applyFont="1" applyBorder="1" applyAlignment="1">
      <alignment horizontal="left" vertical="center"/>
    </xf>
    <xf numFmtId="0" fontId="0" fillId="0" borderId="54" xfId="0" applyBorder="1" applyAlignment="1">
      <alignment vertical="center"/>
    </xf>
    <xf numFmtId="0" fontId="16" fillId="0" borderId="43" xfId="0" applyFont="1" applyBorder="1" applyAlignment="1">
      <alignment vertical="center"/>
    </xf>
    <xf numFmtId="166" fontId="50" fillId="0" borderId="0" xfId="0" applyNumberFormat="1" applyFont="1" applyBorder="1" applyAlignment="1">
      <alignment horizontal="center" vertical="center"/>
    </xf>
    <xf numFmtId="0" fontId="20" fillId="0" borderId="43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28" xfId="0" applyBorder="1" applyAlignment="1">
      <alignment vertical="center"/>
    </xf>
    <xf numFmtId="2" fontId="0" fillId="0" borderId="0" xfId="0" applyNumberFormat="1" applyFont="1" applyBorder="1" applyAlignment="1">
      <alignment horizontal="left" vertical="center"/>
    </xf>
    <xf numFmtId="0" fontId="0" fillId="0" borderId="43" xfId="0" applyBorder="1" applyAlignment="1">
      <alignment vertical="center"/>
    </xf>
    <xf numFmtId="0" fontId="45" fillId="0" borderId="28" xfId="0" applyFont="1" applyBorder="1" applyAlignment="1">
      <alignment horizontal="right" vertical="center"/>
    </xf>
    <xf numFmtId="2" fontId="50" fillId="0" borderId="21" xfId="0" applyNumberFormat="1" applyFont="1" applyFill="1" applyBorder="1" applyAlignment="1">
      <alignment horizontal="center" vertical="center"/>
    </xf>
    <xf numFmtId="2" fontId="0" fillId="0" borderId="21" xfId="0" applyNumberFormat="1" applyFont="1" applyBorder="1" applyAlignment="1">
      <alignment horizontal="left" vertical="center"/>
    </xf>
    <xf numFmtId="0" fontId="110" fillId="0" borderId="43" xfId="0" applyFont="1" applyBorder="1" applyAlignment="1">
      <alignment horizontal="right" vertical="center"/>
    </xf>
    <xf numFmtId="2" fontId="79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right" vertical="center"/>
    </xf>
    <xf numFmtId="0" fontId="45" fillId="0" borderId="25" xfId="0" applyFont="1" applyBorder="1" applyAlignment="1">
      <alignment horizontal="right" vertical="center"/>
    </xf>
    <xf numFmtId="0" fontId="0" fillId="0" borderId="29" xfId="0" applyFont="1" applyBorder="1" applyAlignment="1">
      <alignment vertical="center"/>
    </xf>
    <xf numFmtId="0" fontId="0" fillId="0" borderId="21" xfId="0" applyFont="1" applyBorder="1" applyAlignment="1">
      <alignment horizontal="left" vertical="center"/>
    </xf>
    <xf numFmtId="2" fontId="16" fillId="0" borderId="0" xfId="0" applyNumberFormat="1" applyFont="1" applyFill="1" applyBorder="1" applyAlignment="1">
      <alignment horizontal="center" vertical="center"/>
    </xf>
    <xf numFmtId="0" fontId="20" fillId="0" borderId="25" xfId="0" applyFont="1" applyBorder="1" applyAlignment="1">
      <alignment vertical="center"/>
    </xf>
    <xf numFmtId="0" fontId="20" fillId="0" borderId="29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20" fillId="0" borderId="46" xfId="0" applyFont="1" applyBorder="1" applyAlignment="1">
      <alignment vertical="center"/>
    </xf>
    <xf numFmtId="0" fontId="20" fillId="0" borderId="21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2" fontId="0" fillId="0" borderId="2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10" fillId="0" borderId="28" xfId="0" applyFont="1" applyBorder="1" applyAlignment="1">
      <alignment horizontal="right" vertical="center"/>
    </xf>
    <xf numFmtId="2" fontId="79" fillId="0" borderId="21" xfId="0" applyNumberFormat="1" applyFont="1" applyBorder="1" applyAlignment="1">
      <alignment horizontal="left" vertical="center"/>
    </xf>
    <xf numFmtId="0" fontId="50" fillId="0" borderId="43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0" fillId="0" borderId="46" xfId="0" applyFont="1" applyFill="1" applyBorder="1" applyAlignment="1">
      <alignment horizontal="center" vertical="center"/>
    </xf>
    <xf numFmtId="0" fontId="43" fillId="0" borderId="0" xfId="0" applyFont="1" applyBorder="1" applyAlignment="1">
      <alignment horizontal="right" vertical="center"/>
    </xf>
    <xf numFmtId="0" fontId="43" fillId="0" borderId="25" xfId="0" applyFont="1" applyBorder="1" applyAlignment="1">
      <alignment horizontal="right" vertical="center"/>
    </xf>
    <xf numFmtId="0" fontId="0" fillId="0" borderId="21" xfId="0" applyFill="1" applyBorder="1" applyAlignment="1">
      <alignment vertical="center"/>
    </xf>
    <xf numFmtId="2" fontId="20" fillId="0" borderId="0" xfId="0" applyNumberFormat="1" applyFont="1" applyBorder="1" applyAlignment="1">
      <alignment horizontal="center" vertical="center"/>
    </xf>
    <xf numFmtId="0" fontId="52" fillId="0" borderId="43" xfId="0" applyFont="1" applyBorder="1" applyAlignment="1">
      <alignment vertical="center"/>
    </xf>
    <xf numFmtId="0" fontId="20" fillId="0" borderId="28" xfId="0" applyFont="1" applyBorder="1" applyAlignment="1">
      <alignment vertical="center"/>
    </xf>
    <xf numFmtId="0" fontId="20" fillId="0" borderId="54" xfId="0" applyFont="1" applyBorder="1" applyAlignment="1">
      <alignment vertical="center"/>
    </xf>
    <xf numFmtId="166" fontId="22" fillId="0" borderId="0" xfId="0" applyNumberFormat="1" applyFont="1" applyBorder="1" applyAlignment="1">
      <alignment vertical="center"/>
    </xf>
    <xf numFmtId="166" fontId="40" fillId="0" borderId="0" xfId="0" applyNumberFormat="1" applyFont="1" applyBorder="1" applyAlignment="1">
      <alignment horizontal="center" vertical="center"/>
    </xf>
    <xf numFmtId="0" fontId="61" fillId="0" borderId="0" xfId="0" applyFont="1" applyBorder="1" applyAlignment="1">
      <alignment vertical="center"/>
    </xf>
    <xf numFmtId="166" fontId="22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68" fillId="0" borderId="25" xfId="0" applyFont="1" applyBorder="1" applyAlignment="1">
      <alignment vertical="center"/>
    </xf>
    <xf numFmtId="0" fontId="68" fillId="0" borderId="0" xfId="0" applyFont="1" applyBorder="1" applyAlignment="1">
      <alignment vertical="center"/>
    </xf>
    <xf numFmtId="0" fontId="52" fillId="0" borderId="28" xfId="0" applyFont="1" applyFill="1" applyBorder="1" applyAlignment="1">
      <alignment vertical="center"/>
    </xf>
    <xf numFmtId="2" fontId="20" fillId="0" borderId="21" xfId="0" applyNumberFormat="1" applyFont="1" applyFill="1" applyBorder="1" applyAlignment="1">
      <alignment horizontal="center" vertical="center"/>
    </xf>
    <xf numFmtId="0" fontId="61" fillId="0" borderId="25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166" fontId="16" fillId="0" borderId="0" xfId="0" applyNumberFormat="1" applyFont="1" applyFill="1" applyBorder="1" applyAlignment="1">
      <alignment horizontal="center" vertical="center"/>
    </xf>
    <xf numFmtId="0" fontId="143" fillId="0" borderId="0" xfId="0" applyFont="1" applyAlignment="1">
      <alignment vertical="center"/>
    </xf>
    <xf numFmtId="0" fontId="143" fillId="0" borderId="0" xfId="0" applyFont="1" applyFill="1" applyAlignment="1">
      <alignment vertical="center"/>
    </xf>
    <xf numFmtId="0" fontId="144" fillId="0" borderId="0" xfId="0" applyFont="1" applyAlignment="1">
      <alignment vertical="center"/>
    </xf>
    <xf numFmtId="0" fontId="148" fillId="0" borderId="0" xfId="0" applyFont="1" applyFill="1" applyAlignment="1">
      <alignment vertical="center"/>
    </xf>
    <xf numFmtId="2" fontId="143" fillId="0" borderId="0" xfId="0" applyNumberFormat="1" applyFont="1" applyFill="1" applyAlignment="1">
      <alignment horizontal="center" vertical="center"/>
    </xf>
    <xf numFmtId="0" fontId="148" fillId="0" borderId="0" xfId="0" applyFont="1" applyBorder="1" applyAlignment="1">
      <alignment horizontal="right" vertical="center"/>
    </xf>
    <xf numFmtId="0" fontId="148" fillId="0" borderId="0" xfId="0" applyFont="1" applyFill="1" applyBorder="1" applyAlignment="1">
      <alignment vertical="center"/>
    </xf>
    <xf numFmtId="2" fontId="143" fillId="0" borderId="0" xfId="0" applyNumberFormat="1" applyFont="1" applyFill="1" applyBorder="1" applyAlignment="1">
      <alignment horizontal="center" vertical="center"/>
    </xf>
    <xf numFmtId="2" fontId="144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143" fillId="0" borderId="0" xfId="0" applyFont="1" applyFill="1" applyBorder="1" applyAlignment="1">
      <alignment vertical="center"/>
    </xf>
    <xf numFmtId="0" fontId="162" fillId="0" borderId="0" xfId="1" applyFont="1" applyBorder="1" applyAlignment="1"/>
    <xf numFmtId="0" fontId="0" fillId="0" borderId="0" xfId="0" applyBorder="1"/>
    <xf numFmtId="0" fontId="163" fillId="0" borderId="0" xfId="1" applyFont="1" applyBorder="1" applyAlignment="1">
      <alignment vertical="center"/>
    </xf>
    <xf numFmtId="0" fontId="8" fillId="5" borderId="0" xfId="4" applyFont="1" applyFill="1"/>
    <xf numFmtId="0" fontId="8" fillId="0" borderId="0" xfId="4" applyFont="1" applyFill="1"/>
    <xf numFmtId="0" fontId="164" fillId="6" borderId="0" xfId="4" applyFont="1" applyFill="1"/>
    <xf numFmtId="0" fontId="165" fillId="5" borderId="0" xfId="4" applyFont="1" applyFill="1" applyBorder="1" applyAlignment="1">
      <alignment horizontal="center" vertical="center"/>
    </xf>
    <xf numFmtId="0" fontId="86" fillId="5" borderId="47" xfId="2" applyFont="1" applyFill="1" applyBorder="1" applyAlignment="1">
      <alignment horizontal="center"/>
    </xf>
    <xf numFmtId="0" fontId="166" fillId="5" borderId="47" xfId="4" applyFont="1" applyFill="1" applyBorder="1" applyAlignment="1">
      <alignment horizontal="center"/>
    </xf>
    <xf numFmtId="0" fontId="86" fillId="5" borderId="47" xfId="2" applyFont="1" applyFill="1" applyBorder="1" applyAlignment="1">
      <alignment horizontal="center" vertical="center"/>
    </xf>
    <xf numFmtId="0" fontId="166" fillId="5" borderId="47" xfId="4" applyFont="1" applyFill="1" applyBorder="1" applyAlignment="1">
      <alignment horizontal="center" vertical="center"/>
    </xf>
    <xf numFmtId="0" fontId="167" fillId="5" borderId="47" xfId="4" applyFont="1" applyFill="1" applyBorder="1" applyAlignment="1">
      <alignment horizontal="center" vertical="center" wrapText="1"/>
    </xf>
    <xf numFmtId="0" fontId="8" fillId="5" borderId="47" xfId="4" applyFont="1" applyFill="1" applyBorder="1"/>
    <xf numFmtId="2" fontId="167" fillId="5" borderId="47" xfId="4" applyNumberFormat="1" applyFont="1" applyFill="1" applyBorder="1" applyAlignment="1">
      <alignment horizontal="center" vertical="center" wrapText="1"/>
    </xf>
    <xf numFmtId="0" fontId="34" fillId="6" borderId="47" xfId="4" applyFont="1" applyFill="1" applyBorder="1" applyAlignment="1">
      <alignment horizontal="center" vertical="center"/>
    </xf>
    <xf numFmtId="0" fontId="34" fillId="6" borderId="47" xfId="4" applyFont="1" applyFill="1" applyBorder="1" applyAlignment="1">
      <alignment horizontal="center" vertical="center" shrinkToFit="1"/>
    </xf>
    <xf numFmtId="166" fontId="167" fillId="5" borderId="47" xfId="4" applyNumberFormat="1" applyFont="1" applyFill="1" applyBorder="1" applyAlignment="1">
      <alignment horizontal="center" vertical="center" wrapText="1"/>
    </xf>
    <xf numFmtId="0" fontId="167" fillId="5" borderId="47" xfId="4" applyFont="1" applyFill="1" applyBorder="1" applyAlignment="1">
      <alignment horizontal="center" vertical="center"/>
    </xf>
    <xf numFmtId="2" fontId="167" fillId="5" borderId="47" xfId="4" applyNumberFormat="1" applyFont="1" applyFill="1" applyBorder="1" applyAlignment="1">
      <alignment horizontal="center" vertical="center"/>
    </xf>
    <xf numFmtId="0" fontId="155" fillId="5" borderId="47" xfId="2" applyFont="1" applyFill="1" applyBorder="1" applyAlignment="1">
      <alignment horizontal="center"/>
    </xf>
    <xf numFmtId="166" fontId="166" fillId="5" borderId="47" xfId="4" applyNumberFormat="1" applyFont="1" applyFill="1" applyBorder="1" applyAlignment="1">
      <alignment horizontal="center"/>
    </xf>
    <xf numFmtId="0" fontId="155" fillId="5" borderId="47" xfId="2" applyFont="1" applyFill="1" applyBorder="1" applyAlignment="1">
      <alignment horizontal="center" vertical="center"/>
    </xf>
    <xf numFmtId="0" fontId="174" fillId="5" borderId="47" xfId="4" applyFont="1" applyFill="1" applyBorder="1" applyAlignment="1">
      <alignment horizontal="center" vertical="center" wrapText="1"/>
    </xf>
    <xf numFmtId="0" fontId="167" fillId="5" borderId="55" xfId="4" applyFont="1" applyFill="1" applyBorder="1" applyAlignment="1">
      <alignment horizontal="center" vertical="center" wrapText="1"/>
    </xf>
    <xf numFmtId="2" fontId="166" fillId="5" borderId="47" xfId="4" applyNumberFormat="1" applyFont="1" applyFill="1" applyBorder="1" applyAlignment="1">
      <alignment horizontal="center"/>
    </xf>
    <xf numFmtId="0" fontId="8" fillId="0" borderId="0" xfId="4" applyFont="1"/>
    <xf numFmtId="0" fontId="0" fillId="0" borderId="54" xfId="0" applyBorder="1"/>
    <xf numFmtId="0" fontId="0" fillId="0" borderId="25" xfId="0" applyBorder="1"/>
    <xf numFmtId="0" fontId="0" fillId="0" borderId="29" xfId="0" applyBorder="1"/>
    <xf numFmtId="0" fontId="0" fillId="0" borderId="43" xfId="0" applyBorder="1"/>
    <xf numFmtId="0" fontId="0" fillId="0" borderId="46" xfId="0" applyBorder="1"/>
    <xf numFmtId="0" fontId="0" fillId="0" borderId="28" xfId="0" applyBorder="1"/>
    <xf numFmtId="0" fontId="0" fillId="0" borderId="21" xfId="0" applyBorder="1"/>
    <xf numFmtId="0" fontId="34" fillId="0" borderId="0" xfId="0" applyFont="1" applyFill="1" applyAlignment="1">
      <alignment vertical="center"/>
    </xf>
    <xf numFmtId="0" fontId="34" fillId="0" borderId="0" xfId="0" applyFont="1" applyAlignment="1">
      <alignment horizontal="center" vertical="center"/>
    </xf>
    <xf numFmtId="167" fontId="34" fillId="0" borderId="0" xfId="0" applyNumberFormat="1" applyFont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167" fontId="34" fillId="0" borderId="0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20" fillId="0" borderId="47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4" fontId="0" fillId="0" borderId="47" xfId="0" applyNumberForma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 wrapText="1"/>
    </xf>
    <xf numFmtId="0" fontId="52" fillId="0" borderId="47" xfId="0" applyFont="1" applyFill="1" applyBorder="1" applyAlignment="1">
      <alignment horizontal="center" vertical="center"/>
    </xf>
    <xf numFmtId="0" fontId="21" fillId="0" borderId="47" xfId="0" applyFont="1" applyFill="1" applyBorder="1" applyAlignment="1">
      <alignment horizontal="center" vertical="center"/>
    </xf>
    <xf numFmtId="0" fontId="22" fillId="0" borderId="47" xfId="0" applyFont="1" applyFill="1" applyBorder="1" applyAlignment="1">
      <alignment horizontal="center" vertical="center" wrapText="1"/>
    </xf>
    <xf numFmtId="0" fontId="8" fillId="0" borderId="47" xfId="4" applyFont="1" applyFill="1" applyBorder="1" applyAlignment="1">
      <alignment horizontal="center" vertical="center"/>
    </xf>
    <xf numFmtId="0" fontId="135" fillId="9" borderId="47" xfId="0" applyFont="1" applyFill="1" applyBorder="1" applyAlignment="1">
      <alignment horizontal="center" vertical="center"/>
    </xf>
    <xf numFmtId="0" fontId="179" fillId="9" borderId="47" xfId="4" applyFont="1" applyFill="1" applyBorder="1" applyAlignment="1">
      <alignment horizontal="center" vertical="center"/>
    </xf>
    <xf numFmtId="0" fontId="7" fillId="0" borderId="0" xfId="0" applyFont="1" applyBorder="1"/>
    <xf numFmtId="0" fontId="163" fillId="0" borderId="0" xfId="1" applyFont="1" applyBorder="1" applyAlignment="1">
      <alignment vertical="center" wrapText="1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62" fillId="0" borderId="46" xfId="1" applyFont="1" applyBorder="1" applyAlignment="1">
      <alignment vertical="center" wrapText="1"/>
    </xf>
    <xf numFmtId="0" fontId="7" fillId="0" borderId="54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182" fillId="0" borderId="0" xfId="0" applyFont="1" applyBorder="1" applyAlignment="1">
      <alignment vertical="center"/>
    </xf>
    <xf numFmtId="0" fontId="18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54" xfId="1" applyFont="1" applyBorder="1" applyAlignment="1">
      <alignment horizontal="left" vertical="center"/>
    </xf>
    <xf numFmtId="0" fontId="7" fillId="0" borderId="25" xfId="1" applyFont="1" applyBorder="1" applyAlignment="1">
      <alignment horizontal="center" vertical="center"/>
    </xf>
    <xf numFmtId="0" fontId="7" fillId="0" borderId="25" xfId="1" applyFont="1" applyBorder="1" applyAlignment="1">
      <alignment horizontal="left" vertical="center"/>
    </xf>
    <xf numFmtId="0" fontId="7" fillId="0" borderId="54" xfId="1" applyFont="1" applyBorder="1" applyAlignment="1">
      <alignment vertical="center"/>
    </xf>
    <xf numFmtId="0" fontId="7" fillId="0" borderId="46" xfId="0" applyFont="1" applyBorder="1"/>
    <xf numFmtId="0" fontId="7" fillId="0" borderId="7" xfId="0" applyFont="1" applyBorder="1" applyAlignment="1">
      <alignment vertical="center"/>
    </xf>
    <xf numFmtId="0" fontId="179" fillId="0" borderId="25" xfId="1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62" fillId="0" borderId="7" xfId="0" applyFont="1" applyBorder="1" applyAlignment="1">
      <alignment horizontal="left" vertical="center"/>
    </xf>
    <xf numFmtId="0" fontId="162" fillId="0" borderId="15" xfId="0" applyFont="1" applyBorder="1"/>
    <xf numFmtId="0" fontId="20" fillId="0" borderId="47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/>
    </xf>
    <xf numFmtId="0" fontId="34" fillId="6" borderId="47" xfId="4" applyFont="1" applyFill="1" applyBorder="1" applyAlignment="1">
      <alignment horizontal="center" vertical="center"/>
    </xf>
    <xf numFmtId="0" fontId="6" fillId="9" borderId="47" xfId="4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6" fillId="9" borderId="47" xfId="0" applyFont="1" applyFill="1" applyBorder="1" applyAlignment="1">
      <alignment horizontal="center" vertical="center"/>
    </xf>
    <xf numFmtId="0" fontId="161" fillId="9" borderId="47" xfId="4" applyFont="1" applyFill="1" applyBorder="1" applyAlignment="1">
      <alignment horizontal="center" vertical="center"/>
    </xf>
    <xf numFmtId="0" fontId="143" fillId="0" borderId="0" xfId="0" applyFont="1" applyBorder="1" applyAlignment="1">
      <alignment vertical="center"/>
    </xf>
    <xf numFmtId="2" fontId="34" fillId="6" borderId="47" xfId="4" applyNumberFormat="1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85" fillId="6" borderId="0" xfId="4" applyFont="1" applyFill="1" applyAlignment="1">
      <alignment vertical="center"/>
    </xf>
    <xf numFmtId="2" fontId="176" fillId="6" borderId="47" xfId="4" applyNumberFormat="1" applyFont="1" applyFill="1" applyBorder="1" applyAlignment="1">
      <alignment horizontal="center" vertical="center"/>
    </xf>
    <xf numFmtId="0" fontId="164" fillId="0" borderId="7" xfId="4" applyFont="1" applyFill="1" applyBorder="1" applyAlignment="1">
      <alignment horizontal="center" vertical="center"/>
    </xf>
    <xf numFmtId="0" fontId="164" fillId="0" borderId="7" xfId="4" applyFont="1" applyFill="1" applyBorder="1" applyAlignment="1">
      <alignment horizontal="center" vertical="center" shrinkToFit="1"/>
    </xf>
    <xf numFmtId="0" fontId="188" fillId="0" borderId="7" xfId="4" applyFont="1" applyFill="1" applyBorder="1" applyAlignment="1">
      <alignment horizontal="center" vertical="center"/>
    </xf>
    <xf numFmtId="2" fontId="188" fillId="0" borderId="7" xfId="4" applyNumberFormat="1" applyFont="1" applyFill="1" applyBorder="1" applyAlignment="1">
      <alignment horizontal="center" vertical="center"/>
    </xf>
    <xf numFmtId="0" fontId="79" fillId="6" borderId="0" xfId="0" applyFont="1" applyFill="1" applyBorder="1" applyAlignment="1">
      <alignment vertical="center"/>
    </xf>
    <xf numFmtId="0" fontId="83" fillId="6" borderId="0" xfId="0" applyFont="1" applyFill="1" applyBorder="1" applyAlignment="1">
      <alignment horizontal="left" vertical="center"/>
    </xf>
    <xf numFmtId="0" fontId="84" fillId="6" borderId="0" xfId="0" applyFont="1" applyFill="1" applyBorder="1" applyAlignment="1">
      <alignment vertical="center"/>
    </xf>
    <xf numFmtId="0" fontId="8" fillId="6" borderId="0" xfId="4" applyFont="1" applyFill="1"/>
    <xf numFmtId="0" fontId="52" fillId="0" borderId="7" xfId="0" applyFont="1" applyFill="1" applyBorder="1" applyAlignment="1">
      <alignment horizontal="center" vertical="center"/>
    </xf>
    <xf numFmtId="0" fontId="165" fillId="0" borderId="7" xfId="0" applyFont="1" applyFill="1" applyBorder="1" applyAlignment="1">
      <alignment horizontal="center" vertical="center"/>
    </xf>
    <xf numFmtId="0" fontId="144" fillId="0" borderId="0" xfId="0" applyFont="1" applyFill="1" applyAlignment="1">
      <alignment vertical="center"/>
    </xf>
    <xf numFmtId="2" fontId="34" fillId="0" borderId="0" xfId="0" applyNumberFormat="1" applyFont="1" applyFill="1" applyBorder="1" applyAlignment="1">
      <alignment horizontal="center" vertical="center"/>
    </xf>
    <xf numFmtId="0" fontId="146" fillId="0" borderId="0" xfId="0" applyFont="1" applyFill="1" applyAlignment="1">
      <alignment horizontal="center" vertical="center"/>
    </xf>
    <xf numFmtId="0" fontId="165" fillId="0" borderId="0" xfId="0" applyFont="1" applyFill="1" applyBorder="1" applyAlignment="1">
      <alignment horizontal="center" vertical="center"/>
    </xf>
    <xf numFmtId="0" fontId="190" fillId="0" borderId="0" xfId="0" applyFont="1" applyFill="1" applyBorder="1" applyAlignment="1">
      <alignment horizontal="center" vertical="center"/>
    </xf>
    <xf numFmtId="0" fontId="191" fillId="0" borderId="0" xfId="0" applyFont="1" applyFill="1" applyBorder="1" applyAlignment="1">
      <alignment horizontal="right" vertical="center" wrapText="1"/>
    </xf>
    <xf numFmtId="0" fontId="191" fillId="0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80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143" fillId="6" borderId="0" xfId="0" applyFont="1" applyFill="1" applyBorder="1" applyAlignment="1">
      <alignment vertical="center"/>
    </xf>
    <xf numFmtId="0" fontId="34" fillId="6" borderId="0" xfId="0" applyFont="1" applyFill="1" applyBorder="1" applyAlignment="1">
      <alignment vertical="center"/>
    </xf>
    <xf numFmtId="0" fontId="0" fillId="2" borderId="53" xfId="0" applyFill="1" applyBorder="1" applyAlignment="1">
      <alignment horizontal="center" vertical="center"/>
    </xf>
    <xf numFmtId="0" fontId="189" fillId="6" borderId="53" xfId="0" applyFont="1" applyFill="1" applyBorder="1" applyAlignment="1">
      <alignment horizontal="left" vertical="top"/>
    </xf>
    <xf numFmtId="0" fontId="165" fillId="6" borderId="51" xfId="0" applyFont="1" applyFill="1" applyBorder="1" applyAlignment="1">
      <alignment horizontal="center" vertical="center"/>
    </xf>
    <xf numFmtId="0" fontId="190" fillId="6" borderId="51" xfId="0" applyFont="1" applyFill="1" applyBorder="1" applyAlignment="1">
      <alignment horizontal="center" vertical="center"/>
    </xf>
    <xf numFmtId="0" fontId="191" fillId="6" borderId="51" xfId="0" applyFont="1" applyFill="1" applyBorder="1" applyAlignment="1">
      <alignment horizontal="right" vertical="center" wrapText="1"/>
    </xf>
    <xf numFmtId="0" fontId="191" fillId="6" borderId="51" xfId="0" applyFont="1" applyFill="1" applyBorder="1" applyAlignment="1">
      <alignment horizontal="center" vertical="center"/>
    </xf>
    <xf numFmtId="0" fontId="143" fillId="6" borderId="52" xfId="0" applyFont="1" applyFill="1" applyBorder="1" applyAlignment="1">
      <alignment vertical="center"/>
    </xf>
    <xf numFmtId="0" fontId="0" fillId="6" borderId="60" xfId="0" applyFill="1" applyBorder="1" applyAlignment="1">
      <alignment horizontal="center" vertical="center"/>
    </xf>
    <xf numFmtId="0" fontId="143" fillId="6" borderId="61" xfId="0" applyFont="1" applyFill="1" applyBorder="1" applyAlignment="1">
      <alignment vertical="center"/>
    </xf>
    <xf numFmtId="0" fontId="0" fillId="6" borderId="60" xfId="0" applyFill="1" applyBorder="1" applyAlignment="1">
      <alignment vertical="center"/>
    </xf>
    <xf numFmtId="0" fontId="0" fillId="6" borderId="61" xfId="0" applyFill="1" applyBorder="1" applyAlignment="1">
      <alignment vertical="center"/>
    </xf>
    <xf numFmtId="0" fontId="0" fillId="6" borderId="57" xfId="0" applyFill="1" applyBorder="1" applyAlignment="1">
      <alignment vertical="center"/>
    </xf>
    <xf numFmtId="0" fontId="50" fillId="6" borderId="58" xfId="0" applyFont="1" applyFill="1" applyBorder="1" applyAlignment="1">
      <alignment vertical="center"/>
    </xf>
    <xf numFmtId="0" fontId="27" fillId="6" borderId="58" xfId="0" applyFont="1" applyFill="1" applyBorder="1" applyAlignment="1">
      <alignment vertical="center"/>
    </xf>
    <xf numFmtId="0" fontId="0" fillId="6" borderId="58" xfId="0" applyFill="1" applyBorder="1" applyAlignment="1">
      <alignment vertical="center"/>
    </xf>
    <xf numFmtId="0" fontId="0" fillId="6" borderId="59" xfId="0" applyFill="1" applyBorder="1" applyAlignment="1">
      <alignment vertical="center"/>
    </xf>
    <xf numFmtId="0" fontId="16" fillId="6" borderId="0" xfId="0" applyFont="1" applyFill="1" applyBorder="1" applyAlignment="1">
      <alignment horizontal="center" vertical="center"/>
    </xf>
    <xf numFmtId="0" fontId="143" fillId="6" borderId="51" xfId="0" applyFont="1" applyFill="1" applyBorder="1" applyAlignment="1">
      <alignment vertical="center"/>
    </xf>
    <xf numFmtId="0" fontId="143" fillId="6" borderId="60" xfId="0" applyFont="1" applyFill="1" applyBorder="1" applyAlignment="1">
      <alignment vertical="center"/>
    </xf>
    <xf numFmtId="9" fontId="0" fillId="6" borderId="0" xfId="7" applyFont="1" applyFill="1" applyBorder="1" applyAlignment="1">
      <alignment horizontal="center" vertical="center"/>
    </xf>
    <xf numFmtId="2" fontId="0" fillId="6" borderId="60" xfId="0" applyNumberFormat="1" applyFill="1" applyBorder="1" applyAlignment="1">
      <alignment horizontal="center" vertical="center"/>
    </xf>
    <xf numFmtId="0" fontId="34" fillId="6" borderId="58" xfId="0" applyFont="1" applyFill="1" applyBorder="1" applyAlignment="1">
      <alignment horizontal="center" vertical="center"/>
    </xf>
    <xf numFmtId="167" fontId="34" fillId="6" borderId="58" xfId="0" applyNumberFormat="1" applyFont="1" applyFill="1" applyBorder="1" applyAlignment="1">
      <alignment horizontal="center" vertical="center"/>
    </xf>
    <xf numFmtId="0" fontId="143" fillId="6" borderId="58" xfId="0" applyFont="1" applyFill="1" applyBorder="1" applyAlignment="1">
      <alignment horizontal="center" vertical="center"/>
    </xf>
    <xf numFmtId="0" fontId="143" fillId="6" borderId="58" xfId="0" applyFont="1" applyFill="1" applyBorder="1" applyAlignment="1">
      <alignment vertical="center"/>
    </xf>
    <xf numFmtId="0" fontId="143" fillId="6" borderId="59" xfId="0" applyFont="1" applyFill="1" applyBorder="1" applyAlignment="1">
      <alignment vertical="center"/>
    </xf>
    <xf numFmtId="0" fontId="79" fillId="2" borderId="50" xfId="0" applyFont="1" applyFill="1" applyBorder="1" applyAlignment="1">
      <alignment vertical="center"/>
    </xf>
    <xf numFmtId="0" fontId="79" fillId="2" borderId="48" xfId="0" applyFont="1" applyFill="1" applyBorder="1" applyAlignment="1">
      <alignment vertical="center"/>
    </xf>
    <xf numFmtId="0" fontId="143" fillId="2" borderId="48" xfId="0" applyFont="1" applyFill="1" applyBorder="1" applyAlignment="1">
      <alignment vertical="center"/>
    </xf>
    <xf numFmtId="0" fontId="143" fillId="2" borderId="49" xfId="0" applyFont="1" applyFill="1" applyBorder="1" applyAlignment="1">
      <alignment vertical="center"/>
    </xf>
    <xf numFmtId="0" fontId="83" fillId="2" borderId="48" xfId="0" applyFont="1" applyFill="1" applyBorder="1" applyAlignment="1">
      <alignment horizontal="left" vertical="center"/>
    </xf>
    <xf numFmtId="0" fontId="0" fillId="2" borderId="48" xfId="0" applyFill="1" applyBorder="1" applyAlignment="1">
      <alignment vertical="center"/>
    </xf>
    <xf numFmtId="0" fontId="189" fillId="0" borderId="53" xfId="0" applyFont="1" applyFill="1" applyBorder="1" applyAlignment="1">
      <alignment horizontal="left" vertical="top"/>
    </xf>
    <xf numFmtId="0" fontId="34" fillId="0" borderId="51" xfId="0" applyFont="1" applyFill="1" applyBorder="1" applyAlignment="1">
      <alignment vertical="center"/>
    </xf>
    <xf numFmtId="0" fontId="34" fillId="0" borderId="52" xfId="0" applyFont="1" applyFill="1" applyBorder="1" applyAlignment="1">
      <alignment vertical="center"/>
    </xf>
    <xf numFmtId="0" fontId="34" fillId="0" borderId="60" xfId="0" applyFont="1" applyFill="1" applyBorder="1" applyAlignment="1">
      <alignment vertical="center"/>
    </xf>
    <xf numFmtId="0" fontId="34" fillId="0" borderId="61" xfId="0" applyFont="1" applyFill="1" applyBorder="1" applyAlignment="1">
      <alignment vertical="center"/>
    </xf>
    <xf numFmtId="0" fontId="0" fillId="0" borderId="60" xfId="0" applyFill="1" applyBorder="1" applyAlignment="1">
      <alignment vertical="center"/>
    </xf>
    <xf numFmtId="0" fontId="0" fillId="0" borderId="61" xfId="0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43" fillId="0" borderId="61" xfId="0" applyFont="1" applyFill="1" applyBorder="1" applyAlignment="1">
      <alignment vertical="center"/>
    </xf>
    <xf numFmtId="0" fontId="0" fillId="0" borderId="60" xfId="0" applyBorder="1" applyAlignment="1">
      <alignment vertical="center"/>
    </xf>
    <xf numFmtId="0" fontId="143" fillId="0" borderId="61" xfId="0" applyFont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143" fillId="0" borderId="0" xfId="0" applyFont="1" applyBorder="1" applyAlignment="1">
      <alignment horizontal="left" vertical="center"/>
    </xf>
    <xf numFmtId="0" fontId="14" fillId="0" borderId="60" xfId="0" applyFont="1" applyBorder="1" applyAlignment="1">
      <alignment horizontal="right" vertical="center"/>
    </xf>
    <xf numFmtId="0" fontId="144" fillId="0" borderId="0" xfId="0" applyFont="1" applyBorder="1" applyAlignment="1">
      <alignment vertical="center"/>
    </xf>
    <xf numFmtId="0" fontId="0" fillId="0" borderId="60" xfId="0" applyBorder="1" applyAlignment="1">
      <alignment horizontal="right" vertical="center"/>
    </xf>
    <xf numFmtId="2" fontId="0" fillId="0" borderId="0" xfId="0" applyNumberFormat="1" applyBorder="1" applyAlignment="1">
      <alignment horizontal="left" vertical="center"/>
    </xf>
    <xf numFmtId="0" fontId="145" fillId="0" borderId="0" xfId="0" applyFont="1" applyBorder="1" applyAlignment="1">
      <alignment horizontal="center" vertical="center"/>
    </xf>
    <xf numFmtId="0" fontId="16" fillId="0" borderId="60" xfId="0" applyFont="1" applyBorder="1" applyAlignment="1">
      <alignment horizontal="right" vertical="center"/>
    </xf>
    <xf numFmtId="0" fontId="50" fillId="0" borderId="0" xfId="0" applyFont="1" applyFill="1" applyBorder="1" applyAlignment="1">
      <alignment horizontal="left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14" fillId="0" borderId="6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143" fillId="0" borderId="0" xfId="0" applyFont="1" applyBorder="1" applyAlignment="1">
      <alignment horizontal="center" vertical="center"/>
    </xf>
    <xf numFmtId="0" fontId="92" fillId="2" borderId="0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46" fillId="0" borderId="0" xfId="0" applyFont="1" applyBorder="1" applyAlignment="1">
      <alignment horizontal="center" vertical="center"/>
    </xf>
    <xf numFmtId="0" fontId="143" fillId="0" borderId="61" xfId="0" applyFont="1" applyBorder="1" applyAlignment="1">
      <alignment horizontal="center" vertical="center"/>
    </xf>
    <xf numFmtId="0" fontId="94" fillId="0" borderId="0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/>
    </xf>
    <xf numFmtId="0" fontId="148" fillId="0" borderId="0" xfId="0" applyFont="1" applyBorder="1" applyAlignment="1">
      <alignment horizontal="left" vertical="center"/>
    </xf>
    <xf numFmtId="2" fontId="34" fillId="0" borderId="0" xfId="0" applyNumberFormat="1" applyFont="1" applyBorder="1" applyAlignment="1">
      <alignment horizontal="center" vertical="center" wrapText="1"/>
    </xf>
    <xf numFmtId="2" fontId="143" fillId="0" borderId="61" xfId="0" applyNumberFormat="1" applyFont="1" applyFill="1" applyBorder="1" applyAlignment="1">
      <alignment horizontal="center" vertical="center"/>
    </xf>
    <xf numFmtId="0" fontId="148" fillId="0" borderId="61" xfId="0" applyFont="1" applyFill="1" applyBorder="1" applyAlignment="1">
      <alignment vertical="center"/>
    </xf>
    <xf numFmtId="0" fontId="148" fillId="0" borderId="61" xfId="0" applyFont="1" applyBorder="1" applyAlignment="1">
      <alignment horizontal="left" vertical="center"/>
    </xf>
    <xf numFmtId="0" fontId="88" fillId="2" borderId="0" xfId="0" applyFont="1" applyFill="1" applyBorder="1" applyAlignment="1">
      <alignment vertical="center"/>
    </xf>
    <xf numFmtId="0" fontId="149" fillId="0" borderId="0" xfId="0" applyFont="1" applyBorder="1" applyAlignment="1">
      <alignment vertical="center"/>
    </xf>
    <xf numFmtId="0" fontId="146" fillId="0" borderId="0" xfId="0" applyFont="1" applyBorder="1" applyAlignment="1">
      <alignment vertical="center"/>
    </xf>
    <xf numFmtId="0" fontId="52" fillId="0" borderId="0" xfId="0" applyFont="1" applyBorder="1" applyAlignment="1">
      <alignment horizontal="right" vertical="center"/>
    </xf>
    <xf numFmtId="0" fontId="149" fillId="0" borderId="0" xfId="0" applyFont="1" applyBorder="1" applyAlignment="1">
      <alignment horizontal="center" vertical="center"/>
    </xf>
    <xf numFmtId="0" fontId="146" fillId="0" borderId="61" xfId="0" applyFont="1" applyBorder="1" applyAlignment="1">
      <alignment horizontal="center" vertical="center"/>
    </xf>
    <xf numFmtId="0" fontId="149" fillId="0" borderId="61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54" fillId="0" borderId="0" xfId="0" applyFont="1" applyFill="1" applyBorder="1" applyAlignment="1">
      <alignment horizontal="left" vertical="center"/>
    </xf>
    <xf numFmtId="0" fontId="143" fillId="0" borderId="61" xfId="0" applyFont="1" applyFill="1" applyBorder="1" applyAlignment="1">
      <alignment horizontal="center" vertical="center"/>
    </xf>
    <xf numFmtId="0" fontId="146" fillId="0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vertical="center"/>
    </xf>
    <xf numFmtId="2" fontId="143" fillId="0" borderId="0" xfId="0" applyNumberFormat="1" applyFont="1" applyBorder="1" applyAlignment="1">
      <alignment vertical="center"/>
    </xf>
    <xf numFmtId="0" fontId="155" fillId="0" borderId="0" xfId="0" applyFont="1" applyBorder="1" applyAlignment="1">
      <alignment horizontal="right" vertical="center"/>
    </xf>
    <xf numFmtId="0" fontId="143" fillId="0" borderId="0" xfId="0" applyNumberFormat="1" applyFont="1" applyBorder="1" applyAlignment="1">
      <alignment horizontal="center" vertical="center"/>
    </xf>
    <xf numFmtId="0" fontId="143" fillId="0" borderId="0" xfId="0" applyFont="1" applyFill="1" applyBorder="1" applyAlignment="1">
      <alignment horizontal="center" vertical="center"/>
    </xf>
    <xf numFmtId="0" fontId="156" fillId="0" borderId="0" xfId="0" applyFont="1" applyBorder="1" applyAlignment="1">
      <alignment vertical="center"/>
    </xf>
    <xf numFmtId="168" fontId="0" fillId="0" borderId="0" xfId="0" applyNumberFormat="1" applyBorder="1" applyAlignment="1">
      <alignment horizontal="center" vertical="center"/>
    </xf>
    <xf numFmtId="0" fontId="46" fillId="0" borderId="60" xfId="0" applyFont="1" applyBorder="1" applyAlignment="1">
      <alignment horizontal="center" vertical="center"/>
    </xf>
    <xf numFmtId="0" fontId="35" fillId="0" borderId="60" xfId="0" applyFont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135" fillId="0" borderId="0" xfId="0" applyFont="1" applyBorder="1" applyAlignment="1">
      <alignment horizontal="center" vertical="center"/>
    </xf>
    <xf numFmtId="0" fontId="20" fillId="0" borderId="60" xfId="0" applyFont="1" applyBorder="1" applyAlignment="1">
      <alignment vertical="center"/>
    </xf>
    <xf numFmtId="0" fontId="144" fillId="0" borderId="0" xfId="0" applyFont="1" applyFill="1" applyBorder="1" applyAlignment="1">
      <alignment vertical="center"/>
    </xf>
    <xf numFmtId="2" fontId="144" fillId="0" borderId="0" xfId="0" applyNumberFormat="1" applyFont="1" applyBorder="1" applyAlignment="1">
      <alignment vertical="center"/>
    </xf>
    <xf numFmtId="0" fontId="53" fillId="0" borderId="0" xfId="0" applyFont="1" applyBorder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143" fillId="0" borderId="0" xfId="0" applyFont="1" applyBorder="1" applyAlignment="1">
      <alignment horizontal="right" vertical="center"/>
    </xf>
    <xf numFmtId="0" fontId="52" fillId="0" borderId="0" xfId="0" applyFont="1" applyBorder="1" applyAlignment="1">
      <alignment vertical="center"/>
    </xf>
    <xf numFmtId="0" fontId="36" fillId="0" borderId="60" xfId="0" applyFont="1" applyBorder="1" applyAlignment="1">
      <alignment vertical="center"/>
    </xf>
    <xf numFmtId="0" fontId="20" fillId="0" borderId="60" xfId="0" applyFont="1" applyBorder="1" applyAlignment="1">
      <alignment horizontal="left" vertical="center"/>
    </xf>
    <xf numFmtId="0" fontId="52" fillId="0" borderId="60" xfId="0" applyFont="1" applyBorder="1" applyAlignment="1">
      <alignment vertical="center"/>
    </xf>
    <xf numFmtId="0" fontId="144" fillId="0" borderId="61" xfId="0" applyFont="1" applyBorder="1" applyAlignment="1">
      <alignment vertical="center"/>
    </xf>
    <xf numFmtId="0" fontId="157" fillId="0" borderId="0" xfId="0" applyFont="1" applyBorder="1" applyAlignment="1">
      <alignment vertical="center"/>
    </xf>
    <xf numFmtId="0" fontId="149" fillId="0" borderId="0" xfId="0" applyFont="1" applyBorder="1" applyAlignment="1">
      <alignment horizontal="left" vertical="center"/>
    </xf>
    <xf numFmtId="2" fontId="157" fillId="0" borderId="0" xfId="0" applyNumberFormat="1" applyFont="1" applyBorder="1" applyAlignment="1">
      <alignment vertical="center"/>
    </xf>
    <xf numFmtId="0" fontId="68" fillId="0" borderId="60" xfId="0" applyFont="1" applyBorder="1" applyAlignment="1">
      <alignment vertical="center"/>
    </xf>
    <xf numFmtId="0" fontId="158" fillId="0" borderId="61" xfId="0" applyFont="1" applyBorder="1" applyAlignment="1">
      <alignment horizontal="right" vertical="center"/>
    </xf>
    <xf numFmtId="0" fontId="51" fillId="0" borderId="0" xfId="0" applyFont="1" applyBorder="1" applyAlignment="1">
      <alignment horizontal="right" vertical="center"/>
    </xf>
    <xf numFmtId="0" fontId="35" fillId="0" borderId="0" xfId="0" quotePrefix="1" applyFont="1" applyBorder="1" applyAlignment="1">
      <alignment vertical="center"/>
    </xf>
    <xf numFmtId="0" fontId="35" fillId="0" borderId="0" xfId="0" quotePrefix="1" applyFont="1" applyBorder="1" applyAlignment="1">
      <alignment vertical="center" wrapText="1"/>
    </xf>
    <xf numFmtId="0" fontId="20" fillId="0" borderId="0" xfId="0" quotePrefix="1" applyFont="1" applyBorder="1" applyAlignment="1">
      <alignment vertical="center"/>
    </xf>
    <xf numFmtId="0" fontId="53" fillId="0" borderId="60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48" fillId="0" borderId="0" xfId="0" applyFont="1" applyBorder="1" applyAlignment="1">
      <alignment vertical="center"/>
    </xf>
    <xf numFmtId="0" fontId="148" fillId="0" borderId="61" xfId="0" applyFont="1" applyBorder="1" applyAlignment="1">
      <alignment vertical="center"/>
    </xf>
    <xf numFmtId="0" fontId="74" fillId="0" borderId="60" xfId="0" applyFont="1" applyBorder="1" applyAlignment="1">
      <alignment vertical="center"/>
    </xf>
    <xf numFmtId="167" fontId="144" fillId="0" borderId="0" xfId="0" applyNumberFormat="1" applyFont="1" applyBorder="1" applyAlignment="1">
      <alignment vertical="center"/>
    </xf>
    <xf numFmtId="0" fontId="0" fillId="0" borderId="57" xfId="0" applyBorder="1" applyAlignment="1">
      <alignment vertical="center"/>
    </xf>
    <xf numFmtId="0" fontId="143" fillId="0" borderId="58" xfId="0" applyFont="1" applyBorder="1" applyAlignment="1">
      <alignment vertical="center"/>
    </xf>
    <xf numFmtId="0" fontId="144" fillId="0" borderId="58" xfId="0" applyFont="1" applyBorder="1" applyAlignment="1">
      <alignment vertical="center"/>
    </xf>
    <xf numFmtId="0" fontId="143" fillId="0" borderId="58" xfId="0" applyFont="1" applyFill="1" applyBorder="1" applyAlignment="1">
      <alignment vertical="center"/>
    </xf>
    <xf numFmtId="0" fontId="20" fillId="0" borderId="58" xfId="0" applyFont="1" applyBorder="1" applyAlignment="1">
      <alignment vertical="center"/>
    </xf>
    <xf numFmtId="0" fontId="144" fillId="0" borderId="59" xfId="0" applyFont="1" applyBorder="1" applyAlignment="1">
      <alignment vertical="center"/>
    </xf>
    <xf numFmtId="0" fontId="50" fillId="2" borderId="0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192" fillId="0" borderId="0" xfId="0" applyFont="1" applyFill="1" applyAlignment="1">
      <alignment vertical="center"/>
    </xf>
    <xf numFmtId="168" fontId="50" fillId="0" borderId="36" xfId="0" applyNumberFormat="1" applyFont="1" applyBorder="1" applyAlignment="1">
      <alignment horizontal="center" vertical="center"/>
    </xf>
    <xf numFmtId="0" fontId="148" fillId="0" borderId="0" xfId="0" applyFont="1" applyAlignment="1">
      <alignment horizontal="right" vertical="center"/>
    </xf>
    <xf numFmtId="1" fontId="34" fillId="0" borderId="7" xfId="0" applyNumberFormat="1" applyFont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0" fontId="193" fillId="0" borderId="0" xfId="0" applyFont="1" applyAlignment="1">
      <alignment vertical="center"/>
    </xf>
    <xf numFmtId="0" fontId="143" fillId="0" borderId="0" xfId="0" applyFont="1" applyAlignment="1">
      <alignment horizontal="right" vertical="center"/>
    </xf>
    <xf numFmtId="168" fontId="34" fillId="0" borderId="7" xfId="0" applyNumberFormat="1" applyFont="1" applyBorder="1" applyAlignment="1">
      <alignment horizontal="center" vertical="center"/>
    </xf>
    <xf numFmtId="2" fontId="34" fillId="4" borderId="7" xfId="0" applyNumberFormat="1" applyFont="1" applyFill="1" applyBorder="1" applyAlignment="1">
      <alignment horizontal="center" vertical="center"/>
    </xf>
    <xf numFmtId="49" fontId="193" fillId="0" borderId="0" xfId="0" applyNumberFormat="1" applyFont="1" applyAlignment="1">
      <alignment vertical="center"/>
    </xf>
    <xf numFmtId="49" fontId="194" fillId="0" borderId="0" xfId="0" applyNumberFormat="1" applyFont="1" applyAlignment="1">
      <alignment vertical="center"/>
    </xf>
    <xf numFmtId="49" fontId="194" fillId="0" borderId="0" xfId="0" applyNumberFormat="1" applyFont="1" applyFill="1" applyAlignment="1">
      <alignment vertical="center"/>
    </xf>
    <xf numFmtId="1" fontId="34" fillId="4" borderId="7" xfId="0" applyNumberFormat="1" applyFont="1" applyFill="1" applyBorder="1" applyAlignment="1">
      <alignment horizontal="center" vertical="center"/>
    </xf>
    <xf numFmtId="0" fontId="178" fillId="0" borderId="0" xfId="0" applyFont="1" applyAlignment="1">
      <alignment vertical="center"/>
    </xf>
    <xf numFmtId="0" fontId="8" fillId="10" borderId="0" xfId="4" applyFont="1" applyFill="1"/>
    <xf numFmtId="0" fontId="4" fillId="10" borderId="0" xfId="4" applyFont="1" applyFill="1"/>
    <xf numFmtId="0" fontId="50" fillId="8" borderId="0" xfId="0" applyFont="1" applyFill="1" applyBorder="1" applyAlignment="1">
      <alignment vertical="center"/>
    </xf>
    <xf numFmtId="0" fontId="88" fillId="8" borderId="0" xfId="0" applyFont="1" applyFill="1" applyBorder="1" applyAlignment="1">
      <alignment vertical="center"/>
    </xf>
    <xf numFmtId="0" fontId="177" fillId="0" borderId="0" xfId="0" applyFont="1" applyFill="1" applyBorder="1" applyAlignment="1">
      <alignment horizontal="center" vertical="center"/>
    </xf>
    <xf numFmtId="49" fontId="14" fillId="0" borderId="0" xfId="0" applyNumberFormat="1" applyFont="1" applyBorder="1" applyAlignment="1">
      <alignment horizontal="left" vertical="center"/>
    </xf>
    <xf numFmtId="2" fontId="0" fillId="0" borderId="7" xfId="0" applyNumberFormat="1" applyFill="1" applyBorder="1" applyAlignment="1">
      <alignment vertical="center"/>
    </xf>
    <xf numFmtId="9" fontId="0" fillId="0" borderId="0" xfId="7" applyFont="1" applyFill="1" applyBorder="1" applyAlignment="1">
      <alignment horizontal="center" vertical="center"/>
    </xf>
    <xf numFmtId="168" fontId="0" fillId="0" borderId="0" xfId="0" applyNumberFormat="1" applyFill="1" applyBorder="1" applyAlignment="1">
      <alignment vertical="center"/>
    </xf>
    <xf numFmtId="2" fontId="50" fillId="4" borderId="48" xfId="0" applyNumberFormat="1" applyFont="1" applyFill="1" applyBorder="1" applyAlignment="1">
      <alignment horizontal="center" vertical="center"/>
    </xf>
    <xf numFmtId="2" fontId="50" fillId="0" borderId="48" xfId="0" applyNumberFormat="1" applyFont="1" applyFill="1" applyBorder="1" applyAlignment="1">
      <alignment horizontal="center" vertical="center"/>
    </xf>
    <xf numFmtId="0" fontId="50" fillId="4" borderId="47" xfId="0" applyFont="1" applyFill="1" applyBorder="1" applyAlignment="1">
      <alignment horizontal="center" vertical="center"/>
    </xf>
    <xf numFmtId="0" fontId="50" fillId="0" borderId="47" xfId="0" applyFont="1" applyFill="1" applyBorder="1" applyAlignment="1">
      <alignment vertical="center"/>
    </xf>
    <xf numFmtId="0" fontId="0" fillId="0" borderId="47" xfId="0" applyBorder="1" applyAlignment="1">
      <alignment horizontal="right" vertical="center"/>
    </xf>
    <xf numFmtId="0" fontId="0" fillId="0" borderId="47" xfId="0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0" fillId="0" borderId="47" xfId="0" quotePrefix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2" fontId="0" fillId="0" borderId="47" xfId="0" applyNumberFormat="1" applyBorder="1" applyAlignment="1">
      <alignment horizontal="center" vertical="center"/>
    </xf>
    <xf numFmtId="167" fontId="50" fillId="0" borderId="47" xfId="0" applyNumberFormat="1" applyFont="1" applyBorder="1" applyAlignment="1">
      <alignment horizontal="center" vertical="center"/>
    </xf>
    <xf numFmtId="0" fontId="16" fillId="0" borderId="47" xfId="0" applyFont="1" applyFill="1" applyBorder="1" applyAlignment="1">
      <alignment horizontal="left" vertical="center"/>
    </xf>
    <xf numFmtId="2" fontId="50" fillId="0" borderId="47" xfId="0" applyNumberFormat="1" applyFont="1" applyFill="1" applyBorder="1" applyAlignment="1">
      <alignment horizontal="center" vertical="center"/>
    </xf>
    <xf numFmtId="0" fontId="15" fillId="0" borderId="47" xfId="0" applyFont="1" applyFill="1" applyBorder="1" applyAlignment="1">
      <alignment horizontal="left" vertical="center"/>
    </xf>
    <xf numFmtId="0" fontId="10" fillId="0" borderId="47" xfId="0" applyFont="1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2" fontId="0" fillId="0" borderId="47" xfId="0" applyNumberForma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vertical="center"/>
    </xf>
    <xf numFmtId="1" fontId="34" fillId="0" borderId="47" xfId="0" applyNumberFormat="1" applyFont="1" applyFill="1" applyBorder="1" applyAlignment="1">
      <alignment horizontal="center" vertical="center"/>
    </xf>
    <xf numFmtId="0" fontId="22" fillId="0" borderId="47" xfId="0" applyFont="1" applyFill="1" applyBorder="1" applyAlignment="1">
      <alignment horizontal="right" vertical="center" wrapText="1"/>
    </xf>
    <xf numFmtId="1" fontId="0" fillId="0" borderId="47" xfId="0" applyNumberForma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right" vertical="center" wrapText="1"/>
    </xf>
    <xf numFmtId="0" fontId="0" fillId="0" borderId="47" xfId="0" applyFill="1" applyBorder="1" applyAlignment="1">
      <alignment horizontal="right" vertical="center"/>
    </xf>
    <xf numFmtId="0" fontId="34" fillId="0" borderId="47" xfId="0" applyFont="1" applyFill="1" applyBorder="1" applyAlignment="1">
      <alignment horizontal="right" vertical="center"/>
    </xf>
    <xf numFmtId="1" fontId="34" fillId="5" borderId="47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34" fillId="5" borderId="47" xfId="0" applyFont="1" applyFill="1" applyBorder="1" applyAlignment="1">
      <alignment horizontal="center" vertical="center"/>
    </xf>
    <xf numFmtId="0" fontId="176" fillId="8" borderId="0" xfId="0" applyFont="1" applyFill="1" applyAlignment="1">
      <alignment vertical="center"/>
    </xf>
    <xf numFmtId="0" fontId="181" fillId="6" borderId="0" xfId="0" applyFont="1" applyFill="1" applyBorder="1" applyAlignment="1">
      <alignment horizontal="left" vertical="top"/>
    </xf>
    <xf numFmtId="0" fontId="181" fillId="6" borderId="0" xfId="0" applyFont="1" applyFill="1" applyBorder="1" applyAlignment="1">
      <alignment vertical="center"/>
    </xf>
    <xf numFmtId="0" fontId="197" fillId="2" borderId="48" xfId="0" applyFont="1" applyFill="1" applyBorder="1" applyAlignment="1">
      <alignment vertical="center"/>
    </xf>
    <xf numFmtId="0" fontId="197" fillId="2" borderId="49" xfId="0" applyFont="1" applyFill="1" applyBorder="1" applyAlignment="1">
      <alignment vertical="center"/>
    </xf>
    <xf numFmtId="0" fontId="198" fillId="2" borderId="50" xfId="0" applyFont="1" applyFill="1" applyBorder="1" applyAlignment="1">
      <alignment vertical="center"/>
    </xf>
    <xf numFmtId="1" fontId="199" fillId="2" borderId="48" xfId="0" applyNumberFormat="1" applyFont="1" applyFill="1" applyBorder="1" applyAlignment="1">
      <alignment horizontal="center" vertical="center"/>
    </xf>
    <xf numFmtId="0" fontId="195" fillId="2" borderId="50" xfId="0" applyFont="1" applyFill="1" applyBorder="1" applyAlignment="1">
      <alignment vertical="center"/>
    </xf>
    <xf numFmtId="0" fontId="198" fillId="2" borderId="49" xfId="0" applyFont="1" applyFill="1" applyBorder="1" applyAlignment="1">
      <alignment vertical="center"/>
    </xf>
    <xf numFmtId="0" fontId="198" fillId="2" borderId="50" xfId="0" applyFont="1" applyFill="1" applyBorder="1" applyAlignment="1">
      <alignment horizontal="right" vertical="center"/>
    </xf>
    <xf numFmtId="2" fontId="199" fillId="2" borderId="48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vertical="center"/>
    </xf>
    <xf numFmtId="0" fontId="108" fillId="0" borderId="50" xfId="0" applyFont="1" applyBorder="1" applyAlignment="1">
      <alignment horizontal="right" vertical="center"/>
    </xf>
    <xf numFmtId="2" fontId="100" fillId="0" borderId="50" xfId="0" applyNumberFormat="1" applyFont="1" applyFill="1" applyBorder="1" applyAlignment="1">
      <alignment vertical="center"/>
    </xf>
    <xf numFmtId="2" fontId="105" fillId="0" borderId="50" xfId="0" applyNumberFormat="1" applyFont="1" applyFill="1" applyBorder="1" applyAlignment="1">
      <alignment horizontal="left" vertical="center"/>
    </xf>
    <xf numFmtId="0" fontId="100" fillId="0" borderId="50" xfId="0" applyFont="1" applyBorder="1" applyAlignment="1">
      <alignment vertical="center"/>
    </xf>
    <xf numFmtId="0" fontId="0" fillId="0" borderId="50" xfId="0" applyBorder="1" applyAlignment="1">
      <alignment vertical="center"/>
    </xf>
    <xf numFmtId="0" fontId="97" fillId="0" borderId="50" xfId="0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2" fontId="104" fillId="0" borderId="50" xfId="0" applyNumberFormat="1" applyFont="1" applyFill="1" applyBorder="1" applyAlignment="1">
      <alignment vertical="center"/>
    </xf>
    <xf numFmtId="0" fontId="0" fillId="0" borderId="49" xfId="0" applyFill="1" applyBorder="1" applyAlignment="1">
      <alignment vertical="center"/>
    </xf>
    <xf numFmtId="0" fontId="99" fillId="0" borderId="50" xfId="0" applyFont="1" applyBorder="1" applyAlignment="1">
      <alignment horizontal="left" vertical="center"/>
    </xf>
    <xf numFmtId="0" fontId="105" fillId="0" borderId="50" xfId="0" applyFont="1" applyBorder="1" applyAlignment="1">
      <alignment vertical="center"/>
    </xf>
    <xf numFmtId="0" fontId="177" fillId="0" borderId="0" xfId="0" applyFont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58" xfId="0" applyBorder="1" applyAlignment="1">
      <alignment horizontal="right" vertical="center"/>
    </xf>
    <xf numFmtId="0" fontId="177" fillId="0" borderId="5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2" fontId="0" fillId="6" borderId="47" xfId="0" applyNumberFormat="1" applyFill="1" applyBorder="1" applyAlignment="1">
      <alignment horizontal="center" vertical="center"/>
    </xf>
    <xf numFmtId="0" fontId="201" fillId="6" borderId="53" xfId="0" applyFont="1" applyFill="1" applyBorder="1" applyAlignment="1">
      <alignment vertical="center"/>
    </xf>
    <xf numFmtId="0" fontId="34" fillId="6" borderId="51" xfId="0" applyFont="1" applyFill="1" applyBorder="1" applyAlignment="1">
      <alignment vertical="center"/>
    </xf>
    <xf numFmtId="0" fontId="34" fillId="6" borderId="60" xfId="0" applyFont="1" applyFill="1" applyBorder="1" applyAlignment="1">
      <alignment vertical="center"/>
    </xf>
    <xf numFmtId="0" fontId="14" fillId="6" borderId="61" xfId="0" applyFont="1" applyFill="1" applyBorder="1" applyAlignment="1">
      <alignment horizontal="left" vertical="center"/>
    </xf>
    <xf numFmtId="9" fontId="0" fillId="6" borderId="58" xfId="7" applyFont="1" applyFill="1" applyBorder="1" applyAlignment="1">
      <alignment horizontal="center" vertical="center"/>
    </xf>
    <xf numFmtId="0" fontId="14" fillId="6" borderId="59" xfId="0" applyFont="1" applyFill="1" applyBorder="1" applyAlignment="1">
      <alignment horizontal="left" vertical="center"/>
    </xf>
    <xf numFmtId="2" fontId="50" fillId="6" borderId="0" xfId="0" applyNumberFormat="1" applyFont="1" applyFill="1" applyBorder="1" applyAlignment="1">
      <alignment horizontal="center" vertical="center"/>
    </xf>
    <xf numFmtId="0" fontId="14" fillId="6" borderId="60" xfId="0" applyFont="1" applyFill="1" applyBorder="1" applyAlignment="1">
      <alignment vertical="center"/>
    </xf>
    <xf numFmtId="0" fontId="177" fillId="6" borderId="47" xfId="0" applyFont="1" applyFill="1" applyBorder="1" applyAlignment="1">
      <alignment horizontal="center" vertical="center"/>
    </xf>
    <xf numFmtId="0" fontId="15" fillId="6" borderId="47" xfId="0" applyFont="1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1" fontId="50" fillId="0" borderId="47" xfId="0" applyNumberFormat="1" applyFont="1" applyBorder="1" applyAlignment="1">
      <alignment horizontal="center" vertical="center"/>
    </xf>
    <xf numFmtId="0" fontId="35" fillId="8" borderId="50" xfId="0" applyFont="1" applyFill="1" applyBorder="1" applyAlignment="1">
      <alignment vertical="center" wrapText="1"/>
    </xf>
    <xf numFmtId="0" fontId="50" fillId="2" borderId="0" xfId="0" applyFont="1" applyFill="1" applyBorder="1" applyAlignment="1">
      <alignment horizontal="left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2" fontId="0" fillId="2" borderId="62" xfId="0" applyNumberFormat="1" applyFill="1" applyBorder="1" applyAlignment="1">
      <alignment horizontal="center" vertical="center"/>
    </xf>
    <xf numFmtId="0" fontId="0" fillId="2" borderId="52" xfId="0" applyFill="1" applyBorder="1" applyAlignment="1">
      <alignment vertical="center"/>
    </xf>
    <xf numFmtId="0" fontId="14" fillId="2" borderId="60" xfId="0" applyFont="1" applyFill="1" applyBorder="1" applyAlignment="1">
      <alignment horizontal="right" vertical="center"/>
    </xf>
    <xf numFmtId="0" fontId="0" fillId="2" borderId="61" xfId="0" applyFill="1" applyBorder="1" applyAlignment="1">
      <alignment vertical="center"/>
    </xf>
    <xf numFmtId="0" fontId="50" fillId="2" borderId="60" xfId="0" applyFont="1" applyFill="1" applyBorder="1" applyAlignment="1">
      <alignment horizontal="center" vertical="center"/>
    </xf>
    <xf numFmtId="0" fontId="50" fillId="2" borderId="61" xfId="0" applyFont="1" applyFill="1" applyBorder="1" applyAlignment="1">
      <alignment vertical="center"/>
    </xf>
    <xf numFmtId="0" fontId="14" fillId="2" borderId="57" xfId="0" applyFont="1" applyFill="1" applyBorder="1" applyAlignment="1">
      <alignment horizontal="right" vertical="center"/>
    </xf>
    <xf numFmtId="2" fontId="50" fillId="2" borderId="58" xfId="0" applyNumberFormat="1" applyFont="1" applyFill="1" applyBorder="1" applyAlignment="1">
      <alignment horizontal="center" vertical="center"/>
    </xf>
    <xf numFmtId="0" fontId="50" fillId="2" borderId="59" xfId="0" applyFont="1" applyFill="1" applyBorder="1" applyAlignment="1">
      <alignment vertical="center"/>
    </xf>
    <xf numFmtId="0" fontId="50" fillId="2" borderId="53" xfId="0" applyFont="1" applyFill="1" applyBorder="1" applyAlignment="1">
      <alignment horizontal="center" vertical="center"/>
    </xf>
    <xf numFmtId="2" fontId="50" fillId="2" borderId="51" xfId="0" applyNumberFormat="1" applyFont="1" applyFill="1" applyBorder="1" applyAlignment="1">
      <alignment horizontal="center" vertical="center"/>
    </xf>
    <xf numFmtId="0" fontId="50" fillId="2" borderId="52" xfId="0" applyFont="1" applyFill="1" applyBorder="1" applyAlignment="1">
      <alignment vertical="center"/>
    </xf>
    <xf numFmtId="0" fontId="88" fillId="2" borderId="57" xfId="0" applyFont="1" applyFill="1" applyBorder="1" applyAlignment="1">
      <alignment horizontal="right" vertical="center"/>
    </xf>
    <xf numFmtId="0" fontId="50" fillId="2" borderId="57" xfId="0" applyFont="1" applyFill="1" applyBorder="1" applyAlignment="1">
      <alignment vertical="center"/>
    </xf>
    <xf numFmtId="0" fontId="92" fillId="2" borderId="50" xfId="0" applyFont="1" applyFill="1" applyBorder="1" applyAlignment="1">
      <alignment horizontal="center" vertical="center"/>
    </xf>
    <xf numFmtId="2" fontId="79" fillId="2" borderId="48" xfId="0" applyNumberFormat="1" applyFont="1" applyFill="1" applyBorder="1" applyAlignment="1">
      <alignment horizontal="center" vertical="center"/>
    </xf>
    <xf numFmtId="0" fontId="79" fillId="2" borderId="49" xfId="0" applyFont="1" applyFill="1" applyBorder="1" applyAlignment="1">
      <alignment vertical="center"/>
    </xf>
    <xf numFmtId="2" fontId="50" fillId="2" borderId="48" xfId="0" applyNumberFormat="1" applyFont="1" applyFill="1" applyBorder="1" applyAlignment="1">
      <alignment horizontal="center" vertical="center"/>
    </xf>
    <xf numFmtId="0" fontId="16" fillId="6" borderId="51" xfId="0" applyFont="1" applyFill="1" applyBorder="1" applyAlignment="1">
      <alignment horizontal="right" vertical="center"/>
    </xf>
    <xf numFmtId="49" fontId="14" fillId="6" borderId="51" xfId="0" applyNumberFormat="1" applyFont="1" applyFill="1" applyBorder="1" applyAlignment="1">
      <alignment horizontal="left" vertical="center"/>
    </xf>
    <xf numFmtId="2" fontId="116" fillId="0" borderId="47" xfId="0" applyNumberFormat="1" applyFont="1" applyBorder="1" applyAlignment="1">
      <alignment horizontal="center" vertical="center"/>
    </xf>
    <xf numFmtId="0" fontId="50" fillId="2" borderId="0" xfId="0" applyFont="1" applyFill="1" applyBorder="1" applyAlignment="1">
      <alignment horizontal="right" vertical="center"/>
    </xf>
    <xf numFmtId="0" fontId="0" fillId="0" borderId="47" xfId="0" applyFill="1" applyBorder="1" applyAlignment="1">
      <alignment horizontal="center" vertical="center"/>
    </xf>
    <xf numFmtId="2" fontId="50" fillId="8" borderId="7" xfId="0" applyNumberFormat="1" applyFont="1" applyFill="1" applyBorder="1" applyAlignment="1">
      <alignment horizontal="center" vertical="center"/>
    </xf>
    <xf numFmtId="0" fontId="123" fillId="0" borderId="53" xfId="0" applyFont="1" applyFill="1" applyBorder="1" applyAlignment="1">
      <alignment horizontal="left" vertical="center"/>
    </xf>
    <xf numFmtId="0" fontId="0" fillId="0" borderId="51" xfId="0" applyFill="1" applyBorder="1" applyAlignment="1">
      <alignment vertical="center"/>
    </xf>
    <xf numFmtId="0" fontId="113" fillId="0" borderId="51" xfId="0" applyFont="1" applyFill="1" applyBorder="1" applyAlignment="1">
      <alignment horizontal="left" vertical="center"/>
    </xf>
    <xf numFmtId="0" fontId="0" fillId="0" borderId="52" xfId="0" applyFill="1" applyBorder="1" applyAlignment="1">
      <alignment vertical="center"/>
    </xf>
    <xf numFmtId="0" fontId="35" fillId="0" borderId="57" xfId="0" applyFont="1" applyFill="1" applyBorder="1" applyAlignment="1">
      <alignment horizontal="right" vertical="center"/>
    </xf>
    <xf numFmtId="0" fontId="35" fillId="0" borderId="58" xfId="0" applyFont="1" applyFill="1" applyBorder="1" applyAlignment="1">
      <alignment vertical="center"/>
    </xf>
    <xf numFmtId="0" fontId="100" fillId="0" borderId="58" xfId="0" applyFont="1" applyFill="1" applyBorder="1" applyAlignment="1">
      <alignment vertical="center"/>
    </xf>
    <xf numFmtId="0" fontId="123" fillId="0" borderId="58" xfId="0" applyFont="1" applyFill="1" applyBorder="1" applyAlignment="1">
      <alignment horizontal="right" vertical="center"/>
    </xf>
    <xf numFmtId="0" fontId="116" fillId="0" borderId="47" xfId="0" applyFont="1" applyBorder="1" applyAlignment="1">
      <alignment horizontal="center" vertical="center"/>
    </xf>
    <xf numFmtId="164" fontId="116" fillId="0" borderId="47" xfId="0" applyNumberFormat="1" applyFont="1" applyBorder="1" applyAlignment="1">
      <alignment horizontal="center" vertical="center"/>
    </xf>
    <xf numFmtId="0" fontId="79" fillId="0" borderId="47" xfId="0" applyFont="1" applyBorder="1" applyAlignment="1">
      <alignment horizontal="center" vertical="center"/>
    </xf>
    <xf numFmtId="1" fontId="116" fillId="0" borderId="47" xfId="0" applyNumberFormat="1" applyFont="1" applyBorder="1" applyAlignment="1">
      <alignment horizontal="center" vertical="center"/>
    </xf>
    <xf numFmtId="2" fontId="209" fillId="2" borderId="47" xfId="0" applyNumberFormat="1" applyFont="1" applyFill="1" applyBorder="1" applyAlignment="1">
      <alignment horizontal="center" vertical="center"/>
    </xf>
    <xf numFmtId="2" fontId="209" fillId="2" borderId="0" xfId="0" applyNumberFormat="1" applyFont="1" applyFill="1" applyBorder="1" applyAlignment="1">
      <alignment horizontal="left" vertical="center"/>
    </xf>
    <xf numFmtId="0" fontId="199" fillId="2" borderId="0" xfId="0" applyFont="1" applyFill="1" applyBorder="1" applyAlignment="1">
      <alignment horizontal="center" vertical="center"/>
    </xf>
    <xf numFmtId="0" fontId="198" fillId="2" borderId="0" xfId="0" applyFont="1" applyFill="1" applyBorder="1" applyAlignment="1">
      <alignment vertical="center"/>
    </xf>
    <xf numFmtId="1" fontId="209" fillId="2" borderId="47" xfId="0" applyNumberFormat="1" applyFont="1" applyFill="1" applyBorder="1" applyAlignment="1">
      <alignment horizontal="center" vertical="center"/>
    </xf>
    <xf numFmtId="0" fontId="0" fillId="0" borderId="49" xfId="0" applyFont="1" applyBorder="1" applyAlignment="1">
      <alignment vertical="center"/>
    </xf>
    <xf numFmtId="0" fontId="0" fillId="0" borderId="47" xfId="0" applyFont="1" applyBorder="1" applyAlignment="1">
      <alignment vertical="center"/>
    </xf>
    <xf numFmtId="0" fontId="49" fillId="0" borderId="47" xfId="0" applyFont="1" applyBorder="1" applyAlignment="1">
      <alignment horizontal="right" vertical="center"/>
    </xf>
    <xf numFmtId="0" fontId="49" fillId="0" borderId="48" xfId="0" applyFont="1" applyBorder="1" applyAlignment="1">
      <alignment horizontal="right" vertical="center"/>
    </xf>
    <xf numFmtId="0" fontId="13" fillId="0" borderId="47" xfId="0" applyFont="1" applyBorder="1" applyAlignment="1">
      <alignment horizontal="right" vertical="center" wrapText="1"/>
    </xf>
    <xf numFmtId="0" fontId="0" fillId="0" borderId="53" xfId="0" applyBorder="1" applyAlignment="1">
      <alignment vertical="center"/>
    </xf>
    <xf numFmtId="0" fontId="0" fillId="0" borderId="61" xfId="0" applyBorder="1" applyAlignment="1">
      <alignment horizontal="left" vertical="center"/>
    </xf>
    <xf numFmtId="0" fontId="13" fillId="0" borderId="60" xfId="0" applyFont="1" applyBorder="1" applyAlignment="1">
      <alignment horizontal="left" vertical="center"/>
    </xf>
    <xf numFmtId="0" fontId="45" fillId="0" borderId="60" xfId="0" applyFont="1" applyBorder="1" applyAlignment="1">
      <alignment horizontal="left" vertical="center"/>
    </xf>
    <xf numFmtId="0" fontId="110" fillId="0" borderId="60" xfId="0" applyFont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45" fillId="0" borderId="61" xfId="0" applyFont="1" applyBorder="1" applyAlignment="1">
      <alignment vertical="center" wrapText="1"/>
    </xf>
    <xf numFmtId="0" fontId="15" fillId="0" borderId="60" xfId="0" applyFont="1" applyBorder="1" applyAlignment="1">
      <alignment horizontal="left" vertical="center"/>
    </xf>
    <xf numFmtId="2" fontId="116" fillId="4" borderId="47" xfId="0" applyNumberFormat="1" applyFont="1" applyFill="1" applyBorder="1" applyAlignment="1">
      <alignment horizontal="center" vertical="center"/>
    </xf>
    <xf numFmtId="0" fontId="120" fillId="0" borderId="47" xfId="0" applyFont="1" applyBorder="1" applyAlignment="1">
      <alignment horizontal="right" vertical="center"/>
    </xf>
    <xf numFmtId="0" fontId="50" fillId="0" borderId="47" xfId="0" applyFont="1" applyBorder="1" applyAlignment="1">
      <alignment horizontal="left" vertical="center"/>
    </xf>
    <xf numFmtId="0" fontId="110" fillId="0" borderId="47" xfId="0" applyFont="1" applyBorder="1" applyAlignment="1">
      <alignment horizontal="right" vertical="center"/>
    </xf>
    <xf numFmtId="0" fontId="100" fillId="0" borderId="51" xfId="0" applyFont="1" applyBorder="1" applyAlignment="1">
      <alignment vertical="center"/>
    </xf>
    <xf numFmtId="0" fontId="0" fillId="0" borderId="51" xfId="0" applyBorder="1" applyAlignment="1">
      <alignment horizontal="right" vertical="center"/>
    </xf>
    <xf numFmtId="2" fontId="50" fillId="0" borderId="51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13" fillId="0" borderId="60" xfId="0" quotePrefix="1" applyFont="1" applyBorder="1" applyAlignment="1">
      <alignment horizontal="left" vertical="center"/>
    </xf>
    <xf numFmtId="0" fontId="0" fillId="0" borderId="61" xfId="0" applyFill="1" applyBorder="1" applyAlignment="1">
      <alignment vertical="center"/>
    </xf>
    <xf numFmtId="0" fontId="53" fillId="0" borderId="60" xfId="0" quotePrefix="1" applyFont="1" applyBorder="1" applyAlignment="1">
      <alignment horizontal="left" vertical="center"/>
    </xf>
    <xf numFmtId="0" fontId="0" fillId="0" borderId="58" xfId="0" applyFill="1" applyBorder="1" applyAlignment="1">
      <alignment vertical="center"/>
    </xf>
    <xf numFmtId="0" fontId="0" fillId="0" borderId="59" xfId="0" applyFill="1" applyBorder="1" applyAlignment="1">
      <alignment vertical="center"/>
    </xf>
    <xf numFmtId="2" fontId="116" fillId="0" borderId="47" xfId="0" applyNumberFormat="1" applyFont="1" applyBorder="1" applyAlignment="1">
      <alignment horizontal="left" vertical="center"/>
    </xf>
    <xf numFmtId="0" fontId="35" fillId="0" borderId="48" xfId="0" applyFont="1" applyBorder="1" applyAlignment="1">
      <alignment vertical="center"/>
    </xf>
    <xf numFmtId="0" fontId="124" fillId="0" borderId="49" xfId="0" applyFont="1" applyBorder="1" applyAlignment="1">
      <alignment horizontal="right" vertical="center"/>
    </xf>
    <xf numFmtId="0" fontId="120" fillId="0" borderId="49" xfId="0" applyFont="1" applyBorder="1" applyAlignment="1">
      <alignment horizontal="right" vertical="center"/>
    </xf>
    <xf numFmtId="0" fontId="112" fillId="0" borderId="49" xfId="0" applyFont="1" applyBorder="1" applyAlignment="1">
      <alignment horizontal="right" vertical="center"/>
    </xf>
    <xf numFmtId="0" fontId="20" fillId="0" borderId="51" xfId="0" applyFont="1" applyBorder="1" applyAlignment="1">
      <alignment vertical="center"/>
    </xf>
    <xf numFmtId="0" fontId="27" fillId="0" borderId="58" xfId="0" applyFont="1" applyBorder="1" applyAlignment="1">
      <alignment vertical="center"/>
    </xf>
    <xf numFmtId="0" fontId="123" fillId="0" borderId="58" xfId="0" applyFont="1" applyBorder="1" applyAlignment="1">
      <alignment horizontal="right" vertical="center"/>
    </xf>
    <xf numFmtId="0" fontId="50" fillId="0" borderId="59" xfId="0" applyFont="1" applyBorder="1" applyAlignment="1">
      <alignment horizontal="left" vertical="center"/>
    </xf>
    <xf numFmtId="0" fontId="35" fillId="0" borderId="60" xfId="0" applyFont="1" applyBorder="1" applyAlignment="1">
      <alignment vertical="center"/>
    </xf>
    <xf numFmtId="0" fontId="204" fillId="2" borderId="60" xfId="0" applyFont="1" applyFill="1" applyBorder="1" applyAlignment="1">
      <alignment horizontal="right" vertical="center"/>
    </xf>
    <xf numFmtId="0" fontId="210" fillId="2" borderId="60" xfId="0" applyFont="1" applyFill="1" applyBorder="1" applyAlignment="1">
      <alignment vertical="center"/>
    </xf>
    <xf numFmtId="0" fontId="204" fillId="2" borderId="57" xfId="0" applyFont="1" applyFill="1" applyBorder="1" applyAlignment="1">
      <alignment horizontal="right" vertical="center"/>
    </xf>
    <xf numFmtId="0" fontId="198" fillId="2" borderId="58" xfId="0" applyFont="1" applyFill="1" applyBorder="1" applyAlignment="1">
      <alignment vertical="center"/>
    </xf>
    <xf numFmtId="0" fontId="15" fillId="0" borderId="51" xfId="0" applyFont="1" applyBorder="1" applyAlignment="1">
      <alignment horizontal="left" vertical="center"/>
    </xf>
    <xf numFmtId="0" fontId="128" fillId="0" borderId="58" xfId="0" applyFont="1" applyBorder="1" applyAlignment="1">
      <alignment horizontal="right" vertical="center"/>
    </xf>
    <xf numFmtId="0" fontId="143" fillId="8" borderId="0" xfId="0" applyFont="1" applyFill="1" applyAlignment="1">
      <alignment vertical="center"/>
    </xf>
    <xf numFmtId="0" fontId="13" fillId="6" borderId="0" xfId="0" applyFont="1" applyFill="1" applyBorder="1" applyAlignment="1">
      <alignment horizontal="right" vertical="center"/>
    </xf>
    <xf numFmtId="0" fontId="177" fillId="6" borderId="58" xfId="0" applyFont="1" applyFill="1" applyBorder="1" applyAlignment="1">
      <alignment horizontal="center" vertical="center"/>
    </xf>
    <xf numFmtId="0" fontId="35" fillId="8" borderId="0" xfId="0" applyFont="1" applyFill="1" applyBorder="1" applyAlignment="1">
      <alignment vertical="center"/>
    </xf>
    <xf numFmtId="0" fontId="135" fillId="8" borderId="0" xfId="0" applyFont="1" applyFill="1" applyBorder="1" applyAlignment="1">
      <alignment horizontal="center" vertical="center"/>
    </xf>
    <xf numFmtId="0" fontId="35" fillId="8" borderId="0" xfId="0" applyFont="1" applyFill="1" applyBorder="1" applyAlignment="1">
      <alignment horizontal="left" vertical="center"/>
    </xf>
    <xf numFmtId="0" fontId="201" fillId="6" borderId="60" xfId="0" applyFont="1" applyFill="1" applyBorder="1" applyAlignment="1">
      <alignment vertical="center"/>
    </xf>
    <xf numFmtId="49" fontId="215" fillId="6" borderId="61" xfId="0" applyNumberFormat="1" applyFont="1" applyFill="1" applyBorder="1" applyAlignment="1">
      <alignment vertical="center"/>
    </xf>
    <xf numFmtId="0" fontId="143" fillId="6" borderId="57" xfId="0" applyFont="1" applyFill="1" applyBorder="1" applyAlignment="1">
      <alignment vertical="center"/>
    </xf>
    <xf numFmtId="0" fontId="34" fillId="6" borderId="61" xfId="0" applyFont="1" applyFill="1" applyBorder="1" applyAlignment="1">
      <alignment vertical="center"/>
    </xf>
    <xf numFmtId="0" fontId="34" fillId="6" borderId="57" xfId="0" applyFont="1" applyFill="1" applyBorder="1" applyAlignment="1">
      <alignment vertical="center"/>
    </xf>
    <xf numFmtId="0" fontId="34" fillId="6" borderId="59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43" fillId="0" borderId="0" xfId="0" applyFont="1" applyFill="1" applyAlignment="1">
      <alignment vertical="center"/>
    </xf>
    <xf numFmtId="0" fontId="143" fillId="0" borderId="0" xfId="0" applyFont="1" applyFill="1" applyBorder="1" applyAlignment="1">
      <alignment vertical="center"/>
    </xf>
    <xf numFmtId="0" fontId="110" fillId="8" borderId="43" xfId="0" applyFont="1" applyFill="1" applyBorder="1" applyAlignment="1">
      <alignment horizontal="right" vertical="center"/>
    </xf>
    <xf numFmtId="2" fontId="50" fillId="8" borderId="0" xfId="0" applyNumberFormat="1" applyFont="1" applyFill="1" applyBorder="1" applyAlignment="1">
      <alignment horizontal="center" vertical="center"/>
    </xf>
    <xf numFmtId="2" fontId="79" fillId="8" borderId="0" xfId="0" applyNumberFormat="1" applyFont="1" applyFill="1" applyBorder="1" applyAlignment="1">
      <alignment horizontal="left" vertical="center"/>
    </xf>
    <xf numFmtId="10" fontId="50" fillId="0" borderId="47" xfId="7" applyNumberFormat="1" applyFont="1" applyFill="1" applyBorder="1" applyAlignment="1">
      <alignment horizontal="center" vertical="center"/>
    </xf>
    <xf numFmtId="0" fontId="0" fillId="0" borderId="53" xfId="0" applyFill="1" applyBorder="1" applyAlignment="1">
      <alignment vertical="center"/>
    </xf>
    <xf numFmtId="2" fontId="0" fillId="0" borderId="51" xfId="0" applyNumberFormat="1" applyFill="1" applyBorder="1" applyAlignment="1">
      <alignment horizontal="center" vertical="center"/>
    </xf>
    <xf numFmtId="0" fontId="0" fillId="0" borderId="57" xfId="0" applyFill="1" applyBorder="1" applyAlignment="1">
      <alignment vertical="center"/>
    </xf>
    <xf numFmtId="9" fontId="0" fillId="0" borderId="58" xfId="7" applyFont="1" applyFill="1" applyBorder="1" applyAlignment="1">
      <alignment horizontal="center" vertical="center"/>
    </xf>
    <xf numFmtId="0" fontId="14" fillId="0" borderId="58" xfId="0" applyFont="1" applyBorder="1" applyAlignment="1">
      <alignment horizontal="right" vertical="center"/>
    </xf>
    <xf numFmtId="2" fontId="0" fillId="0" borderId="58" xfId="0" applyNumberFormat="1" applyFill="1" applyBorder="1" applyAlignment="1">
      <alignment horizontal="center" vertical="center"/>
    </xf>
    <xf numFmtId="0" fontId="34" fillId="6" borderId="0" xfId="0" applyFont="1" applyFill="1" applyBorder="1" applyAlignment="1">
      <alignment horizontal="right" vertical="center"/>
    </xf>
    <xf numFmtId="0" fontId="34" fillId="0" borderId="60" xfId="0" applyFont="1" applyFill="1" applyBorder="1" applyAlignment="1">
      <alignment horizontal="right" vertical="center"/>
    </xf>
    <xf numFmtId="0" fontId="136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horizontal="right" vertical="center"/>
    </xf>
    <xf numFmtId="2" fontId="20" fillId="2" borderId="0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110" fillId="8" borderId="43" xfId="0" applyFont="1" applyFill="1" applyBorder="1" applyAlignment="1">
      <alignment horizontal="right" vertical="center"/>
    </xf>
    <xf numFmtId="2" fontId="50" fillId="8" borderId="0" xfId="0" applyNumberFormat="1" applyFont="1" applyFill="1" applyBorder="1" applyAlignment="1">
      <alignment horizontal="center" vertical="center"/>
    </xf>
    <xf numFmtId="2" fontId="79" fillId="8" borderId="0" xfId="0" applyNumberFormat="1" applyFont="1" applyFill="1" applyBorder="1" applyAlignment="1">
      <alignment horizontal="left" vertical="center"/>
    </xf>
    <xf numFmtId="2" fontId="180" fillId="8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2" fontId="50" fillId="0" borderId="48" xfId="0" applyNumberFormat="1" applyFont="1" applyBorder="1" applyAlignment="1">
      <alignment horizontal="center" vertical="center"/>
    </xf>
    <xf numFmtId="1" fontId="50" fillId="0" borderId="48" xfId="0" applyNumberFormat="1" applyFont="1" applyBorder="1" applyAlignment="1">
      <alignment horizontal="center" vertical="center"/>
    </xf>
    <xf numFmtId="0" fontId="143" fillId="0" borderId="0" xfId="0" applyFont="1" applyAlignment="1">
      <alignment vertical="center"/>
    </xf>
    <xf numFmtId="0" fontId="143" fillId="0" borderId="0" xfId="0" applyFont="1" applyFill="1" applyAlignment="1">
      <alignment vertical="center"/>
    </xf>
    <xf numFmtId="0" fontId="143" fillId="0" borderId="0" xfId="0" applyFont="1" applyFill="1" applyBorder="1" applyAlignment="1">
      <alignment vertical="center"/>
    </xf>
    <xf numFmtId="2" fontId="50" fillId="8" borderId="0" xfId="0" applyNumberFormat="1" applyFont="1" applyFill="1" applyBorder="1" applyAlignment="1">
      <alignment horizontal="center" vertical="center"/>
    </xf>
    <xf numFmtId="2" fontId="79" fillId="8" borderId="0" xfId="0" applyNumberFormat="1" applyFont="1" applyFill="1" applyBorder="1" applyAlignment="1">
      <alignment horizontal="left" vertical="center"/>
    </xf>
    <xf numFmtId="0" fontId="51" fillId="8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vertical="center"/>
    </xf>
    <xf numFmtId="2" fontId="136" fillId="6" borderId="47" xfId="0" applyNumberFormat="1" applyFont="1" applyFill="1" applyBorder="1" applyAlignment="1">
      <alignment horizontal="center" vertical="center"/>
    </xf>
    <xf numFmtId="2" fontId="178" fillId="6" borderId="47" xfId="0" applyNumberFormat="1" applyFont="1" applyFill="1" applyBorder="1" applyAlignment="1">
      <alignment horizontal="center" vertical="center"/>
    </xf>
    <xf numFmtId="2" fontId="16" fillId="6" borderId="47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horizontal="right" vertical="center"/>
    </xf>
    <xf numFmtId="9" fontId="160" fillId="6" borderId="0" xfId="7" applyFont="1" applyFill="1" applyBorder="1" applyAlignment="1">
      <alignment horizontal="center" vertical="center"/>
    </xf>
    <xf numFmtId="9" fontId="160" fillId="6" borderId="58" xfId="7" applyFont="1" applyFill="1" applyBorder="1" applyAlignment="1">
      <alignment horizontal="center" vertical="center"/>
    </xf>
    <xf numFmtId="0" fontId="0" fillId="6" borderId="58" xfId="0" applyFont="1" applyFill="1" applyBorder="1" applyAlignment="1">
      <alignment vertical="center"/>
    </xf>
    <xf numFmtId="2" fontId="16" fillId="6" borderId="0" xfId="0" applyNumberFormat="1" applyFont="1" applyFill="1" applyBorder="1" applyAlignment="1">
      <alignment horizontal="center" vertical="center"/>
    </xf>
    <xf numFmtId="2" fontId="0" fillId="6" borderId="0" xfId="0" applyNumberFormat="1" applyFont="1" applyFill="1" applyBorder="1" applyAlignment="1">
      <alignment horizontal="left" vertical="center"/>
    </xf>
    <xf numFmtId="0" fontId="50" fillId="6" borderId="61" xfId="0" applyFont="1" applyFill="1" applyBorder="1" applyAlignment="1">
      <alignment horizontal="center" vertical="center"/>
    </xf>
    <xf numFmtId="0" fontId="20" fillId="6" borderId="61" xfId="0" applyFont="1" applyFill="1" applyBorder="1" applyAlignment="1">
      <alignment vertical="center"/>
    </xf>
    <xf numFmtId="0" fontId="14" fillId="6" borderId="61" xfId="0" applyFont="1" applyFill="1" applyBorder="1" applyAlignment="1">
      <alignment vertical="center"/>
    </xf>
    <xf numFmtId="0" fontId="35" fillId="6" borderId="0" xfId="0" applyFont="1" applyFill="1" applyBorder="1" applyAlignment="1">
      <alignment horizontal="right" vertical="center"/>
    </xf>
    <xf numFmtId="0" fontId="35" fillId="6" borderId="61" xfId="0" applyFont="1" applyFill="1" applyBorder="1" applyAlignment="1">
      <alignment horizontal="left" vertical="center"/>
    </xf>
    <xf numFmtId="0" fontId="50" fillId="6" borderId="51" xfId="0" applyFont="1" applyFill="1" applyBorder="1" applyAlignment="1">
      <alignment horizontal="center" vertical="center"/>
    </xf>
    <xf numFmtId="0" fontId="50" fillId="6" borderId="52" xfId="0" applyFont="1" applyFill="1" applyBorder="1" applyAlignment="1">
      <alignment horizontal="center" vertical="center"/>
    </xf>
    <xf numFmtId="0" fontId="45" fillId="6" borderId="60" xfId="0" applyFont="1" applyFill="1" applyBorder="1" applyAlignment="1">
      <alignment horizontal="right" vertical="center"/>
    </xf>
    <xf numFmtId="49" fontId="219" fillId="6" borderId="61" xfId="0" applyNumberFormat="1" applyFont="1" applyFill="1" applyBorder="1" applyAlignment="1">
      <alignment horizontal="left" vertical="center"/>
    </xf>
    <xf numFmtId="0" fontId="154" fillId="6" borderId="0" xfId="0" applyFont="1" applyFill="1" applyBorder="1" applyAlignment="1">
      <alignment vertical="center"/>
    </xf>
    <xf numFmtId="0" fontId="201" fillId="6" borderId="0" xfId="0" applyFont="1" applyFill="1" applyBorder="1" applyAlignment="1">
      <alignment horizontal="right" vertical="center"/>
    </xf>
    <xf numFmtId="166" fontId="178" fillId="6" borderId="47" xfId="0" applyNumberFormat="1" applyFont="1" applyFill="1" applyBorder="1" applyAlignment="1">
      <alignment horizontal="center" vertical="center"/>
    </xf>
    <xf numFmtId="166" fontId="178" fillId="4" borderId="47" xfId="0" applyNumberFormat="1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vertical="center"/>
    </xf>
    <xf numFmtId="0" fontId="0" fillId="0" borderId="47" xfId="0" applyFont="1" applyFill="1" applyBorder="1" applyAlignment="1">
      <alignment horizontal="center" vertical="center"/>
    </xf>
    <xf numFmtId="168" fontId="50" fillId="0" borderId="47" xfId="0" applyNumberFormat="1" applyFont="1" applyFill="1" applyBorder="1" applyAlignment="1">
      <alignment horizontal="center" vertical="center"/>
    </xf>
    <xf numFmtId="2" fontId="180" fillId="4" borderId="47" xfId="0" applyNumberFormat="1" applyFont="1" applyFill="1" applyBorder="1" applyAlignment="1">
      <alignment horizontal="center" vertical="center"/>
    </xf>
    <xf numFmtId="0" fontId="27" fillId="4" borderId="47" xfId="0" applyFont="1" applyFill="1" applyBorder="1" applyAlignment="1">
      <alignment horizontal="center" vertical="center"/>
    </xf>
    <xf numFmtId="0" fontId="224" fillId="6" borderId="0" xfId="0" applyFont="1" applyFill="1" applyBorder="1" applyAlignment="1">
      <alignment vertical="center"/>
    </xf>
    <xf numFmtId="1" fontId="180" fillId="4" borderId="47" xfId="0" applyNumberFormat="1" applyFont="1" applyFill="1" applyBorder="1" applyAlignment="1">
      <alignment horizontal="center" vertical="center"/>
    </xf>
    <xf numFmtId="0" fontId="164" fillId="6" borderId="47" xfId="4" applyFont="1" applyFill="1" applyBorder="1" applyAlignment="1">
      <alignment horizontal="center" vertical="center"/>
    </xf>
    <xf numFmtId="0" fontId="187" fillId="4" borderId="47" xfId="4" applyFont="1" applyFill="1" applyBorder="1" applyAlignment="1">
      <alignment horizontal="center" vertical="center"/>
    </xf>
    <xf numFmtId="2" fontId="187" fillId="6" borderId="47" xfId="4" applyNumberFormat="1" applyFont="1" applyFill="1" applyBorder="1" applyAlignment="1">
      <alignment horizontal="center" vertical="center"/>
    </xf>
    <xf numFmtId="0" fontId="34" fillId="6" borderId="47" xfId="0" applyFont="1" applyFill="1" applyBorder="1" applyAlignment="1">
      <alignment horizontal="right" vertical="center"/>
    </xf>
    <xf numFmtId="0" fontId="34" fillId="6" borderId="47" xfId="0" applyFont="1" applyFill="1" applyBorder="1" applyAlignment="1">
      <alignment vertical="center"/>
    </xf>
    <xf numFmtId="0" fontId="27" fillId="6" borderId="47" xfId="0" applyFont="1" applyFill="1" applyBorder="1" applyAlignment="1">
      <alignment horizontal="right" vertical="center"/>
    </xf>
    <xf numFmtId="0" fontId="0" fillId="6" borderId="47" xfId="0" applyFill="1" applyBorder="1" applyAlignment="1">
      <alignment vertical="center"/>
    </xf>
    <xf numFmtId="0" fontId="14" fillId="10" borderId="60" xfId="0" applyFont="1" applyFill="1" applyBorder="1" applyAlignment="1">
      <alignment vertical="center"/>
    </xf>
    <xf numFmtId="0" fontId="143" fillId="10" borderId="0" xfId="0" applyFont="1" applyFill="1" applyBorder="1" applyAlignment="1">
      <alignment vertical="center"/>
    </xf>
    <xf numFmtId="0" fontId="201" fillId="10" borderId="0" xfId="0" applyFont="1" applyFill="1" applyBorder="1" applyAlignment="1">
      <alignment horizontal="right" vertical="center"/>
    </xf>
    <xf numFmtId="0" fontId="43" fillId="6" borderId="0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143" fillId="0" borderId="0" xfId="0" applyFont="1" applyAlignment="1">
      <alignment vertical="center"/>
    </xf>
    <xf numFmtId="0" fontId="143" fillId="0" borderId="0" xfId="0" applyFont="1" applyFill="1" applyAlignment="1">
      <alignment vertical="center"/>
    </xf>
    <xf numFmtId="0" fontId="0" fillId="0" borderId="54" xfId="0" applyBorder="1"/>
    <xf numFmtId="0" fontId="0" fillId="0" borderId="25" xfId="0" applyBorder="1"/>
    <xf numFmtId="0" fontId="0" fillId="0" borderId="29" xfId="0" applyBorder="1"/>
    <xf numFmtId="0" fontId="0" fillId="0" borderId="43" xfId="0" applyBorder="1"/>
    <xf numFmtId="0" fontId="0" fillId="0" borderId="0" xfId="0" applyBorder="1"/>
    <xf numFmtId="0" fontId="182" fillId="0" borderId="0" xfId="0" applyFont="1" applyBorder="1" applyAlignment="1">
      <alignment horizontal="center" vertical="center"/>
    </xf>
    <xf numFmtId="0" fontId="0" fillId="0" borderId="46" xfId="0" applyBorder="1"/>
    <xf numFmtId="0" fontId="182" fillId="0" borderId="0" xfId="0" applyFont="1" applyBorder="1" applyAlignment="1">
      <alignment vertical="center"/>
    </xf>
    <xf numFmtId="0" fontId="162" fillId="0" borderId="7" xfId="0" applyFont="1" applyBorder="1" applyAlignment="1">
      <alignment horizontal="left" vertical="center"/>
    </xf>
    <xf numFmtId="0" fontId="162" fillId="0" borderId="15" xfId="0" applyFont="1" applyBorder="1"/>
    <xf numFmtId="0" fontId="0" fillId="0" borderId="28" xfId="0" applyBorder="1"/>
    <xf numFmtId="0" fontId="0" fillId="0" borderId="21" xfId="0" applyBorder="1"/>
    <xf numFmtId="2" fontId="179" fillId="11" borderId="7" xfId="0" applyNumberFormat="1" applyFont="1" applyFill="1" applyBorder="1" applyAlignment="1">
      <alignment horizontal="center" vertical="center"/>
    </xf>
    <xf numFmtId="0" fontId="179" fillId="11" borderId="7" xfId="0" applyFont="1" applyFill="1" applyBorder="1" applyAlignment="1">
      <alignment horizontal="center" vertical="center"/>
    </xf>
    <xf numFmtId="0" fontId="3" fillId="0" borderId="7" xfId="1" applyFont="1" applyBorder="1" applyAlignment="1">
      <alignment vertical="center"/>
    </xf>
    <xf numFmtId="0" fontId="191" fillId="0" borderId="54" xfId="0" applyFont="1" applyBorder="1"/>
    <xf numFmtId="0" fontId="191" fillId="0" borderId="29" xfId="0" applyFont="1" applyBorder="1"/>
    <xf numFmtId="0" fontId="226" fillId="0" borderId="43" xfId="0" applyFont="1" applyBorder="1"/>
    <xf numFmtId="0" fontId="226" fillId="0" borderId="46" xfId="0" applyFont="1" applyBorder="1"/>
    <xf numFmtId="0" fontId="226" fillId="0" borderId="28" xfId="0" applyFont="1" applyBorder="1"/>
    <xf numFmtId="0" fontId="226" fillId="0" borderId="19" xfId="0" applyFont="1" applyBorder="1"/>
    <xf numFmtId="0" fontId="0" fillId="2" borderId="50" xfId="0" applyFill="1" applyBorder="1" applyAlignment="1">
      <alignment horizontal="center" vertical="center"/>
    </xf>
    <xf numFmtId="0" fontId="191" fillId="2" borderId="48" xfId="0" applyFont="1" applyFill="1" applyBorder="1" applyAlignment="1">
      <alignment horizontal="center" vertical="center"/>
    </xf>
    <xf numFmtId="1" fontId="165" fillId="4" borderId="47" xfId="0" applyNumberFormat="1" applyFont="1" applyFill="1" applyBorder="1" applyAlignment="1">
      <alignment horizontal="center" vertical="center"/>
    </xf>
    <xf numFmtId="0" fontId="189" fillId="2" borderId="48" xfId="0" applyFont="1" applyFill="1" applyBorder="1" applyAlignment="1">
      <alignment vertical="center"/>
    </xf>
    <xf numFmtId="0" fontId="225" fillId="0" borderId="7" xfId="0" applyFont="1" applyBorder="1" applyAlignment="1">
      <alignment vertical="center"/>
    </xf>
    <xf numFmtId="2" fontId="228" fillId="11" borderId="7" xfId="0" applyNumberFormat="1" applyFont="1" applyFill="1" applyBorder="1" applyAlignment="1">
      <alignment horizontal="center" vertical="center"/>
    </xf>
    <xf numFmtId="0" fontId="225" fillId="0" borderId="0" xfId="0" applyFont="1" applyBorder="1" applyAlignment="1">
      <alignment vertical="center"/>
    </xf>
    <xf numFmtId="0" fontId="228" fillId="11" borderId="7" xfId="0" applyFont="1" applyFill="1" applyBorder="1" applyAlignment="1">
      <alignment horizontal="center" vertical="center"/>
    </xf>
    <xf numFmtId="0" fontId="225" fillId="0" borderId="7" xfId="0" applyFont="1" applyBorder="1" applyAlignment="1">
      <alignment horizontal="center" vertical="center"/>
    </xf>
    <xf numFmtId="0" fontId="230" fillId="0" borderId="0" xfId="0" applyFont="1" applyBorder="1" applyAlignment="1">
      <alignment vertical="center"/>
    </xf>
    <xf numFmtId="0" fontId="231" fillId="0" borderId="0" xfId="0" applyFont="1" applyBorder="1" applyAlignment="1">
      <alignment vertical="center"/>
    </xf>
    <xf numFmtId="0" fontId="225" fillId="0" borderId="0" xfId="1" applyFont="1" applyBorder="1" applyAlignment="1">
      <alignment horizontal="left" vertical="center"/>
    </xf>
    <xf numFmtId="0" fontId="228" fillId="0" borderId="0" xfId="1" applyFont="1" applyBorder="1" applyAlignment="1">
      <alignment vertical="center"/>
    </xf>
    <xf numFmtId="0" fontId="225" fillId="0" borderId="0" xfId="1" applyFont="1" applyBorder="1" applyAlignment="1">
      <alignment vertical="center"/>
    </xf>
    <xf numFmtId="0" fontId="228" fillId="0" borderId="0" xfId="0" applyFont="1" applyFill="1" applyBorder="1" applyAlignment="1">
      <alignment horizontal="center" vertical="center"/>
    </xf>
    <xf numFmtId="166" fontId="228" fillId="11" borderId="7" xfId="0" applyNumberFormat="1" applyFont="1" applyFill="1" applyBorder="1" applyAlignment="1">
      <alignment horizontal="center" vertical="center"/>
    </xf>
    <xf numFmtId="2" fontId="228" fillId="11" borderId="16" xfId="0" applyNumberFormat="1" applyFont="1" applyFill="1" applyBorder="1" applyAlignment="1">
      <alignment horizontal="center" vertical="center"/>
    </xf>
    <xf numFmtId="0" fontId="176" fillId="0" borderId="0" xfId="0" applyFont="1" applyFill="1" applyAlignment="1">
      <alignment horizontal="center" vertical="center"/>
    </xf>
    <xf numFmtId="0" fontId="176" fillId="0" borderId="0" xfId="0" applyFont="1" applyAlignment="1">
      <alignment vertical="center"/>
    </xf>
    <xf numFmtId="0" fontId="2" fillId="0" borderId="0" xfId="4" applyFont="1" applyFill="1"/>
    <xf numFmtId="0" fontId="185" fillId="0" borderId="0" xfId="4" applyFont="1" applyFill="1"/>
    <xf numFmtId="0" fontId="165" fillId="2" borderId="49" xfId="0" applyFont="1" applyFill="1" applyBorder="1" applyAlignment="1">
      <alignment horizontal="center" vertical="center"/>
    </xf>
    <xf numFmtId="0" fontId="232" fillId="2" borderId="48" xfId="0" applyFont="1" applyFill="1" applyBorder="1" applyAlignment="1">
      <alignment horizontal="center" vertical="center"/>
    </xf>
    <xf numFmtId="0" fontId="233" fillId="2" borderId="49" xfId="0" applyFont="1" applyFill="1" applyBorder="1" applyAlignment="1">
      <alignment vertical="center"/>
    </xf>
    <xf numFmtId="0" fontId="201" fillId="6" borderId="58" xfId="0" applyFont="1" applyFill="1" applyBorder="1" applyAlignment="1">
      <alignment vertical="center"/>
    </xf>
    <xf numFmtId="0" fontId="201" fillId="6" borderId="0" xfId="0" applyFont="1" applyFill="1" applyBorder="1" applyAlignment="1">
      <alignment vertical="center"/>
    </xf>
    <xf numFmtId="0" fontId="191" fillId="2" borderId="50" xfId="0" applyFont="1" applyFill="1" applyBorder="1" applyAlignment="1">
      <alignment horizontal="right" vertical="center" wrapText="1"/>
    </xf>
    <xf numFmtId="0" fontId="232" fillId="2" borderId="50" xfId="0" applyFont="1" applyFill="1" applyBorder="1" applyAlignment="1">
      <alignment horizontal="right" vertical="center" wrapText="1"/>
    </xf>
    <xf numFmtId="14" fontId="165" fillId="2" borderId="47" xfId="0" applyNumberFormat="1" applyFont="1" applyFill="1" applyBorder="1" applyAlignment="1">
      <alignment horizontal="center" vertical="center"/>
    </xf>
    <xf numFmtId="0" fontId="162" fillId="2" borderId="50" xfId="0" applyFont="1" applyFill="1" applyBorder="1" applyAlignment="1">
      <alignment horizontal="left" vertical="center" wrapText="1"/>
    </xf>
    <xf numFmtId="0" fontId="2" fillId="6" borderId="0" xfId="4" applyFont="1" applyFill="1"/>
    <xf numFmtId="0" fontId="0" fillId="6" borderId="53" xfId="0" applyFill="1" applyBorder="1" applyAlignment="1">
      <alignment horizontal="right" vertical="center"/>
    </xf>
    <xf numFmtId="0" fontId="0" fillId="6" borderId="57" xfId="0" applyFill="1" applyBorder="1" applyAlignment="1">
      <alignment horizontal="right" vertical="center"/>
    </xf>
    <xf numFmtId="0" fontId="238" fillId="6" borderId="47" xfId="4" applyFont="1" applyFill="1" applyBorder="1" applyAlignment="1">
      <alignment horizontal="center" vertical="center"/>
    </xf>
    <xf numFmtId="0" fontId="188" fillId="6" borderId="47" xfId="4" applyFont="1" applyFill="1" applyBorder="1" applyAlignment="1">
      <alignment horizontal="center" vertical="center"/>
    </xf>
    <xf numFmtId="2" fontId="188" fillId="6" borderId="47" xfId="4" applyNumberFormat="1" applyFont="1" applyFill="1" applyBorder="1" applyAlignment="1">
      <alignment horizontal="center" vertical="center"/>
    </xf>
    <xf numFmtId="0" fontId="238" fillId="4" borderId="47" xfId="4" applyFont="1" applyFill="1" applyBorder="1" applyAlignment="1">
      <alignment horizontal="center" vertical="center"/>
    </xf>
    <xf numFmtId="0" fontId="188" fillId="4" borderId="47" xfId="4" applyFont="1" applyFill="1" applyBorder="1" applyAlignment="1">
      <alignment horizontal="center" vertical="center"/>
    </xf>
    <xf numFmtId="2" fontId="188" fillId="4" borderId="47" xfId="4" applyNumberFormat="1" applyFont="1" applyFill="1" applyBorder="1" applyAlignment="1">
      <alignment horizontal="center" vertical="center"/>
    </xf>
    <xf numFmtId="0" fontId="181" fillId="6" borderId="47" xfId="0" applyFont="1" applyFill="1" applyBorder="1" applyAlignment="1">
      <alignment horizontal="center" vertical="center"/>
    </xf>
    <xf numFmtId="0" fontId="181" fillId="4" borderId="47" xfId="0" applyFont="1" applyFill="1" applyBorder="1" applyAlignment="1">
      <alignment horizontal="center" vertical="center"/>
    </xf>
    <xf numFmtId="0" fontId="68" fillId="6" borderId="47" xfId="0" applyFont="1" applyFill="1" applyBorder="1" applyAlignment="1">
      <alignment horizontal="center" vertical="center" wrapText="1"/>
    </xf>
    <xf numFmtId="0" fontId="34" fillId="2" borderId="51" xfId="0" applyFont="1" applyFill="1" applyBorder="1" applyAlignment="1">
      <alignment vertical="center"/>
    </xf>
    <xf numFmtId="0" fontId="34" fillId="2" borderId="52" xfId="0" applyFont="1" applyFill="1" applyBorder="1" applyAlignment="1">
      <alignment vertical="center"/>
    </xf>
    <xf numFmtId="0" fontId="34" fillId="4" borderId="60" xfId="0" applyFont="1" applyFill="1" applyBorder="1" applyAlignment="1">
      <alignment vertical="center"/>
    </xf>
    <xf numFmtId="0" fontId="34" fillId="4" borderId="0" xfId="0" applyFont="1" applyFill="1" applyBorder="1" applyAlignment="1">
      <alignment vertical="center"/>
    </xf>
    <xf numFmtId="0" fontId="34" fillId="4" borderId="61" xfId="0" applyFont="1" applyFill="1" applyBorder="1" applyAlignment="1">
      <alignment vertical="center"/>
    </xf>
    <xf numFmtId="0" fontId="136" fillId="2" borderId="53" xfId="0" applyFont="1" applyFill="1" applyBorder="1" applyAlignment="1">
      <alignment vertical="center"/>
    </xf>
    <xf numFmtId="2" fontId="136" fillId="10" borderId="47" xfId="0" applyNumberFormat="1" applyFont="1" applyFill="1" applyBorder="1" applyAlignment="1">
      <alignment horizontal="center" vertical="center"/>
    </xf>
    <xf numFmtId="0" fontId="225" fillId="0" borderId="7" xfId="1" applyFont="1" applyBorder="1" applyAlignment="1">
      <alignment horizontal="center" vertical="center"/>
    </xf>
    <xf numFmtId="0" fontId="225" fillId="0" borderId="0" xfId="1" applyFont="1" applyBorder="1" applyAlignment="1">
      <alignment horizontal="center" vertical="center"/>
    </xf>
    <xf numFmtId="0" fontId="0" fillId="2" borderId="0" xfId="0" applyFill="1"/>
    <xf numFmtId="0" fontId="225" fillId="2" borderId="0" xfId="0" applyFont="1" applyFill="1" applyBorder="1" applyAlignment="1">
      <alignment vertical="center"/>
    </xf>
    <xf numFmtId="0" fontId="225" fillId="2" borderId="0" xfId="0" applyFont="1" applyFill="1" applyBorder="1" applyAlignment="1">
      <alignment horizontal="center" vertical="center"/>
    </xf>
    <xf numFmtId="0" fontId="225" fillId="2" borderId="0" xfId="0" applyFont="1" applyFill="1" applyBorder="1" applyAlignment="1">
      <alignment horizontal="right" vertical="center"/>
    </xf>
    <xf numFmtId="0" fontId="228" fillId="2" borderId="0" xfId="0" applyFont="1" applyFill="1" applyBorder="1" applyAlignment="1">
      <alignment horizontal="center" vertical="center"/>
    </xf>
    <xf numFmtId="0" fontId="225" fillId="2" borderId="0" xfId="0" applyFont="1" applyFill="1" applyBorder="1" applyAlignment="1">
      <alignment horizontal="left" vertical="center"/>
    </xf>
    <xf numFmtId="0" fontId="225" fillId="2" borderId="7" xfId="0" applyFont="1" applyFill="1" applyBorder="1" applyAlignment="1">
      <alignment horizontal="center" vertical="center"/>
    </xf>
    <xf numFmtId="0" fontId="231" fillId="2" borderId="0" xfId="0" applyFont="1" applyFill="1" applyBorder="1" applyAlignment="1">
      <alignment vertical="center"/>
    </xf>
    <xf numFmtId="0" fontId="0" fillId="2" borderId="0" xfId="0" applyFill="1" applyBorder="1"/>
    <xf numFmtId="0" fontId="239" fillId="6" borderId="53" xfId="0" applyFont="1" applyFill="1" applyBorder="1" applyAlignment="1">
      <alignment vertical="center"/>
    </xf>
    <xf numFmtId="0" fontId="144" fillId="6" borderId="52" xfId="0" applyFont="1" applyFill="1" applyBorder="1" applyAlignment="1">
      <alignment vertical="center"/>
    </xf>
    <xf numFmtId="0" fontId="193" fillId="6" borderId="60" xfId="0" applyFont="1" applyFill="1" applyBorder="1" applyAlignment="1">
      <alignment horizontal="center"/>
    </xf>
    <xf numFmtId="0" fontId="193" fillId="6" borderId="61" xfId="0" applyFont="1" applyFill="1" applyBorder="1" applyAlignment="1">
      <alignment horizontal="center"/>
    </xf>
    <xf numFmtId="10" fontId="241" fillId="6" borderId="47" xfId="7" applyNumberFormat="1" applyFont="1" applyFill="1" applyBorder="1" applyAlignment="1">
      <alignment horizontal="center" vertical="center"/>
    </xf>
    <xf numFmtId="166" fontId="165" fillId="4" borderId="47" xfId="0" applyNumberFormat="1" applyFont="1" applyFill="1" applyBorder="1" applyAlignment="1">
      <alignment horizontal="center" vertical="center"/>
    </xf>
    <xf numFmtId="0" fontId="61" fillId="6" borderId="47" xfId="0" applyFont="1" applyFill="1" applyBorder="1" applyAlignment="1">
      <alignment horizontal="center" vertical="center" wrapText="1"/>
    </xf>
    <xf numFmtId="0" fontId="38" fillId="6" borderId="47" xfId="0" applyFont="1" applyFill="1" applyBorder="1" applyAlignment="1">
      <alignment horizontal="center" vertical="center"/>
    </xf>
    <xf numFmtId="0" fontId="68" fillId="6" borderId="47" xfId="0" applyFont="1" applyFill="1" applyBorder="1" applyAlignment="1">
      <alignment horizontal="center" vertical="center"/>
    </xf>
    <xf numFmtId="0" fontId="242" fillId="6" borderId="47" xfId="0" applyFont="1" applyFill="1" applyBorder="1" applyAlignment="1">
      <alignment horizontal="center" vertical="center" wrapText="1"/>
    </xf>
    <xf numFmtId="0" fontId="248" fillId="6" borderId="47" xfId="4" applyFont="1" applyFill="1" applyBorder="1" applyAlignment="1">
      <alignment horizontal="center" vertical="center"/>
    </xf>
    <xf numFmtId="0" fontId="248" fillId="6" borderId="47" xfId="4" applyFont="1" applyFill="1" applyBorder="1" applyAlignment="1">
      <alignment horizontal="center" vertical="center" shrinkToFit="1"/>
    </xf>
    <xf numFmtId="0" fontId="0" fillId="0" borderId="47" xfId="0" applyFill="1" applyBorder="1" applyAlignment="1">
      <alignment horizontal="center" vertical="center"/>
    </xf>
    <xf numFmtId="0" fontId="49" fillId="0" borderId="49" xfId="0" applyFont="1" applyBorder="1" applyAlignment="1">
      <alignment horizontal="right" vertical="center"/>
    </xf>
    <xf numFmtId="0" fontId="13" fillId="0" borderId="47" xfId="0" applyFont="1" applyBorder="1" applyAlignment="1">
      <alignment horizontal="left" vertical="center"/>
    </xf>
    <xf numFmtId="0" fontId="45" fillId="0" borderId="47" xfId="0" applyFont="1" applyBorder="1" applyAlignment="1">
      <alignment horizontal="right" vertical="center"/>
    </xf>
    <xf numFmtId="166" fontId="16" fillId="4" borderId="47" xfId="0" applyNumberFormat="1" applyFont="1" applyFill="1" applyBorder="1" applyAlignment="1">
      <alignment horizontal="center" vertical="center"/>
    </xf>
    <xf numFmtId="0" fontId="159" fillId="0" borderId="0" xfId="0" applyFont="1" applyFill="1" applyBorder="1" applyAlignment="1">
      <alignment vertical="center"/>
    </xf>
    <xf numFmtId="1" fontId="116" fillId="0" borderId="47" xfId="0" applyNumberFormat="1" applyFont="1" applyFill="1" applyBorder="1" applyAlignment="1">
      <alignment horizontal="center" vertical="center"/>
    </xf>
    <xf numFmtId="2" fontId="0" fillId="0" borderId="47" xfId="0" applyNumberFormat="1" applyFont="1" applyBorder="1" applyAlignment="1">
      <alignment horizontal="left" vertical="center"/>
    </xf>
    <xf numFmtId="0" fontId="49" fillId="0" borderId="52" xfId="0" applyFont="1" applyBorder="1" applyAlignment="1">
      <alignment horizontal="right" vertical="center"/>
    </xf>
    <xf numFmtId="1" fontId="116" fillId="4" borderId="56" xfId="0" applyNumberFormat="1" applyFont="1" applyFill="1" applyBorder="1" applyAlignment="1">
      <alignment horizontal="center" vertical="center"/>
    </xf>
    <xf numFmtId="2" fontId="116" fillId="0" borderId="56" xfId="0" applyNumberFormat="1" applyFont="1" applyBorder="1" applyAlignment="1">
      <alignment horizontal="left" vertical="center"/>
    </xf>
    <xf numFmtId="0" fontId="49" fillId="0" borderId="55" xfId="0" applyFont="1" applyBorder="1" applyAlignment="1">
      <alignment horizontal="right" vertical="center"/>
    </xf>
    <xf numFmtId="2" fontId="116" fillId="0" borderId="55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66" fontId="16" fillId="0" borderId="47" xfId="0" applyNumberFormat="1" applyFont="1" applyFill="1" applyBorder="1" applyAlignment="1">
      <alignment horizontal="center" vertical="center"/>
    </xf>
    <xf numFmtId="168" fontId="16" fillId="0" borderId="47" xfId="0" applyNumberFormat="1" applyFont="1" applyFill="1" applyBorder="1" applyAlignment="1">
      <alignment horizontal="center" vertical="center"/>
    </xf>
    <xf numFmtId="0" fontId="35" fillId="0" borderId="47" xfId="0" applyFont="1" applyBorder="1" applyAlignment="1">
      <alignment horizontal="right" vertical="center"/>
    </xf>
    <xf numFmtId="0" fontId="20" fillId="0" borderId="47" xfId="0" applyFont="1" applyBorder="1" applyAlignment="1">
      <alignment horizontal="center" vertical="center"/>
    </xf>
    <xf numFmtId="2" fontId="16" fillId="0" borderId="47" xfId="0" applyNumberFormat="1" applyFont="1" applyFill="1" applyBorder="1" applyAlignment="1">
      <alignment horizontal="center" vertical="center"/>
    </xf>
    <xf numFmtId="0" fontId="13" fillId="0" borderId="55" xfId="0" applyFont="1" applyBorder="1" applyAlignment="1">
      <alignment horizontal="right" vertical="center"/>
    </xf>
    <xf numFmtId="0" fontId="35" fillId="0" borderId="53" xfId="0" applyFont="1" applyBorder="1" applyAlignment="1">
      <alignment horizontal="left" vertical="center"/>
    </xf>
    <xf numFmtId="0" fontId="20" fillId="0" borderId="52" xfId="0" applyFont="1" applyBorder="1" applyAlignment="1">
      <alignment vertical="center"/>
    </xf>
    <xf numFmtId="0" fontId="20" fillId="0" borderId="61" xfId="0" applyFont="1" applyBorder="1" applyAlignment="1">
      <alignment vertical="center"/>
    </xf>
    <xf numFmtId="2" fontId="20" fillId="0" borderId="60" xfId="0" applyNumberFormat="1" applyFont="1" applyBorder="1" applyAlignment="1">
      <alignment vertical="center"/>
    </xf>
    <xf numFmtId="0" fontId="35" fillId="0" borderId="57" xfId="0" applyFont="1" applyBorder="1" applyAlignment="1">
      <alignment horizontal="left" vertical="center"/>
    </xf>
    <xf numFmtId="0" fontId="35" fillId="0" borderId="58" xfId="0" applyFont="1" applyBorder="1" applyAlignment="1">
      <alignment vertical="center"/>
    </xf>
    <xf numFmtId="0" fontId="0" fillId="0" borderId="59" xfId="0" applyBorder="1" applyAlignment="1">
      <alignment vertical="center"/>
    </xf>
    <xf numFmtId="0" fontId="13" fillId="0" borderId="49" xfId="0" applyFont="1" applyBorder="1" applyAlignment="1">
      <alignment horizontal="right" vertical="center"/>
    </xf>
    <xf numFmtId="0" fontId="13" fillId="0" borderId="56" xfId="0" applyFont="1" applyBorder="1" applyAlignment="1">
      <alignment horizontal="right" vertical="center"/>
    </xf>
    <xf numFmtId="1" fontId="16" fillId="0" borderId="47" xfId="0" applyNumberFormat="1" applyFont="1" applyFill="1" applyBorder="1" applyAlignment="1">
      <alignment horizontal="center" vertical="center"/>
    </xf>
    <xf numFmtId="167" fontId="16" fillId="0" borderId="47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2" fontId="193" fillId="0" borderId="0" xfId="0" applyNumberFormat="1" applyFont="1" applyBorder="1" applyAlignment="1">
      <alignment vertical="center"/>
    </xf>
    <xf numFmtId="0" fontId="193" fillId="0" borderId="0" xfId="0" applyFont="1" applyBorder="1" applyAlignment="1">
      <alignment vertical="center"/>
    </xf>
    <xf numFmtId="0" fontId="219" fillId="0" borderId="53" xfId="0" applyFont="1" applyBorder="1" applyAlignment="1">
      <alignment horizontal="left" vertical="center"/>
    </xf>
    <xf numFmtId="0" fontId="34" fillId="0" borderId="51" xfId="0" applyFont="1" applyBorder="1" applyAlignment="1">
      <alignment vertical="center"/>
    </xf>
    <xf numFmtId="0" fontId="34" fillId="0" borderId="52" xfId="0" applyFont="1" applyBorder="1" applyAlignment="1">
      <alignment vertical="center"/>
    </xf>
    <xf numFmtId="0" fontId="34" fillId="0" borderId="60" xfId="0" applyFont="1" applyBorder="1" applyAlignment="1">
      <alignment vertical="center"/>
    </xf>
    <xf numFmtId="0" fontId="34" fillId="0" borderId="61" xfId="0" applyFont="1" applyBorder="1" applyAlignment="1">
      <alignment vertical="center"/>
    </xf>
    <xf numFmtId="2" fontId="193" fillId="0" borderId="60" xfId="0" applyNumberFormat="1" applyFont="1" applyBorder="1" applyAlignment="1">
      <alignment vertical="center"/>
    </xf>
    <xf numFmtId="2" fontId="241" fillId="0" borderId="60" xfId="0" applyNumberFormat="1" applyFont="1" applyBorder="1" applyAlignment="1">
      <alignment vertical="center"/>
    </xf>
    <xf numFmtId="2" fontId="193" fillId="0" borderId="57" xfId="0" applyNumberFormat="1" applyFont="1" applyBorder="1" applyAlignment="1">
      <alignment vertical="center"/>
    </xf>
    <xf numFmtId="0" fontId="34" fillId="0" borderId="58" xfId="0" applyFont="1" applyBorder="1" applyAlignment="1">
      <alignment vertical="center"/>
    </xf>
    <xf numFmtId="0" fontId="34" fillId="0" borderId="58" xfId="0" applyFont="1" applyFill="1" applyBorder="1" applyAlignment="1">
      <alignment vertical="center"/>
    </xf>
    <xf numFmtId="0" fontId="34" fillId="0" borderId="59" xfId="0" applyFont="1" applyBorder="1" applyAlignment="1">
      <alignment vertical="center"/>
    </xf>
    <xf numFmtId="0" fontId="176" fillId="6" borderId="47" xfId="4" applyFont="1" applyFill="1" applyBorder="1" applyAlignment="1">
      <alignment horizontal="center" vertical="center"/>
    </xf>
    <xf numFmtId="0" fontId="35" fillId="12" borderId="0" xfId="0" applyFont="1" applyFill="1" applyBorder="1" applyAlignment="1">
      <alignment horizontal="right" vertical="center"/>
    </xf>
    <xf numFmtId="166" fontId="16" fillId="12" borderId="47" xfId="0" applyNumberFormat="1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vertical="center"/>
    </xf>
    <xf numFmtId="0" fontId="20" fillId="12" borderId="0" xfId="0" applyFont="1" applyFill="1" applyBorder="1" applyAlignment="1">
      <alignment vertical="center"/>
    </xf>
    <xf numFmtId="0" fontId="0" fillId="12" borderId="0" xfId="0" applyFill="1" applyAlignment="1">
      <alignment vertical="center"/>
    </xf>
    <xf numFmtId="0" fontId="144" fillId="12" borderId="0" xfId="0" applyFont="1" applyFill="1" applyBorder="1" applyAlignment="1">
      <alignment vertical="center"/>
    </xf>
    <xf numFmtId="0" fontId="143" fillId="12" borderId="0" xfId="0" applyFont="1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9" fontId="20" fillId="6" borderId="47" xfId="7" applyFont="1" applyFill="1" applyBorder="1" applyAlignment="1">
      <alignment horizontal="center" vertical="center"/>
    </xf>
    <xf numFmtId="0" fontId="181" fillId="6" borderId="49" xfId="0" applyFont="1" applyFill="1" applyBorder="1" applyAlignment="1">
      <alignment horizontal="center" vertical="center"/>
    </xf>
    <xf numFmtId="0" fontId="181" fillId="4" borderId="49" xfId="0" applyFont="1" applyFill="1" applyBorder="1" applyAlignment="1">
      <alignment horizontal="center" vertical="center"/>
    </xf>
    <xf numFmtId="0" fontId="0" fillId="6" borderId="47" xfId="0" applyFill="1" applyBorder="1" applyAlignment="1">
      <alignment horizontal="right" vertical="center"/>
    </xf>
    <xf numFmtId="167" fontId="8" fillId="0" borderId="0" xfId="4" applyNumberFormat="1" applyFont="1" applyFill="1"/>
    <xf numFmtId="167" fontId="164" fillId="6" borderId="0" xfId="4" applyNumberFormat="1" applyFont="1" applyFill="1"/>
    <xf numFmtId="167" fontId="8" fillId="6" borderId="0" xfId="4" applyNumberFormat="1" applyFont="1" applyFill="1"/>
    <xf numFmtId="169" fontId="8" fillId="0" borderId="0" xfId="4" applyNumberFormat="1" applyFont="1" applyFill="1"/>
    <xf numFmtId="169" fontId="164" fillId="6" borderId="0" xfId="4" applyNumberFormat="1" applyFont="1" applyFill="1"/>
    <xf numFmtId="169" fontId="164" fillId="6" borderId="0" xfId="4" applyNumberFormat="1" applyFont="1" applyFill="1" applyAlignment="1">
      <alignment horizontal="center"/>
    </xf>
    <xf numFmtId="169" fontId="8" fillId="6" borderId="0" xfId="4" applyNumberFormat="1" applyFont="1" applyFill="1"/>
    <xf numFmtId="0" fontId="179" fillId="0" borderId="0" xfId="4" applyFont="1" applyFill="1"/>
    <xf numFmtId="0" fontId="255" fillId="6" borderId="0" xfId="4" applyFont="1" applyFill="1"/>
    <xf numFmtId="0" fontId="179" fillId="6" borderId="0" xfId="4" applyFont="1" applyFill="1"/>
    <xf numFmtId="0" fontId="255" fillId="4" borderId="43" xfId="4" applyFont="1" applyFill="1" applyBorder="1" applyAlignment="1">
      <alignment horizontal="center" vertical="center"/>
    </xf>
    <xf numFmtId="0" fontId="255" fillId="4" borderId="46" xfId="4" applyFont="1" applyFill="1" applyBorder="1" applyAlignment="1">
      <alignment horizontal="center" vertical="center"/>
    </xf>
    <xf numFmtId="0" fontId="255" fillId="14" borderId="43" xfId="4" applyFont="1" applyFill="1" applyBorder="1" applyAlignment="1">
      <alignment horizontal="center" vertical="center"/>
    </xf>
    <xf numFmtId="0" fontId="255" fillId="14" borderId="46" xfId="4" applyFont="1" applyFill="1" applyBorder="1" applyAlignment="1">
      <alignment horizontal="center" vertical="center"/>
    </xf>
    <xf numFmtId="0" fontId="255" fillId="15" borderId="43" xfId="4" applyFont="1" applyFill="1" applyBorder="1" applyAlignment="1">
      <alignment horizontal="center" vertical="center"/>
    </xf>
    <xf numFmtId="0" fontId="255" fillId="15" borderId="46" xfId="4" applyFont="1" applyFill="1" applyBorder="1" applyAlignment="1">
      <alignment horizontal="center" vertical="center"/>
    </xf>
    <xf numFmtId="0" fontId="255" fillId="9" borderId="43" xfId="4" applyFont="1" applyFill="1" applyBorder="1" applyAlignment="1">
      <alignment horizontal="center" vertical="center"/>
    </xf>
    <xf numFmtId="0" fontId="255" fillId="9" borderId="46" xfId="4" applyFont="1" applyFill="1" applyBorder="1" applyAlignment="1">
      <alignment horizontal="center" vertical="center"/>
    </xf>
    <xf numFmtId="0" fontId="255" fillId="13" borderId="43" xfId="4" applyFont="1" applyFill="1" applyBorder="1" applyAlignment="1">
      <alignment horizontal="center" vertical="center"/>
    </xf>
    <xf numFmtId="0" fontId="255" fillId="13" borderId="46" xfId="4" applyFont="1" applyFill="1" applyBorder="1" applyAlignment="1">
      <alignment horizontal="center" vertical="center"/>
    </xf>
    <xf numFmtId="0" fontId="255" fillId="16" borderId="43" xfId="4" applyFont="1" applyFill="1" applyBorder="1" applyAlignment="1">
      <alignment horizontal="center" vertical="center"/>
    </xf>
    <xf numFmtId="0" fontId="255" fillId="16" borderId="46" xfId="4" applyFont="1" applyFill="1" applyBorder="1" applyAlignment="1">
      <alignment horizontal="center" vertical="center"/>
    </xf>
    <xf numFmtId="0" fontId="255" fillId="16" borderId="28" xfId="4" applyFont="1" applyFill="1" applyBorder="1" applyAlignment="1">
      <alignment horizontal="center" vertical="center"/>
    </xf>
    <xf numFmtId="0" fontId="255" fillId="16" borderId="19" xfId="4" applyFont="1" applyFill="1" applyBorder="1" applyAlignment="1">
      <alignment horizontal="center" vertical="center"/>
    </xf>
    <xf numFmtId="0" fontId="189" fillId="2" borderId="48" xfId="0" applyFont="1" applyFill="1" applyBorder="1" applyAlignment="1">
      <alignment horizontal="center" vertical="center"/>
    </xf>
    <xf numFmtId="0" fontId="242" fillId="6" borderId="47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37" fillId="4" borderId="48" xfId="0" applyFont="1" applyFill="1" applyBorder="1" applyAlignment="1">
      <alignment horizontal="center" vertical="center"/>
    </xf>
    <xf numFmtId="0" fontId="237" fillId="4" borderId="51" xfId="0" applyFont="1" applyFill="1" applyBorder="1" applyAlignment="1">
      <alignment horizontal="center" vertical="center"/>
    </xf>
    <xf numFmtId="0" fontId="216" fillId="2" borderId="50" xfId="0" applyFont="1" applyFill="1" applyBorder="1" applyAlignment="1">
      <alignment horizontal="center" vertical="center"/>
    </xf>
    <xf numFmtId="0" fontId="216" fillId="2" borderId="48" xfId="0" applyFont="1" applyFill="1" applyBorder="1" applyAlignment="1">
      <alignment horizontal="center" vertical="center"/>
    </xf>
    <xf numFmtId="0" fontId="216" fillId="2" borderId="49" xfId="0" applyFont="1" applyFill="1" applyBorder="1" applyAlignment="1">
      <alignment horizontal="center" vertical="center"/>
    </xf>
    <xf numFmtId="0" fontId="223" fillId="2" borderId="48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36" fillId="4" borderId="50" xfId="0" applyFont="1" applyFill="1" applyBorder="1" applyAlignment="1">
      <alignment horizontal="center" vertical="center"/>
    </xf>
    <xf numFmtId="0" fontId="236" fillId="4" borderId="48" xfId="0" applyFont="1" applyFill="1" applyBorder="1" applyAlignment="1">
      <alignment horizontal="center" vertical="center"/>
    </xf>
    <xf numFmtId="0" fontId="236" fillId="4" borderId="49" xfId="0" applyFont="1" applyFill="1" applyBorder="1" applyAlignment="1">
      <alignment horizontal="center" vertical="center"/>
    </xf>
    <xf numFmtId="14" fontId="236" fillId="4" borderId="48" xfId="0" applyNumberFormat="1" applyFont="1" applyFill="1" applyBorder="1" applyAlignment="1">
      <alignment horizontal="center" vertical="center"/>
    </xf>
    <xf numFmtId="14" fontId="236" fillId="4" borderId="49" xfId="0" applyNumberFormat="1" applyFont="1" applyFill="1" applyBorder="1" applyAlignment="1">
      <alignment horizontal="center" vertical="center"/>
    </xf>
    <xf numFmtId="0" fontId="234" fillId="10" borderId="57" xfId="0" applyFont="1" applyFill="1" applyBorder="1" applyAlignment="1">
      <alignment horizontal="left" vertical="center" wrapText="1"/>
    </xf>
    <xf numFmtId="0" fontId="234" fillId="10" borderId="58" xfId="0" applyFont="1" applyFill="1" applyBorder="1" applyAlignment="1">
      <alignment horizontal="left" vertical="center" wrapText="1"/>
    </xf>
    <xf numFmtId="0" fontId="234" fillId="10" borderId="59" xfId="0" applyFont="1" applyFill="1" applyBorder="1" applyAlignment="1">
      <alignment horizontal="left" vertical="center" wrapText="1"/>
    </xf>
    <xf numFmtId="0" fontId="34" fillId="2" borderId="60" xfId="0" applyFont="1" applyFill="1" applyBorder="1" applyAlignment="1">
      <alignment horizontal="left" vertical="center" wrapText="1"/>
    </xf>
    <xf numFmtId="0" fontId="34" fillId="2" borderId="0" xfId="0" applyFont="1" applyFill="1" applyBorder="1" applyAlignment="1">
      <alignment horizontal="left" vertical="center" wrapText="1"/>
    </xf>
    <xf numFmtId="0" fontId="34" fillId="2" borderId="61" xfId="0" applyFont="1" applyFill="1" applyBorder="1" applyAlignment="1">
      <alignment horizontal="left" vertical="center" wrapText="1"/>
    </xf>
    <xf numFmtId="0" fontId="34" fillId="2" borderId="57" xfId="0" applyFont="1" applyFill="1" applyBorder="1" applyAlignment="1">
      <alignment horizontal="left" vertical="center" wrapText="1"/>
    </xf>
    <xf numFmtId="0" fontId="34" fillId="2" borderId="58" xfId="0" applyFont="1" applyFill="1" applyBorder="1" applyAlignment="1">
      <alignment horizontal="left" vertical="center" wrapText="1"/>
    </xf>
    <xf numFmtId="0" fontId="34" fillId="2" borderId="59" xfId="0" applyFont="1" applyFill="1" applyBorder="1" applyAlignment="1">
      <alignment horizontal="left" vertical="center" wrapText="1"/>
    </xf>
    <xf numFmtId="0" fontId="22" fillId="6" borderId="50" xfId="0" applyFont="1" applyFill="1" applyBorder="1" applyAlignment="1">
      <alignment horizontal="center" vertical="center" wrapText="1"/>
    </xf>
    <xf numFmtId="0" fontId="22" fillId="6" borderId="48" xfId="0" applyFont="1" applyFill="1" applyBorder="1" applyAlignment="1">
      <alignment horizontal="center" vertical="center" wrapText="1"/>
    </xf>
    <xf numFmtId="0" fontId="22" fillId="6" borderId="49" xfId="0" applyFont="1" applyFill="1" applyBorder="1" applyAlignment="1">
      <alignment horizontal="center" vertical="center" wrapText="1"/>
    </xf>
    <xf numFmtId="0" fontId="20" fillId="6" borderId="47" xfId="0" applyFont="1" applyFill="1" applyBorder="1" applyAlignment="1">
      <alignment horizontal="center" vertical="center"/>
    </xf>
    <xf numFmtId="0" fontId="68" fillId="6" borderId="47" xfId="0" applyFont="1" applyFill="1" applyBorder="1" applyAlignment="1">
      <alignment horizontal="center" vertical="center"/>
    </xf>
    <xf numFmtId="0" fontId="234" fillId="6" borderId="47" xfId="0" applyFont="1" applyFill="1" applyBorder="1" applyAlignment="1">
      <alignment horizontal="center" vertical="center" wrapText="1"/>
    </xf>
    <xf numFmtId="2" fontId="35" fillId="8" borderId="50" xfId="0" applyNumberFormat="1" applyFont="1" applyFill="1" applyBorder="1" applyAlignment="1">
      <alignment horizontal="left" vertical="center" wrapText="1"/>
    </xf>
    <xf numFmtId="2" fontId="35" fillId="8" borderId="48" xfId="0" applyNumberFormat="1" applyFont="1" applyFill="1" applyBorder="1" applyAlignment="1">
      <alignment horizontal="left" vertical="center" wrapText="1"/>
    </xf>
    <xf numFmtId="0" fontId="34" fillId="8" borderId="0" xfId="0" applyFont="1" applyFill="1" applyAlignment="1">
      <alignment horizontal="left" vertical="center" wrapText="1"/>
    </xf>
    <xf numFmtId="0" fontId="0" fillId="0" borderId="47" xfId="0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0" fillId="2" borderId="50" xfId="0" applyFont="1" applyFill="1" applyBorder="1" applyAlignment="1">
      <alignment horizontal="left" vertical="center" wrapText="1"/>
    </xf>
    <xf numFmtId="0" fontId="200" fillId="2" borderId="48" xfId="0" applyFont="1" applyFill="1" applyBorder="1" applyAlignment="1">
      <alignment horizontal="left" vertical="center" wrapText="1"/>
    </xf>
    <xf numFmtId="0" fontId="20" fillId="8" borderId="50" xfId="0" applyFont="1" applyFill="1" applyBorder="1" applyAlignment="1">
      <alignment horizontal="left" vertical="center" wrapText="1"/>
    </xf>
    <xf numFmtId="0" fontId="20" fillId="8" borderId="48" xfId="0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0" fontId="50" fillId="3" borderId="15" xfId="0" applyFont="1" applyFill="1" applyBorder="1" applyAlignment="1">
      <alignment horizontal="center" vertical="center"/>
    </xf>
    <xf numFmtId="0" fontId="50" fillId="3" borderId="17" xfId="0" applyFont="1" applyFill="1" applyBorder="1" applyAlignment="1">
      <alignment horizontal="center" vertical="center"/>
    </xf>
    <xf numFmtId="0" fontId="50" fillId="3" borderId="1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9" fillId="0" borderId="50" xfId="0" applyFont="1" applyBorder="1" applyAlignment="1">
      <alignment horizontal="left" vertical="center" wrapText="1"/>
    </xf>
    <xf numFmtId="0" fontId="99" fillId="0" borderId="48" xfId="0" applyFont="1" applyBorder="1" applyAlignment="1">
      <alignment horizontal="left" vertical="center" wrapText="1"/>
    </xf>
    <xf numFmtId="0" fontId="99" fillId="0" borderId="49" xfId="0" applyFont="1" applyBorder="1" applyAlignment="1">
      <alignment horizontal="left" vertical="center" wrapText="1"/>
    </xf>
    <xf numFmtId="0" fontId="97" fillId="0" borderId="47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88" fillId="2" borderId="0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left" vertical="center" wrapText="1"/>
    </xf>
    <xf numFmtId="0" fontId="50" fillId="2" borderId="0" xfId="0" applyFont="1" applyFill="1" applyBorder="1" applyAlignment="1">
      <alignment horizontal="center" vertical="center"/>
    </xf>
    <xf numFmtId="0" fontId="35" fillId="0" borderId="0" xfId="0" quotePrefix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47" xfId="0" applyFont="1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 wrapText="1"/>
    </xf>
    <xf numFmtId="0" fontId="0" fillId="0" borderId="50" xfId="0" applyFont="1" applyFill="1" applyBorder="1" applyAlignment="1">
      <alignment horizontal="left" vertical="center" wrapText="1"/>
    </xf>
    <xf numFmtId="0" fontId="0" fillId="0" borderId="48" xfId="0" applyFont="1" applyFill="1" applyBorder="1" applyAlignment="1">
      <alignment horizontal="left" vertical="center" wrapText="1"/>
    </xf>
    <xf numFmtId="0" fontId="10" fillId="0" borderId="47" xfId="0" applyFont="1" applyBorder="1" applyAlignment="1">
      <alignment horizontal="left" vertical="center"/>
    </xf>
    <xf numFmtId="0" fontId="20" fillId="8" borderId="53" xfId="0" applyFont="1" applyFill="1" applyBorder="1" applyAlignment="1">
      <alignment horizontal="left" vertical="center" wrapText="1"/>
    </xf>
    <xf numFmtId="0" fontId="20" fillId="8" borderId="51" xfId="0" applyFont="1" applyFill="1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1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0" fillId="0" borderId="58" xfId="0" applyBorder="1" applyAlignment="1">
      <alignment horizontal="left" vertical="center" wrapText="1"/>
    </xf>
    <xf numFmtId="0" fontId="0" fillId="0" borderId="59" xfId="0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47" xfId="0" applyFont="1" applyFill="1" applyBorder="1" applyAlignment="1">
      <alignment horizontal="left" vertical="center"/>
    </xf>
    <xf numFmtId="0" fontId="50" fillId="0" borderId="6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horizontal="left" vertical="center"/>
    </xf>
    <xf numFmtId="0" fontId="50" fillId="0" borderId="12" xfId="0" applyFont="1" applyFill="1" applyBorder="1" applyAlignment="1">
      <alignment horizontal="left" vertical="center"/>
    </xf>
    <xf numFmtId="0" fontId="50" fillId="0" borderId="1" xfId="0" applyFont="1" applyFill="1" applyBorder="1" applyAlignment="1">
      <alignment horizontal="left" vertical="center"/>
    </xf>
    <xf numFmtId="0" fontId="0" fillId="0" borderId="47" xfId="0" applyFill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0" fontId="87" fillId="0" borderId="47" xfId="0" applyFont="1" applyFill="1" applyBorder="1" applyAlignment="1">
      <alignment horizontal="left" vertical="center"/>
    </xf>
    <xf numFmtId="0" fontId="255" fillId="6" borderId="54" xfId="4" applyFont="1" applyFill="1" applyBorder="1" applyAlignment="1">
      <alignment horizontal="center"/>
    </xf>
    <xf numFmtId="0" fontId="255" fillId="6" borderId="29" xfId="4" applyFont="1" applyFill="1" applyBorder="1" applyAlignment="1">
      <alignment horizontal="center"/>
    </xf>
    <xf numFmtId="0" fontId="165" fillId="7" borderId="47" xfId="4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165" fillId="7" borderId="50" xfId="4" applyFont="1" applyFill="1" applyBorder="1" applyAlignment="1">
      <alignment horizontal="center" vertical="center"/>
    </xf>
    <xf numFmtId="0" fontId="165" fillId="7" borderId="48" xfId="4" applyFont="1" applyFill="1" applyBorder="1" applyAlignment="1">
      <alignment horizontal="center" vertical="center"/>
    </xf>
    <xf numFmtId="0" fontId="165" fillId="7" borderId="49" xfId="4" applyFont="1" applyFill="1" applyBorder="1" applyAlignment="1">
      <alignment horizontal="center" vertical="center"/>
    </xf>
    <xf numFmtId="0" fontId="0" fillId="7" borderId="47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50" xfId="0" applyNumberFormat="1" applyFont="1" applyFill="1" applyBorder="1" applyAlignment="1">
      <alignment horizontal="center" vertical="center"/>
    </xf>
    <xf numFmtId="0" fontId="20" fillId="0" borderId="49" xfId="0" applyNumberFormat="1" applyFont="1" applyFill="1" applyBorder="1" applyAlignment="1">
      <alignment horizontal="center" vertical="center"/>
    </xf>
    <xf numFmtId="0" fontId="167" fillId="5" borderId="47" xfId="4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48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23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162" fillId="0" borderId="15" xfId="0" applyFont="1" applyBorder="1" applyAlignment="1">
      <alignment horizontal="center"/>
    </xf>
    <xf numFmtId="0" fontId="162" fillId="0" borderId="16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179" fillId="11" borderId="15" xfId="0" applyFont="1" applyFill="1" applyBorder="1" applyAlignment="1">
      <alignment horizontal="center" vertical="center"/>
    </xf>
    <xf numFmtId="0" fontId="179" fillId="11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63" fillId="0" borderId="54" xfId="1" applyFont="1" applyBorder="1" applyAlignment="1">
      <alignment horizontal="center" vertical="center" wrapText="1"/>
    </xf>
    <xf numFmtId="0" fontId="163" fillId="0" borderId="25" xfId="1" applyFont="1" applyBorder="1" applyAlignment="1">
      <alignment horizontal="center" vertical="center" wrapText="1"/>
    </xf>
    <xf numFmtId="0" fontId="163" fillId="0" borderId="29" xfId="1" applyFont="1" applyBorder="1" applyAlignment="1">
      <alignment horizontal="center" vertical="center" wrapText="1"/>
    </xf>
    <xf numFmtId="0" fontId="163" fillId="0" borderId="43" xfId="1" applyFont="1" applyBorder="1" applyAlignment="1">
      <alignment horizontal="center" vertical="center" wrapText="1"/>
    </xf>
    <xf numFmtId="0" fontId="163" fillId="0" borderId="0" xfId="1" applyFont="1" applyBorder="1" applyAlignment="1">
      <alignment horizontal="center" vertical="center" wrapText="1"/>
    </xf>
    <xf numFmtId="0" fontId="163" fillId="0" borderId="46" xfId="1" applyFont="1" applyBorder="1" applyAlignment="1">
      <alignment horizontal="center" vertical="center" wrapText="1"/>
    </xf>
    <xf numFmtId="0" fontId="162" fillId="0" borderId="4" xfId="0" applyFont="1" applyFill="1" applyBorder="1" applyAlignment="1">
      <alignment horizontal="center" vertical="center"/>
    </xf>
    <xf numFmtId="0" fontId="162" fillId="0" borderId="13" xfId="0" applyFont="1" applyFill="1" applyBorder="1" applyAlignment="1">
      <alignment horizontal="center" vertical="center"/>
    </xf>
    <xf numFmtId="14" fontId="162" fillId="0" borderId="54" xfId="0" applyNumberFormat="1" applyFont="1" applyBorder="1" applyAlignment="1">
      <alignment horizontal="center" vertical="center"/>
    </xf>
    <xf numFmtId="14" fontId="162" fillId="0" borderId="25" xfId="0" applyNumberFormat="1" applyFont="1" applyBorder="1" applyAlignment="1">
      <alignment horizontal="center" vertical="center"/>
    </xf>
    <xf numFmtId="14" fontId="162" fillId="0" borderId="29" xfId="0" applyNumberFormat="1" applyFont="1" applyBorder="1" applyAlignment="1">
      <alignment horizontal="center" vertical="center"/>
    </xf>
    <xf numFmtId="14" fontId="162" fillId="0" borderId="28" xfId="0" applyNumberFormat="1" applyFont="1" applyBorder="1" applyAlignment="1">
      <alignment horizontal="center" vertical="center"/>
    </xf>
    <xf numFmtId="14" fontId="162" fillId="0" borderId="21" xfId="0" applyNumberFormat="1" applyFont="1" applyBorder="1" applyAlignment="1">
      <alignment horizontal="center" vertical="center"/>
    </xf>
    <xf numFmtId="14" fontId="162" fillId="0" borderId="19" xfId="0" applyNumberFormat="1" applyFont="1" applyBorder="1" applyAlignment="1">
      <alignment horizontal="center" vertical="center"/>
    </xf>
    <xf numFmtId="0" fontId="162" fillId="0" borderId="7" xfId="1" applyFont="1" applyBorder="1" applyAlignment="1">
      <alignment horizontal="center" vertical="center" wrapText="1"/>
    </xf>
    <xf numFmtId="0" fontId="179" fillId="0" borderId="43" xfId="0" applyFont="1" applyBorder="1" applyAlignment="1">
      <alignment horizontal="center" vertical="center" wrapText="1"/>
    </xf>
    <xf numFmtId="0" fontId="179" fillId="0" borderId="0" xfId="0" applyFont="1" applyBorder="1" applyAlignment="1">
      <alignment horizontal="center" vertical="center" wrapText="1"/>
    </xf>
    <xf numFmtId="0" fontId="179" fillId="0" borderId="46" xfId="0" applyFont="1" applyBorder="1" applyAlignment="1">
      <alignment horizontal="center" vertical="center" wrapText="1"/>
    </xf>
    <xf numFmtId="0" fontId="191" fillId="0" borderId="43" xfId="0" applyFont="1" applyBorder="1" applyAlignment="1">
      <alignment horizontal="center" vertical="center"/>
    </xf>
    <xf numFmtId="0" fontId="191" fillId="0" borderId="0" xfId="0" applyFont="1" applyBorder="1" applyAlignment="1">
      <alignment horizontal="center" vertical="center"/>
    </xf>
    <xf numFmtId="0" fontId="191" fillId="0" borderId="46" xfId="0" applyFont="1" applyBorder="1" applyAlignment="1">
      <alignment horizontal="center" vertical="center"/>
    </xf>
    <xf numFmtId="0" fontId="225" fillId="0" borderId="54" xfId="0" applyFont="1" applyBorder="1" applyAlignment="1">
      <alignment horizontal="center" vertical="center"/>
    </xf>
    <xf numFmtId="0" fontId="225" fillId="0" borderId="28" xfId="0" applyFont="1" applyBorder="1" applyAlignment="1">
      <alignment horizontal="center" vertical="center"/>
    </xf>
    <xf numFmtId="0" fontId="227" fillId="0" borderId="25" xfId="0" applyFont="1" applyBorder="1" applyAlignment="1">
      <alignment horizontal="center" vertical="center"/>
    </xf>
    <xf numFmtId="0" fontId="227" fillId="0" borderId="29" xfId="0" applyFont="1" applyBorder="1" applyAlignment="1">
      <alignment horizontal="center" vertical="center"/>
    </xf>
    <xf numFmtId="0" fontId="227" fillId="0" borderId="21" xfId="0" applyFont="1" applyBorder="1" applyAlignment="1">
      <alignment horizontal="center" vertical="center"/>
    </xf>
    <xf numFmtId="0" fontId="227" fillId="0" borderId="19" xfId="0" applyFont="1" applyBorder="1" applyAlignment="1">
      <alignment horizontal="center" vertical="center"/>
    </xf>
    <xf numFmtId="0" fontId="225" fillId="0" borderId="15" xfId="1" applyFont="1" applyBorder="1" applyAlignment="1">
      <alignment horizontal="center" vertical="center"/>
    </xf>
    <xf numFmtId="0" fontId="225" fillId="0" borderId="16" xfId="1" applyFont="1" applyBorder="1" applyAlignment="1">
      <alignment horizontal="center" vertical="center"/>
    </xf>
    <xf numFmtId="0" fontId="228" fillId="11" borderId="7" xfId="0" applyFont="1" applyFill="1" applyBorder="1" applyAlignment="1">
      <alignment horizontal="center" vertical="center"/>
    </xf>
    <xf numFmtId="0" fontId="225" fillId="0" borderId="7" xfId="0" applyFont="1" applyBorder="1" applyAlignment="1">
      <alignment horizontal="center" vertical="center"/>
    </xf>
    <xf numFmtId="0" fontId="231" fillId="0" borderId="25" xfId="0" applyFont="1" applyBorder="1" applyAlignment="1">
      <alignment horizontal="left" vertical="center" wrapText="1"/>
    </xf>
    <xf numFmtId="0" fontId="231" fillId="0" borderId="0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center" vertical="center" wrapText="1"/>
    </xf>
    <xf numFmtId="0" fontId="226" fillId="0" borderId="0" xfId="0" applyFont="1" applyBorder="1" applyAlignment="1">
      <alignment horizontal="center" vertical="center" wrapText="1"/>
    </xf>
    <xf numFmtId="0" fontId="226" fillId="0" borderId="46" xfId="0" applyFont="1" applyBorder="1" applyAlignment="1">
      <alignment horizontal="center" vertical="center" wrapText="1"/>
    </xf>
    <xf numFmtId="0" fontId="225" fillId="0" borderId="29" xfId="0" applyFont="1" applyBorder="1" applyAlignment="1">
      <alignment horizontal="center" vertical="center"/>
    </xf>
    <xf numFmtId="0" fontId="225" fillId="0" borderId="43" xfId="0" applyFont="1" applyBorder="1" applyAlignment="1">
      <alignment horizontal="center" vertical="center"/>
    </xf>
    <xf numFmtId="0" fontId="225" fillId="0" borderId="46" xfId="0" applyFont="1" applyBorder="1" applyAlignment="1">
      <alignment horizontal="center" vertical="center"/>
    </xf>
    <xf numFmtId="0" fontId="225" fillId="0" borderId="19" xfId="0" applyFont="1" applyBorder="1" applyAlignment="1">
      <alignment horizontal="center" vertical="center"/>
    </xf>
    <xf numFmtId="0" fontId="225" fillId="0" borderId="15" xfId="0" applyFont="1" applyBorder="1" applyAlignment="1">
      <alignment horizontal="center" vertical="center"/>
    </xf>
    <xf numFmtId="0" fontId="225" fillId="0" borderId="16" xfId="0" applyFont="1" applyBorder="1" applyAlignment="1">
      <alignment horizontal="center" vertical="center"/>
    </xf>
    <xf numFmtId="0" fontId="228" fillId="11" borderId="15" xfId="0" applyFont="1" applyFill="1" applyBorder="1" applyAlignment="1">
      <alignment horizontal="center" vertical="center"/>
    </xf>
    <xf numFmtId="0" fontId="228" fillId="11" borderId="16" xfId="0" applyFont="1" applyFill="1" applyBorder="1" applyAlignment="1">
      <alignment horizontal="center" vertical="center"/>
    </xf>
    <xf numFmtId="0" fontId="225" fillId="0" borderId="7" xfId="0" applyFont="1" applyFill="1" applyBorder="1" applyAlignment="1">
      <alignment horizontal="center" vertical="center"/>
    </xf>
    <xf numFmtId="167" fontId="164" fillId="4" borderId="0" xfId="4" applyNumberFormat="1" applyFont="1" applyFill="1" applyAlignment="1">
      <alignment horizontal="center"/>
    </xf>
    <xf numFmtId="167" fontId="164" fillId="14" borderId="0" xfId="4" applyNumberFormat="1" applyFont="1" applyFill="1" applyAlignment="1">
      <alignment horizontal="center"/>
    </xf>
    <xf numFmtId="167" fontId="164" fillId="15" borderId="0" xfId="4" applyNumberFormat="1" applyFont="1" applyFill="1" applyAlignment="1">
      <alignment horizontal="center"/>
    </xf>
    <xf numFmtId="167" fontId="164" fillId="9" borderId="0" xfId="4" applyNumberFormat="1" applyFont="1" applyFill="1" applyAlignment="1">
      <alignment horizontal="center"/>
    </xf>
    <xf numFmtId="167" fontId="164" fillId="13" borderId="0" xfId="4" applyNumberFormat="1" applyFont="1" applyFill="1" applyAlignment="1">
      <alignment horizontal="center"/>
    </xf>
    <xf numFmtId="167" fontId="164" fillId="16" borderId="0" xfId="4" applyNumberFormat="1" applyFont="1" applyFill="1" applyAlignment="1">
      <alignment horizontal="center"/>
    </xf>
  </cellXfs>
  <cellStyles count="17">
    <cellStyle name="Normalny" xfId="0" builtinId="0"/>
    <cellStyle name="Normalny 2" xfId="2"/>
    <cellStyle name="Normalny 2 2" xfId="5"/>
    <cellStyle name="Normalny 2 2 2" xfId="13"/>
    <cellStyle name="Normalny 2 3" xfId="10"/>
    <cellStyle name="Normalny 2 4" xfId="12"/>
    <cellStyle name="Normalny 3" xfId="1"/>
    <cellStyle name="Normalny 3 2" xfId="9"/>
    <cellStyle name="Normalny 3 3" xfId="14"/>
    <cellStyle name="Normalny 4" xfId="4"/>
    <cellStyle name="Normalny 4 2" xfId="15"/>
    <cellStyle name="Normalny 5" xfId="6"/>
    <cellStyle name="Normalny 6" xfId="8"/>
    <cellStyle name="Normalny 7" xfId="11"/>
    <cellStyle name="Procentowy" xfId="7" builtinId="5"/>
    <cellStyle name="Procentowy 2" xfId="3"/>
    <cellStyle name="Procentowy 2 2" xfId="16"/>
  </cellStyles>
  <dxfs count="5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E7EE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400" b="0"/>
              <a:t>analiza położenia</a:t>
            </a:r>
            <a:r>
              <a:rPr lang="pl-PL" sz="1400" b="0" baseline="0"/>
              <a:t> osi obojętej w przekroju BH</a:t>
            </a:r>
            <a:endParaRPr lang="en-US" sz="1400" b="0"/>
          </a:p>
        </c:rich>
      </c:tx>
      <c:layout>
        <c:manualLayout>
          <c:xMode val="edge"/>
          <c:yMode val="edge"/>
          <c:x val="0.28711005542359463"/>
          <c:y val="6.08828006088280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067025766672275E-2"/>
          <c:y val="6.19130142978703E-2"/>
          <c:w val="0.93351413021115826"/>
          <c:h val="0.7167628247382319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OBLICZENIA!$D$645:$D$656</c:f>
              <c:strCache>
                <c:ptCount val="12"/>
                <c:pt idx="0">
                  <c:v>przekrój</c:v>
                </c:pt>
                <c:pt idx="1">
                  <c:v>Asd (+)
uwzgl Asd
redukcja 0,85fcd</c:v>
                </c:pt>
                <c:pt idx="2">
                  <c:v>Asd (+)
bez Asd
redukcja 0,85fcd</c:v>
                </c:pt>
                <c:pt idx="3">
                  <c:v>Asd (+)
uwzgl Asd
bez redukcji 0,85fcd</c:v>
                </c:pt>
                <c:pt idx="4">
                  <c:v>Asd (+)
bez Asd
bez redukcji 0,85fcd</c:v>
                </c:pt>
                <c:pt idx="5">
                  <c:v>Asd (-)
uwzgl Asd
redukcja 0,85fcd</c:v>
                </c:pt>
                <c:pt idx="6">
                  <c:v>Asd (-)
uwzgl Asd
bez redukcji 0,85fcd</c:v>
                </c:pt>
                <c:pt idx="7">
                  <c:v>Asd (+)
uwzgl Asd
redukcja 0,85fcd</c:v>
                </c:pt>
                <c:pt idx="8">
                  <c:v>Asd (-)
uwzgl Asd
redukcja 0,85fcd</c:v>
                </c:pt>
                <c:pt idx="9">
                  <c:v>Asd (+)
uwzgl Asd
redukcja 0,85fcd</c:v>
                </c:pt>
                <c:pt idx="10">
                  <c:v>Asd (-)
uwzgl Asd
redukcja 0,85fcd</c:v>
                </c:pt>
                <c:pt idx="11">
                  <c:v>?</c:v>
                </c:pt>
              </c:strCache>
            </c:strRef>
          </c:cat>
          <c:val>
            <c:numRef>
              <c:f>OBLICZENIA!$E$645:$E$656</c:f>
              <c:numCache>
                <c:formatCode>0</c:formatCode>
                <c:ptCount val="12"/>
                <c:pt idx="0">
                  <c:v>46</c:v>
                </c:pt>
                <c:pt idx="1">
                  <c:v>49.294265186177768</c:v>
                </c:pt>
                <c:pt idx="2">
                  <c:v>66.152549198996979</c:v>
                </c:pt>
                <c:pt idx="3">
                  <c:v>66.306717907416868</c:v>
                </c:pt>
                <c:pt idx="4">
                  <c:v>81.730872146838408</c:v>
                </c:pt>
                <c:pt idx="5">
                  <c:v>81.598349844170713</c:v>
                </c:pt>
                <c:pt idx="6">
                  <c:v>95.634645468374089</c:v>
                </c:pt>
                <c:pt idx="7">
                  <c:v>60.253446048476292</c:v>
                </c:pt>
                <c:pt idx="8">
                  <c:v>92.557530706469208</c:v>
                </c:pt>
                <c:pt idx="9">
                  <c:v>84.554132836770293</c:v>
                </c:pt>
                <c:pt idx="10">
                  <c:v>96.704476230917237</c:v>
                </c:pt>
                <c:pt idx="11">
                  <c:v>135.86322354845964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OBLICZENIA!$D$645:$D$656</c:f>
              <c:strCache>
                <c:ptCount val="12"/>
                <c:pt idx="0">
                  <c:v>przekrój</c:v>
                </c:pt>
                <c:pt idx="1">
                  <c:v>Asd (+)
uwzgl Asd
redukcja 0,85fcd</c:v>
                </c:pt>
                <c:pt idx="2">
                  <c:v>Asd (+)
bez Asd
redukcja 0,85fcd</c:v>
                </c:pt>
                <c:pt idx="3">
                  <c:v>Asd (+)
uwzgl Asd
bez redukcji 0,85fcd</c:v>
                </c:pt>
                <c:pt idx="4">
                  <c:v>Asd (+)
bez Asd
bez redukcji 0,85fcd</c:v>
                </c:pt>
                <c:pt idx="5">
                  <c:v>Asd (-)
uwzgl Asd
redukcja 0,85fcd</c:v>
                </c:pt>
                <c:pt idx="6">
                  <c:v>Asd (-)
uwzgl Asd
bez redukcji 0,85fcd</c:v>
                </c:pt>
                <c:pt idx="7">
                  <c:v>Asd (+)
uwzgl Asd
redukcja 0,85fcd</c:v>
                </c:pt>
                <c:pt idx="8">
                  <c:v>Asd (-)
uwzgl Asd
redukcja 0,85fcd</c:v>
                </c:pt>
                <c:pt idx="9">
                  <c:v>Asd (+)
uwzgl Asd
redukcja 0,85fcd</c:v>
                </c:pt>
                <c:pt idx="10">
                  <c:v>Asd (-)
uwzgl Asd
redukcja 0,85fcd</c:v>
                </c:pt>
                <c:pt idx="11">
                  <c:v>?</c:v>
                </c:pt>
              </c:strCache>
            </c:strRef>
          </c:cat>
          <c:val>
            <c:numRef>
              <c:f>OBLICZENIA!$F$645:$F$656</c:f>
              <c:numCache>
                <c:formatCode>0</c:formatCode>
                <c:ptCount val="12"/>
                <c:pt idx="0">
                  <c:v>230</c:v>
                </c:pt>
                <c:pt idx="1">
                  <c:v>270.70573481382223</c:v>
                </c:pt>
                <c:pt idx="2">
                  <c:v>253.84745080100302</c:v>
                </c:pt>
                <c:pt idx="3">
                  <c:v>253.69328209258313</c:v>
                </c:pt>
                <c:pt idx="4">
                  <c:v>238.26912785316159</c:v>
                </c:pt>
                <c:pt idx="5">
                  <c:v>238.40165015582929</c:v>
                </c:pt>
                <c:pt idx="6">
                  <c:v>224.36535453162591</c:v>
                </c:pt>
                <c:pt idx="7">
                  <c:v>259.74655395152371</c:v>
                </c:pt>
                <c:pt idx="8">
                  <c:v>227.44246929353079</c:v>
                </c:pt>
                <c:pt idx="9">
                  <c:v>235.44586716322971</c:v>
                </c:pt>
                <c:pt idx="10">
                  <c:v>223.29552376908276</c:v>
                </c:pt>
                <c:pt idx="11">
                  <c:v>184.13677645154036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OBLICZENIA!$D$645:$D$656</c:f>
              <c:strCache>
                <c:ptCount val="12"/>
                <c:pt idx="0">
                  <c:v>przekrój</c:v>
                </c:pt>
                <c:pt idx="1">
                  <c:v>Asd (+)
uwzgl Asd
redukcja 0,85fcd</c:v>
                </c:pt>
                <c:pt idx="2">
                  <c:v>Asd (+)
bez Asd
redukcja 0,85fcd</c:v>
                </c:pt>
                <c:pt idx="3">
                  <c:v>Asd (+)
uwzgl Asd
bez redukcji 0,85fcd</c:v>
                </c:pt>
                <c:pt idx="4">
                  <c:v>Asd (+)
bez Asd
bez redukcji 0,85fcd</c:v>
                </c:pt>
                <c:pt idx="5">
                  <c:v>Asd (-)
uwzgl Asd
redukcja 0,85fcd</c:v>
                </c:pt>
                <c:pt idx="6">
                  <c:v>Asd (-)
uwzgl Asd
bez redukcji 0,85fcd</c:v>
                </c:pt>
                <c:pt idx="7">
                  <c:v>Asd (+)
uwzgl Asd
redukcja 0,85fcd</c:v>
                </c:pt>
                <c:pt idx="8">
                  <c:v>Asd (-)
uwzgl Asd
redukcja 0,85fcd</c:v>
                </c:pt>
                <c:pt idx="9">
                  <c:v>Asd (+)
uwzgl Asd
redukcja 0,85fcd</c:v>
                </c:pt>
                <c:pt idx="10">
                  <c:v>Asd (-)
uwzgl Asd
redukcja 0,85fcd</c:v>
                </c:pt>
                <c:pt idx="11">
                  <c:v>?</c:v>
                </c:pt>
              </c:strCache>
            </c:strRef>
          </c:cat>
          <c:val>
            <c:numRef>
              <c:f>OBLICZENIA!$G$645:$G$656</c:f>
              <c:numCache>
                <c:formatCode>General</c:formatCode>
                <c:ptCount val="12"/>
                <c:pt idx="0" formatCode="0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41754184"/>
        <c:axId val="241769584"/>
      </c:barChart>
      <c:catAx>
        <c:axId val="241754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241769584"/>
        <c:crosses val="autoZero"/>
        <c:auto val="1"/>
        <c:lblAlgn val="ctr"/>
        <c:lblOffset val="100"/>
        <c:noMultiLvlLbl val="0"/>
      </c:catAx>
      <c:valAx>
        <c:axId val="24176958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41754184"/>
        <c:crosses val="autoZero"/>
        <c:crossBetween val="between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OBLICZENIA!$R$539</c:f>
              <c:strCache>
                <c:ptCount val="1"/>
                <c:pt idx="0">
                  <c:v>beton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OBLICZENIA!$S$539</c:f>
              <c:numCache>
                <c:formatCode>0</c:formatCode>
                <c:ptCount val="1"/>
                <c:pt idx="0">
                  <c:v>-2792.4654899945504</c:v>
                </c:pt>
              </c:numCache>
            </c:numRef>
          </c:val>
        </c:ser>
        <c:ser>
          <c:idx val="1"/>
          <c:order val="1"/>
          <c:tx>
            <c:strRef>
              <c:f>OBLICZENIA!$R$540</c:f>
              <c:strCache>
                <c:ptCount val="1"/>
                <c:pt idx="0">
                  <c:v>zbrojenie Asg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OBLICZENIA!$S$540</c:f>
              <c:numCache>
                <c:formatCode>0</c:formatCode>
                <c:ptCount val="1"/>
                <c:pt idx="0">
                  <c:v>-2098.0375286582271</c:v>
                </c:pt>
              </c:numCache>
            </c:numRef>
          </c:val>
        </c:ser>
        <c:ser>
          <c:idx val="2"/>
          <c:order val="2"/>
          <c:tx>
            <c:strRef>
              <c:f>OBLICZENIA!$R$541</c:f>
              <c:strCache>
                <c:ptCount val="1"/>
                <c:pt idx="0">
                  <c:v>brak betonu w miejscu Asg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OBLICZENIA!$S$541</c:f>
              <c:numCache>
                <c:formatCode>0</c:formatCode>
                <c:ptCount val="1"/>
                <c:pt idx="0">
                  <c:v>175.7855729368643</c:v>
                </c:pt>
              </c:numCache>
            </c:numRef>
          </c:val>
        </c:ser>
        <c:ser>
          <c:idx val="3"/>
          <c:order val="3"/>
          <c:tx>
            <c:strRef>
              <c:f>OBLICZENIA!$R$542</c:f>
              <c:strCache>
                <c:ptCount val="1"/>
                <c:pt idx="0">
                  <c:v>beton zalewowy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OBLICZENIA!$S$542</c:f>
              <c:numCache>
                <c:formatCode>0</c:formatCode>
                <c:ptCount val="1"/>
                <c:pt idx="0">
                  <c:v>-306</c:v>
                </c:pt>
              </c:numCache>
            </c:numRef>
          </c:val>
        </c:ser>
        <c:ser>
          <c:idx val="4"/>
          <c:order val="4"/>
          <c:tx>
            <c:strRef>
              <c:f>OBLICZENIA!$R$543</c:f>
              <c:strCache>
                <c:ptCount val="1"/>
                <c:pt idx="0">
                  <c:v>beton w wycięciu ts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OBLICZENIA!$S$543</c:f>
              <c:numCache>
                <c:formatCode>0</c:formatCode>
                <c:ptCount val="1"/>
                <c:pt idx="0">
                  <c:v>-34.971428571428575</c:v>
                </c:pt>
              </c:numCache>
            </c:numRef>
          </c:val>
        </c:ser>
        <c:ser>
          <c:idx val="5"/>
          <c:order val="5"/>
          <c:tx>
            <c:strRef>
              <c:f>OBLICZENIA!$R$544</c:f>
              <c:strCache>
                <c:ptCount val="1"/>
                <c:pt idx="0">
                  <c:v>zbrojenie Asd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OBLICZENIA!$S$544</c:f>
              <c:numCache>
                <c:formatCode>0</c:formatCode>
                <c:ptCount val="1"/>
                <c:pt idx="0">
                  <c:v>-524.50938216455677</c:v>
                </c:pt>
              </c:numCache>
            </c:numRef>
          </c:val>
        </c:ser>
        <c:ser>
          <c:idx val="6"/>
          <c:order val="6"/>
          <c:tx>
            <c:strRef>
              <c:f>OBLICZENIA!$R$545</c:f>
              <c:strCache>
                <c:ptCount val="1"/>
                <c:pt idx="0">
                  <c:v>brak betonu w miejscu Asd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OBLICZENIA!$S$545</c:f>
              <c:numCache>
                <c:formatCode>0</c:formatCode>
                <c:ptCount val="1"/>
                <c:pt idx="0">
                  <c:v>43.946393234216075</c:v>
                </c:pt>
              </c:numCache>
            </c:numRef>
          </c:val>
        </c:ser>
        <c:ser>
          <c:idx val="7"/>
          <c:order val="7"/>
          <c:tx>
            <c:strRef>
              <c:f>OBLICZENIA!$R$546</c:f>
              <c:strCache>
                <c:ptCount val="1"/>
                <c:pt idx="0">
                  <c:v>środnik powyżej xpl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OBLICZENIA!$S$546</c:f>
              <c:numCache>
                <c:formatCode>0</c:formatCode>
                <c:ptCount val="1"/>
                <c:pt idx="0">
                  <c:v>-775.3500831766379</c:v>
                </c:pt>
              </c:numCache>
            </c:numRef>
          </c:val>
        </c:ser>
        <c:ser>
          <c:idx val="8"/>
          <c:order val="8"/>
          <c:tx>
            <c:strRef>
              <c:f>OBLICZENIA!$R$547</c:f>
              <c:strCache>
                <c:ptCount val="1"/>
                <c:pt idx="0">
                  <c:v>środnik poniżej xpl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OBLICZENIA!$S$547</c:f>
              <c:numCache>
                <c:formatCode>0</c:formatCode>
                <c:ptCount val="1"/>
                <c:pt idx="0">
                  <c:v>659.84991682336215</c:v>
                </c:pt>
              </c:numCache>
            </c:numRef>
          </c:val>
        </c:ser>
        <c:ser>
          <c:idx val="9"/>
          <c:order val="9"/>
          <c:tx>
            <c:strRef>
              <c:f>OBLICZENIA!$R$548</c:f>
              <c:strCache>
                <c:ptCount val="1"/>
                <c:pt idx="0">
                  <c:v>półka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OBLICZENIA!$S$548</c:f>
              <c:numCache>
                <c:formatCode>0</c:formatCode>
                <c:ptCount val="1"/>
                <c:pt idx="0">
                  <c:v>5561.4000000000005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2057024"/>
        <c:axId val="242065600"/>
      </c:barChart>
      <c:catAx>
        <c:axId val="242057024"/>
        <c:scaling>
          <c:orientation val="maxMin"/>
        </c:scaling>
        <c:delete val="0"/>
        <c:axPos val="r"/>
        <c:minorGridlines/>
        <c:majorTickMark val="none"/>
        <c:minorTickMark val="none"/>
        <c:tickLblPos val="nextTo"/>
        <c:crossAx val="242065600"/>
        <c:crosses val="autoZero"/>
        <c:auto val="1"/>
        <c:lblAlgn val="ctr"/>
        <c:lblOffset val="100"/>
        <c:noMultiLvlLbl val="0"/>
      </c:catAx>
      <c:valAx>
        <c:axId val="242065600"/>
        <c:scaling>
          <c:orientation val="maxMin"/>
        </c:scaling>
        <c:delete val="0"/>
        <c:axPos val="t"/>
        <c:majorGridlines/>
        <c:numFmt formatCode="0" sourceLinked="1"/>
        <c:majorTickMark val="none"/>
        <c:minorTickMark val="none"/>
        <c:tickLblPos val="nextTo"/>
        <c:crossAx val="24205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OBLICZENIA!$R$519</c:f>
              <c:strCache>
                <c:ptCount val="1"/>
                <c:pt idx="0">
                  <c:v>beton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OBLICZENIA!$S$519</c:f>
              <c:numCache>
                <c:formatCode>0</c:formatCode>
                <c:ptCount val="1"/>
                <c:pt idx="0">
                  <c:v>-3322.0212876267669</c:v>
                </c:pt>
              </c:numCache>
            </c:numRef>
          </c:val>
        </c:ser>
        <c:ser>
          <c:idx val="1"/>
          <c:order val="1"/>
          <c:tx>
            <c:strRef>
              <c:f>OBLICZENIA!$R$520</c:f>
              <c:strCache>
                <c:ptCount val="1"/>
                <c:pt idx="0">
                  <c:v>zbrojenie Asg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OBLICZENIA!$S$520</c:f>
              <c:numCache>
                <c:formatCode>0</c:formatCode>
                <c:ptCount val="1"/>
                <c:pt idx="0">
                  <c:v>-2098.0375286582271</c:v>
                </c:pt>
              </c:numCache>
            </c:numRef>
          </c:val>
        </c:ser>
        <c:ser>
          <c:idx val="2"/>
          <c:order val="2"/>
          <c:tx>
            <c:strRef>
              <c:f>OBLICZENIA!$R$521</c:f>
              <c:strCache>
                <c:ptCount val="1"/>
                <c:pt idx="0">
                  <c:v>brak betonu w miejscu Asg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OBLICZENIA!$S$521</c:f>
              <c:numCache>
                <c:formatCode>0</c:formatCode>
                <c:ptCount val="1"/>
                <c:pt idx="0">
                  <c:v>175.7855729368643</c:v>
                </c:pt>
              </c:numCache>
            </c:numRef>
          </c:val>
        </c:ser>
        <c:ser>
          <c:idx val="3"/>
          <c:order val="3"/>
          <c:tx>
            <c:strRef>
              <c:f>OBLICZENIA!$R$522</c:f>
              <c:strCache>
                <c:ptCount val="1"/>
                <c:pt idx="0">
                  <c:v>beton zalewowy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OBLICZENIA!$S$522</c:f>
              <c:numCache>
                <c:formatCode>0</c:formatCode>
                <c:ptCount val="1"/>
                <c:pt idx="0">
                  <c:v>-306</c:v>
                </c:pt>
              </c:numCache>
            </c:numRef>
          </c:val>
        </c:ser>
        <c:ser>
          <c:idx val="4"/>
          <c:order val="4"/>
          <c:tx>
            <c:strRef>
              <c:f>OBLICZENIA!$R$523</c:f>
              <c:strCache>
                <c:ptCount val="1"/>
                <c:pt idx="0">
                  <c:v>beton w wycięciu ts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OBLICZENIA!$S$523</c:f>
              <c:numCache>
                <c:formatCode>0</c:formatCode>
                <c:ptCount val="1"/>
                <c:pt idx="0">
                  <c:v>-34.971428571428575</c:v>
                </c:pt>
              </c:numCache>
            </c:numRef>
          </c:val>
        </c:ser>
        <c:ser>
          <c:idx val="5"/>
          <c:order val="5"/>
          <c:tx>
            <c:strRef>
              <c:f>OBLICZENIA!$R$524</c:f>
              <c:strCache>
                <c:ptCount val="1"/>
                <c:pt idx="0">
                  <c:v>zbrojenie Asd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OBLICZENIA!$S$524</c:f>
              <c:numCache>
                <c:formatCode>0</c:formatCode>
                <c:ptCount val="1"/>
                <c:pt idx="0">
                  <c:v>524.50938216455677</c:v>
                </c:pt>
              </c:numCache>
            </c:numRef>
          </c:val>
        </c:ser>
        <c:ser>
          <c:idx val="6"/>
          <c:order val="6"/>
          <c:tx>
            <c:strRef>
              <c:f>OBLICZENIA!$R$525</c:f>
              <c:strCache>
                <c:ptCount val="1"/>
                <c:pt idx="0">
                  <c:v>brak betonu w miejscu Asd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OBLICZENIA!$S$525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OBLICZENIA!$R$526</c:f>
              <c:strCache>
                <c:ptCount val="1"/>
                <c:pt idx="0">
                  <c:v>środnik powyżej xpl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OBLICZENIA!$S$526</c:f>
              <c:numCache>
                <c:formatCode>0</c:formatCode>
                <c:ptCount val="1"/>
                <c:pt idx="0">
                  <c:v>-1013.1079454338217</c:v>
                </c:pt>
              </c:numCache>
            </c:numRef>
          </c:val>
        </c:ser>
        <c:ser>
          <c:idx val="8"/>
          <c:order val="8"/>
          <c:tx>
            <c:strRef>
              <c:f>OBLICZENIA!$R$527</c:f>
              <c:strCache>
                <c:ptCount val="1"/>
                <c:pt idx="0">
                  <c:v>środnik poniżej xpl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OBLICZENIA!$S$527</c:f>
              <c:numCache>
                <c:formatCode>0</c:formatCode>
                <c:ptCount val="1"/>
                <c:pt idx="0">
                  <c:v>422.09205456617832</c:v>
                </c:pt>
              </c:numCache>
            </c:numRef>
          </c:val>
        </c:ser>
        <c:ser>
          <c:idx val="9"/>
          <c:order val="9"/>
          <c:tx>
            <c:strRef>
              <c:f>OBLICZENIA!$R$528</c:f>
              <c:strCache>
                <c:ptCount val="1"/>
                <c:pt idx="0">
                  <c:v>półka</c:v>
                </c:pt>
              </c:strCache>
            </c:strRef>
          </c:tx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OBLICZENIA!$S$528</c:f>
              <c:numCache>
                <c:formatCode>0</c:formatCode>
                <c:ptCount val="1"/>
                <c:pt idx="0">
                  <c:v>5561.4000000000005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2075744"/>
        <c:axId val="242076128"/>
      </c:barChart>
      <c:catAx>
        <c:axId val="242075744"/>
        <c:scaling>
          <c:orientation val="maxMin"/>
        </c:scaling>
        <c:delete val="0"/>
        <c:axPos val="r"/>
        <c:minorGridlines/>
        <c:majorTickMark val="none"/>
        <c:minorTickMark val="none"/>
        <c:tickLblPos val="nextTo"/>
        <c:crossAx val="24207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076128"/>
        <c:scaling>
          <c:orientation val="maxMin"/>
        </c:scaling>
        <c:delete val="0"/>
        <c:axPos val="t"/>
        <c:majorGridlines/>
        <c:numFmt formatCode="0" sourceLinked="1"/>
        <c:majorTickMark val="none"/>
        <c:minorTickMark val="none"/>
        <c:tickLblPos val="nextTo"/>
        <c:crossAx val="24207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checked="Checked" firstButton="1" fmlaLink="'BAZA DANYCH'!$B$58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checked="Checked" firstButton="1" fmlaLink="'BAZA DANYCH'!$B$9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firstButton="1" fmlaLink="'BAZA DANYCH'!$B$33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checked="Checked" firstButton="1" fmlaLink="'BAZA DANYCH'!$B$83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Radio" checked="Checked" firstButton="1" fmlaLink="'BAZA DANYCH'!$AK$13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3" Type="http://schemas.openxmlformats.org/officeDocument/2006/relationships/image" Target="../media/image15.emf"/><Relationship Id="rId7" Type="http://schemas.openxmlformats.org/officeDocument/2006/relationships/chart" Target="../charts/chart1.xml"/><Relationship Id="rId12" Type="http://schemas.openxmlformats.org/officeDocument/2006/relationships/image" Target="../media/image21.png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6" Type="http://schemas.openxmlformats.org/officeDocument/2006/relationships/image" Target="../media/image18.jpg"/><Relationship Id="rId11" Type="http://schemas.openxmlformats.org/officeDocument/2006/relationships/image" Target="../media/image20.png"/><Relationship Id="rId5" Type="http://schemas.openxmlformats.org/officeDocument/2006/relationships/image" Target="../media/image17.jpg"/><Relationship Id="rId10" Type="http://schemas.openxmlformats.org/officeDocument/2006/relationships/chart" Target="../charts/chart3.xml"/><Relationship Id="rId4" Type="http://schemas.openxmlformats.org/officeDocument/2006/relationships/image" Target="../media/image16.jpg"/><Relationship Id="rId9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w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709</xdr:row>
          <xdr:rowOff>228600</xdr:rowOff>
        </xdr:from>
        <xdr:to>
          <xdr:col>5</xdr:col>
          <xdr:colOff>914400</xdr:colOff>
          <xdr:row>710</xdr:row>
          <xdr:rowOff>485775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711</xdr:row>
          <xdr:rowOff>28575</xdr:rowOff>
        </xdr:from>
        <xdr:to>
          <xdr:col>5</xdr:col>
          <xdr:colOff>952500</xdr:colOff>
          <xdr:row>712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708</xdr:row>
          <xdr:rowOff>304800</xdr:rowOff>
        </xdr:from>
        <xdr:to>
          <xdr:col>4</xdr:col>
          <xdr:colOff>447675</xdr:colOff>
          <xdr:row>709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708</xdr:row>
          <xdr:rowOff>76200</xdr:rowOff>
        </xdr:from>
        <xdr:to>
          <xdr:col>4</xdr:col>
          <xdr:colOff>895350</xdr:colOff>
          <xdr:row>708</xdr:row>
          <xdr:rowOff>333375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304800</xdr:colOff>
          <xdr:row>738</xdr:row>
          <xdr:rowOff>28575</xdr:rowOff>
        </xdr:from>
        <xdr:to>
          <xdr:col>6</xdr:col>
          <xdr:colOff>523875</xdr:colOff>
          <xdr:row>739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352425</xdr:colOff>
          <xdr:row>737</xdr:row>
          <xdr:rowOff>28575</xdr:rowOff>
        </xdr:from>
        <xdr:to>
          <xdr:col>5</xdr:col>
          <xdr:colOff>914400</xdr:colOff>
          <xdr:row>737</xdr:row>
          <xdr:rowOff>485775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828</xdr:row>
          <xdr:rowOff>19050</xdr:rowOff>
        </xdr:from>
        <xdr:to>
          <xdr:col>3</xdr:col>
          <xdr:colOff>876300</xdr:colOff>
          <xdr:row>829</xdr:row>
          <xdr:rowOff>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552450</xdr:colOff>
          <xdr:row>835</xdr:row>
          <xdr:rowOff>0</xdr:rowOff>
        </xdr:from>
        <xdr:to>
          <xdr:col>8</xdr:col>
          <xdr:colOff>685800</xdr:colOff>
          <xdr:row>837</xdr:row>
          <xdr:rowOff>133350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542925</xdr:colOff>
          <xdr:row>1082</xdr:row>
          <xdr:rowOff>123825</xdr:rowOff>
        </xdr:from>
        <xdr:to>
          <xdr:col>11</xdr:col>
          <xdr:colOff>400050</xdr:colOff>
          <xdr:row>1083</xdr:row>
          <xdr:rowOff>323850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333375</xdr:colOff>
          <xdr:row>1103</xdr:row>
          <xdr:rowOff>0</xdr:rowOff>
        </xdr:from>
        <xdr:to>
          <xdr:col>2</xdr:col>
          <xdr:colOff>1390650</xdr:colOff>
          <xdr:row>1104</xdr:row>
          <xdr:rowOff>104775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381000</xdr:colOff>
      <xdr:row>198</xdr:row>
      <xdr:rowOff>0</xdr:rowOff>
    </xdr:from>
    <xdr:to>
      <xdr:col>7</xdr:col>
      <xdr:colOff>161925</xdr:colOff>
      <xdr:row>198</xdr:row>
      <xdr:rowOff>161925</xdr:rowOff>
    </xdr:to>
    <xdr:sp macro="" textlink="">
      <xdr:nvSpPr>
        <xdr:cNvPr id="25" name="Wygięta strzałka 24"/>
        <xdr:cNvSpPr/>
      </xdr:nvSpPr>
      <xdr:spPr>
        <a:xfrm>
          <a:off x="4914900" y="24098250"/>
          <a:ext cx="1495425" cy="161925"/>
        </a:xfrm>
        <a:prstGeom prst="bentArrow">
          <a:avLst/>
        </a:prstGeom>
        <a:solidFill>
          <a:schemeClr val="bg1">
            <a:lumMod val="5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209550</xdr:colOff>
      <xdr:row>197</xdr:row>
      <xdr:rowOff>95251</xdr:rowOff>
    </xdr:from>
    <xdr:to>
      <xdr:col>9</xdr:col>
      <xdr:colOff>609599</xdr:colOff>
      <xdr:row>198</xdr:row>
      <xdr:rowOff>161925</xdr:rowOff>
    </xdr:to>
    <xdr:sp macro="" textlink="">
      <xdr:nvSpPr>
        <xdr:cNvPr id="26" name="pole tekstowe 25"/>
        <xdr:cNvSpPr txBox="1"/>
      </xdr:nvSpPr>
      <xdr:spPr>
        <a:xfrm>
          <a:off x="6457950" y="24012526"/>
          <a:ext cx="1885949" cy="24764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szerokość zalewanego kanału</a:t>
          </a:r>
        </a:p>
      </xdr:txBody>
    </xdr:sp>
    <xdr:clientData/>
  </xdr:twoCellAnchor>
  <xdr:twoCellAnchor editAs="oneCell">
    <xdr:from>
      <xdr:col>2</xdr:col>
      <xdr:colOff>9525</xdr:colOff>
      <xdr:row>244</xdr:row>
      <xdr:rowOff>47625</xdr:rowOff>
    </xdr:from>
    <xdr:to>
      <xdr:col>8</xdr:col>
      <xdr:colOff>322579</xdr:colOff>
      <xdr:row>257</xdr:row>
      <xdr:rowOff>15178</xdr:rowOff>
    </xdr:to>
    <xdr:pic>
      <xdr:nvPicPr>
        <xdr:cNvPr id="23" name="Obraz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3375600"/>
          <a:ext cx="7836389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494493</xdr:colOff>
      <xdr:row>259</xdr:row>
      <xdr:rowOff>16567</xdr:rowOff>
    </xdr:from>
    <xdr:to>
      <xdr:col>7</xdr:col>
      <xdr:colOff>1111033</xdr:colOff>
      <xdr:row>271</xdr:row>
      <xdr:rowOff>52593</xdr:rowOff>
    </xdr:to>
    <xdr:pic>
      <xdr:nvPicPr>
        <xdr:cNvPr id="24" name="Obraz 2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645" y="36335806"/>
          <a:ext cx="6950597" cy="2228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56033</xdr:colOff>
      <xdr:row>342</xdr:row>
      <xdr:rowOff>89647</xdr:rowOff>
    </xdr:from>
    <xdr:to>
      <xdr:col>8</xdr:col>
      <xdr:colOff>363925</xdr:colOff>
      <xdr:row>366</xdr:row>
      <xdr:rowOff>170898</xdr:rowOff>
    </xdr:to>
    <xdr:pic>
      <xdr:nvPicPr>
        <xdr:cNvPr id="27" name="Obraz 2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5" y="53272765"/>
          <a:ext cx="7821702" cy="4396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157656</xdr:colOff>
      <xdr:row>453</xdr:row>
      <xdr:rowOff>88875</xdr:rowOff>
    </xdr:from>
    <xdr:to>
      <xdr:col>3</xdr:col>
      <xdr:colOff>929702</xdr:colOff>
      <xdr:row>453</xdr:row>
      <xdr:rowOff>88875</xdr:rowOff>
    </xdr:to>
    <xdr:cxnSp macro="">
      <xdr:nvCxnSpPr>
        <xdr:cNvPr id="6" name="Łącznik prosty ze strzałką 5"/>
        <xdr:cNvCxnSpPr/>
      </xdr:nvCxnSpPr>
      <xdr:spPr>
        <a:xfrm>
          <a:off x="2778673" y="73175185"/>
          <a:ext cx="772046" cy="0"/>
        </a:xfrm>
        <a:prstGeom prst="straightConnector1">
          <a:avLst/>
        </a:prstGeom>
        <a:ln w="22225" cap="flat">
          <a:solidFill>
            <a:schemeClr val="bg1">
              <a:lumMod val="50000"/>
            </a:schemeClr>
          </a:solidFill>
          <a:headEnd type="none" w="lg" len="lg"/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179435</xdr:colOff>
      <xdr:row>454</xdr:row>
      <xdr:rowOff>107622</xdr:rowOff>
    </xdr:from>
    <xdr:to>
      <xdr:col>3</xdr:col>
      <xdr:colOff>951481</xdr:colOff>
      <xdr:row>454</xdr:row>
      <xdr:rowOff>107622</xdr:rowOff>
    </xdr:to>
    <xdr:cxnSp macro="">
      <xdr:nvCxnSpPr>
        <xdr:cNvPr id="30" name="Łącznik prosty ze strzałką 29"/>
        <xdr:cNvCxnSpPr/>
      </xdr:nvCxnSpPr>
      <xdr:spPr>
        <a:xfrm>
          <a:off x="2795147" y="73633295"/>
          <a:ext cx="772046" cy="0"/>
        </a:xfrm>
        <a:prstGeom prst="straightConnector1">
          <a:avLst/>
        </a:prstGeom>
        <a:ln w="22225" cap="flat">
          <a:solidFill>
            <a:schemeClr val="bg1">
              <a:lumMod val="50000"/>
            </a:schemeClr>
          </a:solidFill>
          <a:headEnd type="none" w="lg" len="lg"/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166853</xdr:colOff>
      <xdr:row>455</xdr:row>
      <xdr:rowOff>98072</xdr:rowOff>
    </xdr:from>
    <xdr:to>
      <xdr:col>3</xdr:col>
      <xdr:colOff>938899</xdr:colOff>
      <xdr:row>455</xdr:row>
      <xdr:rowOff>98072</xdr:rowOff>
    </xdr:to>
    <xdr:cxnSp macro="">
      <xdr:nvCxnSpPr>
        <xdr:cNvPr id="31" name="Łącznik prosty ze strzałką 30"/>
        <xdr:cNvCxnSpPr/>
      </xdr:nvCxnSpPr>
      <xdr:spPr>
        <a:xfrm>
          <a:off x="2787870" y="73624503"/>
          <a:ext cx="772046" cy="0"/>
        </a:xfrm>
        <a:prstGeom prst="straightConnector1">
          <a:avLst/>
        </a:prstGeom>
        <a:ln w="22225" cap="flat">
          <a:solidFill>
            <a:schemeClr val="bg1">
              <a:lumMod val="50000"/>
            </a:schemeClr>
          </a:solidFill>
          <a:headEnd type="none" w="lg" len="lg"/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176892</xdr:colOff>
      <xdr:row>366</xdr:row>
      <xdr:rowOff>40822</xdr:rowOff>
    </xdr:from>
    <xdr:to>
      <xdr:col>8</xdr:col>
      <xdr:colOff>347983</xdr:colOff>
      <xdr:row>386</xdr:row>
      <xdr:rowOff>25212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678" y="57898393"/>
          <a:ext cx="7686675" cy="3476625"/>
        </a:xfrm>
        <a:prstGeom prst="rect">
          <a:avLst/>
        </a:prstGeom>
      </xdr:spPr>
    </xdr:pic>
    <xdr:clientData/>
  </xdr:twoCellAnchor>
  <xdr:twoCellAnchor editAs="oneCell">
    <xdr:from>
      <xdr:col>2</xdr:col>
      <xdr:colOff>176893</xdr:colOff>
      <xdr:row>386</xdr:row>
      <xdr:rowOff>108856</xdr:rowOff>
    </xdr:from>
    <xdr:to>
      <xdr:col>8</xdr:col>
      <xdr:colOff>347984</xdr:colOff>
      <xdr:row>400</xdr:row>
      <xdr:rowOff>132953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679" y="61504285"/>
          <a:ext cx="7686675" cy="2466975"/>
        </a:xfrm>
        <a:prstGeom prst="rect">
          <a:avLst/>
        </a:prstGeom>
      </xdr:spPr>
    </xdr:pic>
    <xdr:clientData/>
  </xdr:twoCellAnchor>
  <xdr:twoCellAnchor>
    <xdr:from>
      <xdr:col>3</xdr:col>
      <xdr:colOff>157656</xdr:colOff>
      <xdr:row>528</xdr:row>
      <xdr:rowOff>88875</xdr:rowOff>
    </xdr:from>
    <xdr:to>
      <xdr:col>3</xdr:col>
      <xdr:colOff>929702</xdr:colOff>
      <xdr:row>528</xdr:row>
      <xdr:rowOff>88875</xdr:rowOff>
    </xdr:to>
    <xdr:cxnSp macro="">
      <xdr:nvCxnSpPr>
        <xdr:cNvPr id="33" name="Łącznik prosty ze strzałką 32"/>
        <xdr:cNvCxnSpPr/>
      </xdr:nvCxnSpPr>
      <xdr:spPr>
        <a:xfrm>
          <a:off x="2768627" y="73083993"/>
          <a:ext cx="772046" cy="0"/>
        </a:xfrm>
        <a:prstGeom prst="straightConnector1">
          <a:avLst/>
        </a:prstGeom>
        <a:ln w="22225" cap="flat">
          <a:solidFill>
            <a:schemeClr val="bg1">
              <a:lumMod val="50000"/>
            </a:schemeClr>
          </a:solidFill>
          <a:headEnd type="none" w="lg" len="lg"/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169910</xdr:colOff>
      <xdr:row>529</xdr:row>
      <xdr:rowOff>107622</xdr:rowOff>
    </xdr:from>
    <xdr:to>
      <xdr:col>3</xdr:col>
      <xdr:colOff>941956</xdr:colOff>
      <xdr:row>529</xdr:row>
      <xdr:rowOff>107622</xdr:rowOff>
    </xdr:to>
    <xdr:cxnSp macro="">
      <xdr:nvCxnSpPr>
        <xdr:cNvPr id="34" name="Łącznik prosty ze strzałką 33"/>
        <xdr:cNvCxnSpPr/>
      </xdr:nvCxnSpPr>
      <xdr:spPr>
        <a:xfrm>
          <a:off x="2789285" y="86489847"/>
          <a:ext cx="772046" cy="0"/>
        </a:xfrm>
        <a:prstGeom prst="straightConnector1">
          <a:avLst/>
        </a:prstGeom>
        <a:ln w="22225" cap="flat">
          <a:solidFill>
            <a:schemeClr val="bg1">
              <a:lumMod val="50000"/>
            </a:schemeClr>
          </a:solidFill>
          <a:headEnd type="none" w="lg" len="lg"/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166853</xdr:colOff>
      <xdr:row>530</xdr:row>
      <xdr:rowOff>98072</xdr:rowOff>
    </xdr:from>
    <xdr:to>
      <xdr:col>3</xdr:col>
      <xdr:colOff>938899</xdr:colOff>
      <xdr:row>530</xdr:row>
      <xdr:rowOff>98072</xdr:rowOff>
    </xdr:to>
    <xdr:cxnSp macro="">
      <xdr:nvCxnSpPr>
        <xdr:cNvPr id="35" name="Łącznik prosty ze strzałką 34"/>
        <xdr:cNvCxnSpPr/>
      </xdr:nvCxnSpPr>
      <xdr:spPr>
        <a:xfrm>
          <a:off x="2777824" y="73519013"/>
          <a:ext cx="772046" cy="0"/>
        </a:xfrm>
        <a:prstGeom prst="straightConnector1">
          <a:avLst/>
        </a:prstGeom>
        <a:ln w="22225" cap="flat">
          <a:solidFill>
            <a:schemeClr val="bg1">
              <a:lumMod val="50000"/>
            </a:schemeClr>
          </a:solidFill>
          <a:headEnd type="none" w="lg" len="lg"/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157656</xdr:colOff>
      <xdr:row>594</xdr:row>
      <xdr:rowOff>88875</xdr:rowOff>
    </xdr:from>
    <xdr:to>
      <xdr:col>3</xdr:col>
      <xdr:colOff>929702</xdr:colOff>
      <xdr:row>594</xdr:row>
      <xdr:rowOff>88875</xdr:rowOff>
    </xdr:to>
    <xdr:cxnSp macro="">
      <xdr:nvCxnSpPr>
        <xdr:cNvPr id="32" name="Łącznik prosty ze strzałką 31"/>
        <xdr:cNvCxnSpPr/>
      </xdr:nvCxnSpPr>
      <xdr:spPr>
        <a:xfrm>
          <a:off x="2777031" y="86271075"/>
          <a:ext cx="772046" cy="0"/>
        </a:xfrm>
        <a:prstGeom prst="straightConnector1">
          <a:avLst/>
        </a:prstGeom>
        <a:ln w="22225" cap="flat">
          <a:solidFill>
            <a:schemeClr val="bg1">
              <a:lumMod val="50000"/>
            </a:schemeClr>
          </a:solidFill>
          <a:headEnd type="none" w="lg" len="lg"/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169910</xdr:colOff>
      <xdr:row>595</xdr:row>
      <xdr:rowOff>107622</xdr:rowOff>
    </xdr:from>
    <xdr:to>
      <xdr:col>3</xdr:col>
      <xdr:colOff>941956</xdr:colOff>
      <xdr:row>595</xdr:row>
      <xdr:rowOff>107622</xdr:rowOff>
    </xdr:to>
    <xdr:cxnSp macro="">
      <xdr:nvCxnSpPr>
        <xdr:cNvPr id="36" name="Łącznik prosty ze strzałką 35"/>
        <xdr:cNvCxnSpPr/>
      </xdr:nvCxnSpPr>
      <xdr:spPr>
        <a:xfrm>
          <a:off x="2789285" y="86489847"/>
          <a:ext cx="772046" cy="0"/>
        </a:xfrm>
        <a:prstGeom prst="straightConnector1">
          <a:avLst/>
        </a:prstGeom>
        <a:ln w="22225" cap="flat">
          <a:solidFill>
            <a:schemeClr val="bg1">
              <a:lumMod val="50000"/>
            </a:schemeClr>
          </a:solidFill>
          <a:headEnd type="none" w="lg" len="lg"/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166853</xdr:colOff>
      <xdr:row>596</xdr:row>
      <xdr:rowOff>98072</xdr:rowOff>
    </xdr:from>
    <xdr:to>
      <xdr:col>3</xdr:col>
      <xdr:colOff>938899</xdr:colOff>
      <xdr:row>596</xdr:row>
      <xdr:rowOff>98072</xdr:rowOff>
    </xdr:to>
    <xdr:cxnSp macro="">
      <xdr:nvCxnSpPr>
        <xdr:cNvPr id="37" name="Łącznik prosty ze strzałką 36"/>
        <xdr:cNvCxnSpPr/>
      </xdr:nvCxnSpPr>
      <xdr:spPr>
        <a:xfrm>
          <a:off x="2786228" y="86708897"/>
          <a:ext cx="772046" cy="0"/>
        </a:xfrm>
        <a:prstGeom prst="straightConnector1">
          <a:avLst/>
        </a:prstGeom>
        <a:ln w="22225" cap="flat">
          <a:solidFill>
            <a:schemeClr val="bg1">
              <a:lumMod val="50000"/>
            </a:schemeClr>
          </a:solidFill>
          <a:headEnd type="none" w="lg" len="lg"/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371475</xdr:colOff>
      <xdr:row>666</xdr:row>
      <xdr:rowOff>104774</xdr:rowOff>
    </xdr:from>
    <xdr:to>
      <xdr:col>8</xdr:col>
      <xdr:colOff>201026</xdr:colOff>
      <xdr:row>685</xdr:row>
      <xdr:rowOff>15936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4222549"/>
          <a:ext cx="7343775" cy="3530661"/>
        </a:xfrm>
        <a:prstGeom prst="rect">
          <a:avLst/>
        </a:prstGeom>
      </xdr:spPr>
    </xdr:pic>
    <xdr:clientData/>
  </xdr:twoCellAnchor>
  <xdr:twoCellAnchor editAs="oneCell">
    <xdr:from>
      <xdr:col>16</xdr:col>
      <xdr:colOff>63745</xdr:colOff>
      <xdr:row>10</xdr:row>
      <xdr:rowOff>44976</xdr:rowOff>
    </xdr:from>
    <xdr:to>
      <xdr:col>25</xdr:col>
      <xdr:colOff>575292</xdr:colOff>
      <xdr:row>42</xdr:row>
      <xdr:rowOff>100850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25</xdr:row>
          <xdr:rowOff>0</xdr:rowOff>
        </xdr:from>
        <xdr:to>
          <xdr:col>3</xdr:col>
          <xdr:colOff>0</xdr:colOff>
          <xdr:row>28</xdr:row>
          <xdr:rowOff>114300</xdr:rowOff>
        </xdr:to>
        <xdr:sp macro="" textlink="">
          <xdr:nvSpPr>
            <xdr:cNvPr id="8393" name="Group Box 5321" hidden="1">
              <a:extLst>
                <a:ext uri="{63B3BB69-23CF-44E3-9099-C40C66FF867C}">
                  <a14:compatExt spid="_x0000_s8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31</xdr:row>
          <xdr:rowOff>9525</xdr:rowOff>
        </xdr:from>
        <xdr:to>
          <xdr:col>2</xdr:col>
          <xdr:colOff>638175</xdr:colOff>
          <xdr:row>32</xdr:row>
          <xdr:rowOff>0</xdr:rowOff>
        </xdr:to>
        <xdr:sp macro="" textlink="">
          <xdr:nvSpPr>
            <xdr:cNvPr id="8414" name="Option Button 5342" hidden="1">
              <a:extLst>
                <a:ext uri="{63B3BB69-23CF-44E3-9099-C40C66FF867C}">
                  <a14:compatExt spid="_x0000_s8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31</xdr:row>
          <xdr:rowOff>180975</xdr:rowOff>
        </xdr:from>
        <xdr:to>
          <xdr:col>2</xdr:col>
          <xdr:colOff>571500</xdr:colOff>
          <xdr:row>32</xdr:row>
          <xdr:rowOff>161925</xdr:rowOff>
        </xdr:to>
        <xdr:sp macro="" textlink="">
          <xdr:nvSpPr>
            <xdr:cNvPr id="8421" name="Option Button 5349" hidden="1">
              <a:extLst>
                <a:ext uri="{63B3BB69-23CF-44E3-9099-C40C66FF867C}">
                  <a14:compatExt spid="_x0000_s8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190500</xdr:rowOff>
        </xdr:from>
        <xdr:to>
          <xdr:col>3</xdr:col>
          <xdr:colOff>0</xdr:colOff>
          <xdr:row>33</xdr:row>
          <xdr:rowOff>133350</xdr:rowOff>
        </xdr:to>
        <xdr:sp macro="" textlink="">
          <xdr:nvSpPr>
            <xdr:cNvPr id="8424" name="Group Box 5352" hidden="1">
              <a:extLst>
                <a:ext uri="{63B3BB69-23CF-44E3-9099-C40C66FF867C}">
                  <a14:compatExt spid="_x0000_s8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41</xdr:row>
          <xdr:rowOff>0</xdr:rowOff>
        </xdr:from>
        <xdr:to>
          <xdr:col>2</xdr:col>
          <xdr:colOff>561975</xdr:colOff>
          <xdr:row>42</xdr:row>
          <xdr:rowOff>0</xdr:rowOff>
        </xdr:to>
        <xdr:sp macro="" textlink="">
          <xdr:nvSpPr>
            <xdr:cNvPr id="13653" name="Option Button 10581" hidden="1">
              <a:extLst>
                <a:ext uri="{63B3BB69-23CF-44E3-9099-C40C66FF867C}">
                  <a14:compatExt spid="_x0000_s13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180975</xdr:rowOff>
        </xdr:from>
        <xdr:to>
          <xdr:col>3</xdr:col>
          <xdr:colOff>0</xdr:colOff>
          <xdr:row>43</xdr:row>
          <xdr:rowOff>171450</xdr:rowOff>
        </xdr:to>
        <xdr:sp macro="" textlink="">
          <xdr:nvSpPr>
            <xdr:cNvPr id="13656" name="Group Box 10584" hidden="1">
              <a:extLst>
                <a:ext uri="{63B3BB69-23CF-44E3-9099-C40C66FF867C}">
                  <a14:compatExt spid="_x0000_s13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42</xdr:row>
          <xdr:rowOff>9525</xdr:rowOff>
        </xdr:from>
        <xdr:to>
          <xdr:col>2</xdr:col>
          <xdr:colOff>561975</xdr:colOff>
          <xdr:row>42</xdr:row>
          <xdr:rowOff>161925</xdr:rowOff>
        </xdr:to>
        <xdr:sp macro="" textlink="">
          <xdr:nvSpPr>
            <xdr:cNvPr id="13660" name="Option Button 10588" hidden="1">
              <a:extLst>
                <a:ext uri="{63B3BB69-23CF-44E3-9099-C40C66FF867C}">
                  <a14:compatExt spid="_x0000_s13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28575</xdr:rowOff>
        </xdr:from>
        <xdr:to>
          <xdr:col>3</xdr:col>
          <xdr:colOff>0</xdr:colOff>
          <xdr:row>52</xdr:row>
          <xdr:rowOff>123825</xdr:rowOff>
        </xdr:to>
        <xdr:sp macro="" textlink="">
          <xdr:nvSpPr>
            <xdr:cNvPr id="19154" name="Group Box 14034" hidden="1">
              <a:extLst>
                <a:ext uri="{63B3BB69-23CF-44E3-9099-C40C66FF867C}">
                  <a14:compatExt spid="_x0000_s19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49</xdr:row>
          <xdr:rowOff>9525</xdr:rowOff>
        </xdr:from>
        <xdr:to>
          <xdr:col>2</xdr:col>
          <xdr:colOff>542925</xdr:colOff>
          <xdr:row>49</xdr:row>
          <xdr:rowOff>171450</xdr:rowOff>
        </xdr:to>
        <xdr:sp macro="" textlink="">
          <xdr:nvSpPr>
            <xdr:cNvPr id="19184" name="Option Button 14064" hidden="1">
              <a:extLst>
                <a:ext uri="{63B3BB69-23CF-44E3-9099-C40C66FF867C}">
                  <a14:compatExt spid="_x0000_s19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49</xdr:row>
          <xdr:rowOff>180975</xdr:rowOff>
        </xdr:from>
        <xdr:to>
          <xdr:col>2</xdr:col>
          <xdr:colOff>533400</xdr:colOff>
          <xdr:row>50</xdr:row>
          <xdr:rowOff>171450</xdr:rowOff>
        </xdr:to>
        <xdr:sp macro="" textlink="">
          <xdr:nvSpPr>
            <xdr:cNvPr id="19188" name="Option Button 14068" hidden="1">
              <a:extLst>
                <a:ext uri="{63B3BB69-23CF-44E3-9099-C40C66FF867C}">
                  <a14:compatExt spid="_x0000_s19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20010</xdr:colOff>
      <xdr:row>8</xdr:row>
      <xdr:rowOff>75893</xdr:rowOff>
    </xdr:from>
    <xdr:to>
      <xdr:col>11</xdr:col>
      <xdr:colOff>742721</xdr:colOff>
      <xdr:row>22</xdr:row>
      <xdr:rowOff>33205</xdr:rowOff>
    </xdr:to>
    <xdr:pic>
      <xdr:nvPicPr>
        <xdr:cNvPr id="13" name="Obraz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2831" y="1858429"/>
          <a:ext cx="10805603" cy="2814812"/>
        </a:xfrm>
        <a:prstGeom prst="rect">
          <a:avLst/>
        </a:prstGeom>
      </xdr:spPr>
    </xdr:pic>
    <xdr:clientData/>
  </xdr:twoCellAnchor>
  <xdr:twoCellAnchor>
    <xdr:from>
      <xdr:col>22</xdr:col>
      <xdr:colOff>340177</xdr:colOff>
      <xdr:row>537</xdr:row>
      <xdr:rowOff>192541</xdr:rowOff>
    </xdr:from>
    <xdr:to>
      <xdr:col>37</xdr:col>
      <xdr:colOff>273502</xdr:colOff>
      <xdr:row>549</xdr:row>
      <xdr:rowOff>71438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435428</xdr:colOff>
      <xdr:row>516</xdr:row>
      <xdr:rowOff>95251</xdr:rowOff>
    </xdr:from>
    <xdr:to>
      <xdr:col>37</xdr:col>
      <xdr:colOff>368753</xdr:colOff>
      <xdr:row>529</xdr:row>
      <xdr:rowOff>123826</xdr:rowOff>
    </xdr:to>
    <xdr:graphicFrame macro="">
      <xdr:nvGraphicFramePr>
        <xdr:cNvPr id="56" name="Wykres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6477</xdr:colOff>
      <xdr:row>35</xdr:row>
      <xdr:rowOff>42109</xdr:rowOff>
    </xdr:from>
    <xdr:to>
      <xdr:col>20</xdr:col>
      <xdr:colOff>656417</xdr:colOff>
      <xdr:row>39</xdr:row>
      <xdr:rowOff>53316</xdr:rowOff>
    </xdr:to>
    <xdr:sp macro="" textlink="">
      <xdr:nvSpPr>
        <xdr:cNvPr id="15" name="Prostokąt 14"/>
        <xdr:cNvSpPr/>
      </xdr:nvSpPr>
      <xdr:spPr>
        <a:xfrm>
          <a:off x="17924683" y="7897433"/>
          <a:ext cx="649940" cy="773207"/>
        </a:xfrm>
        <a:prstGeom prst="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473121</xdr:colOff>
      <xdr:row>35</xdr:row>
      <xdr:rowOff>50274</xdr:rowOff>
    </xdr:from>
    <xdr:to>
      <xdr:col>23</xdr:col>
      <xdr:colOff>439503</xdr:colOff>
      <xdr:row>39</xdr:row>
      <xdr:rowOff>61481</xdr:rowOff>
    </xdr:to>
    <xdr:sp macro="" textlink="">
      <xdr:nvSpPr>
        <xdr:cNvPr id="58" name="Prostokąt 57"/>
        <xdr:cNvSpPr/>
      </xdr:nvSpPr>
      <xdr:spPr>
        <a:xfrm>
          <a:off x="19817530" y="7410501"/>
          <a:ext cx="659109" cy="773207"/>
        </a:xfrm>
        <a:prstGeom prst="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507538</xdr:colOff>
      <xdr:row>35</xdr:row>
      <xdr:rowOff>42109</xdr:rowOff>
    </xdr:from>
    <xdr:to>
      <xdr:col>24</xdr:col>
      <xdr:colOff>473921</xdr:colOff>
      <xdr:row>39</xdr:row>
      <xdr:rowOff>53316</xdr:rowOff>
    </xdr:to>
    <xdr:sp macro="" textlink="">
      <xdr:nvSpPr>
        <xdr:cNvPr id="59" name="Prostokąt 58"/>
        <xdr:cNvSpPr/>
      </xdr:nvSpPr>
      <xdr:spPr>
        <a:xfrm>
          <a:off x="20790185" y="7897433"/>
          <a:ext cx="649942" cy="773207"/>
        </a:xfrm>
        <a:prstGeom prst="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806826</xdr:colOff>
      <xdr:row>782</xdr:row>
      <xdr:rowOff>134470</xdr:rowOff>
    </xdr:from>
    <xdr:to>
      <xdr:col>10</xdr:col>
      <xdr:colOff>69683</xdr:colOff>
      <xdr:row>800</xdr:row>
      <xdr:rowOff>100853</xdr:rowOff>
    </xdr:to>
    <xdr:pic>
      <xdr:nvPicPr>
        <xdr:cNvPr id="60" name="Obraz 5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22561" y="163886029"/>
          <a:ext cx="2176387" cy="3193677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537883</xdr:colOff>
      <xdr:row>783</xdr:row>
      <xdr:rowOff>134471</xdr:rowOff>
    </xdr:from>
    <xdr:to>
      <xdr:col>7</xdr:col>
      <xdr:colOff>515470</xdr:colOff>
      <xdr:row>798</xdr:row>
      <xdr:rowOff>100604</xdr:rowOff>
    </xdr:to>
    <xdr:pic>
      <xdr:nvPicPr>
        <xdr:cNvPr id="61" name="Obraz 6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07" y="164065324"/>
          <a:ext cx="6857999" cy="2655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123265</xdr:colOff>
      <xdr:row>799</xdr:row>
      <xdr:rowOff>11206</xdr:rowOff>
    </xdr:from>
    <xdr:to>
      <xdr:col>6</xdr:col>
      <xdr:colOff>885265</xdr:colOff>
      <xdr:row>821</xdr:row>
      <xdr:rowOff>22047</xdr:rowOff>
    </xdr:to>
    <xdr:pic>
      <xdr:nvPicPr>
        <xdr:cNvPr id="62" name="Obraz 6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07677" y="166810765"/>
          <a:ext cx="5961529" cy="39553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1381125</xdr:colOff>
          <xdr:row>7</xdr:row>
          <xdr:rowOff>19050</xdr:rowOff>
        </xdr:from>
        <xdr:to>
          <xdr:col>6</xdr:col>
          <xdr:colOff>561975</xdr:colOff>
          <xdr:row>7</xdr:row>
          <xdr:rowOff>371475</xdr:rowOff>
        </xdr:to>
        <xdr:sp macro="" textlink="">
          <xdr:nvSpPr>
            <xdr:cNvPr id="19189" name="ComboBox1" hidden="1">
              <a:extLst>
                <a:ext uri="{63B3BB69-23CF-44E3-9099-C40C66FF867C}">
                  <a14:compatExt spid="_x0000_s19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38100</xdr:rowOff>
        </xdr:from>
        <xdr:to>
          <xdr:col>7</xdr:col>
          <xdr:colOff>28575</xdr:colOff>
          <xdr:row>45</xdr:row>
          <xdr:rowOff>361950</xdr:rowOff>
        </xdr:to>
        <xdr:sp macro="" textlink="">
          <xdr:nvSpPr>
            <xdr:cNvPr id="19191" name="ComboBox2" hidden="1">
              <a:extLst>
                <a:ext uri="{63B3BB69-23CF-44E3-9099-C40C66FF867C}">
                  <a14:compatExt spid="_x0000_s19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34</xdr:row>
          <xdr:rowOff>0</xdr:rowOff>
        </xdr:from>
        <xdr:to>
          <xdr:col>3</xdr:col>
          <xdr:colOff>0</xdr:colOff>
          <xdr:row>38</xdr:row>
          <xdr:rowOff>114300</xdr:rowOff>
        </xdr:to>
        <xdr:sp macro="" textlink="">
          <xdr:nvSpPr>
            <xdr:cNvPr id="19192" name="Group Box 14072" hidden="1">
              <a:extLst>
                <a:ext uri="{63B3BB69-23CF-44E3-9099-C40C66FF867C}">
                  <a14:compatExt spid="_x0000_s19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371475</xdr:colOff>
          <xdr:row>36</xdr:row>
          <xdr:rowOff>28575</xdr:rowOff>
        </xdr:from>
        <xdr:to>
          <xdr:col>2</xdr:col>
          <xdr:colOff>619125</xdr:colOff>
          <xdr:row>37</xdr:row>
          <xdr:rowOff>38100</xdr:rowOff>
        </xdr:to>
        <xdr:sp macro="" textlink="">
          <xdr:nvSpPr>
            <xdr:cNvPr id="19193" name="Option Button 14073" hidden="1">
              <a:extLst>
                <a:ext uri="{63B3BB69-23CF-44E3-9099-C40C66FF867C}">
                  <a14:compatExt spid="_x0000_s19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371475</xdr:colOff>
          <xdr:row>37</xdr:row>
          <xdr:rowOff>0</xdr:rowOff>
        </xdr:from>
        <xdr:to>
          <xdr:col>2</xdr:col>
          <xdr:colOff>619125</xdr:colOff>
          <xdr:row>37</xdr:row>
          <xdr:rowOff>171450</xdr:rowOff>
        </xdr:to>
        <xdr:sp macro="" textlink="">
          <xdr:nvSpPr>
            <xdr:cNvPr id="19194" name="Option Button 14074" hidden="1">
              <a:extLst>
                <a:ext uri="{63B3BB69-23CF-44E3-9099-C40C66FF867C}">
                  <a14:compatExt spid="_x0000_s19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371475</xdr:colOff>
          <xdr:row>26</xdr:row>
          <xdr:rowOff>9525</xdr:rowOff>
        </xdr:from>
        <xdr:to>
          <xdr:col>2</xdr:col>
          <xdr:colOff>600075</xdr:colOff>
          <xdr:row>27</xdr:row>
          <xdr:rowOff>38100</xdr:rowOff>
        </xdr:to>
        <xdr:sp macro="" textlink="">
          <xdr:nvSpPr>
            <xdr:cNvPr id="19197" name="Option Button 14077" hidden="1">
              <a:extLst>
                <a:ext uri="{63B3BB69-23CF-44E3-9099-C40C66FF867C}">
                  <a14:compatExt spid="_x0000_s19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371475</xdr:colOff>
          <xdr:row>26</xdr:row>
          <xdr:rowOff>180975</xdr:rowOff>
        </xdr:from>
        <xdr:to>
          <xdr:col>2</xdr:col>
          <xdr:colOff>600075</xdr:colOff>
          <xdr:row>28</xdr:row>
          <xdr:rowOff>19050</xdr:rowOff>
        </xdr:to>
        <xdr:sp macro="" textlink="">
          <xdr:nvSpPr>
            <xdr:cNvPr id="19198" name="Option Button 14078" hidden="1">
              <a:extLst>
                <a:ext uri="{63B3BB69-23CF-44E3-9099-C40C66FF867C}">
                  <a14:compatExt spid="_x0000_s19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0.13658</cdr:x>
      <cdr:y>0.91404</cdr:y>
    </cdr:from>
    <cdr:to>
      <cdr:x>0.97031</cdr:x>
      <cdr:y>0.97871</cdr:y>
    </cdr:to>
    <cdr:grpSp>
      <cdr:nvGrpSpPr>
        <cdr:cNvPr id="5" name="Grupa 4"/>
        <cdr:cNvGrpSpPr/>
      </cdr:nvGrpSpPr>
      <cdr:grpSpPr>
        <a:xfrm xmlns:a="http://schemas.openxmlformats.org/drawingml/2006/main">
          <a:off x="1256004" y="5848397"/>
          <a:ext cx="7667070" cy="413785"/>
          <a:chOff x="1095375" y="5384800"/>
          <a:chExt cx="6686550" cy="381000"/>
        </a:xfrm>
      </cdr:grpSpPr>
      <cdr:sp macro="" textlink="">
        <cdr:nvSpPr>
          <cdr:cNvPr id="3" name="pole tekstowe 14"/>
          <cdr:cNvSpPr txBox="1"/>
        </cdr:nvSpPr>
        <cdr:spPr>
          <a:xfrm xmlns:a="http://schemas.openxmlformats.org/drawingml/2006/main">
            <a:off x="6146800" y="5384800"/>
            <a:ext cx="1635125" cy="37147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>
              <a:lumMod val="85000"/>
            </a:schemeClr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pl-PL" sz="800"/>
              <a:t>FAZA UŻYTKOWANIA</a:t>
            </a:r>
          </a:p>
          <a:p xmlns:a="http://schemas.openxmlformats.org/drawingml/2006/main">
            <a:pPr algn="ctr"/>
            <a:r>
              <a:rPr lang="pl-PL" sz="800"/>
              <a:t>Z WSPÓŁPRACĄ STROPU</a:t>
            </a:r>
            <a:endParaRPr lang="en-US" sz="800"/>
          </a:p>
        </cdr:txBody>
      </cdr:sp>
      <cdr:sp macro="" textlink="">
        <cdr:nvSpPr>
          <cdr:cNvPr id="2" name="pole tekstowe 14"/>
          <cdr:cNvSpPr txBox="1"/>
        </cdr:nvSpPr>
        <cdr:spPr>
          <a:xfrm xmlns:a="http://schemas.openxmlformats.org/drawingml/2006/main">
            <a:off x="4752974" y="5394325"/>
            <a:ext cx="1343025" cy="37147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>
              <a:lumMod val="85000"/>
            </a:schemeClr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pl-PL" sz="800"/>
              <a:t>FAZA UŻYTKOWANIA</a:t>
            </a:r>
          </a:p>
          <a:p xmlns:a="http://schemas.openxmlformats.org/drawingml/2006/main">
            <a:pPr algn="ctr"/>
            <a:r>
              <a:rPr lang="pl-PL" sz="800"/>
              <a:t>BEZ WSPÓŁPRACY STROPU</a:t>
            </a:r>
            <a:endParaRPr lang="en-US" sz="800"/>
          </a:p>
        </cdr:txBody>
      </cdr:sp>
      <cdr:sp macro="" textlink="">
        <cdr:nvSpPr>
          <cdr:cNvPr id="4" name="pole tekstowe 14"/>
          <cdr:cNvSpPr txBox="1"/>
        </cdr:nvSpPr>
        <cdr:spPr>
          <a:xfrm xmlns:a="http://schemas.openxmlformats.org/drawingml/2006/main">
            <a:off x="1095375" y="5394325"/>
            <a:ext cx="3603625" cy="37147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>
              <a:lumMod val="85000"/>
            </a:schemeClr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pl-PL" sz="800"/>
              <a:t>FAZA MONTAŻU</a:t>
            </a:r>
            <a:endParaRPr lang="en-US" sz="800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269424</xdr:colOff>
      <xdr:row>6</xdr:row>
      <xdr:rowOff>193221</xdr:rowOff>
    </xdr:from>
    <xdr:to>
      <xdr:col>43</xdr:col>
      <xdr:colOff>1240907</xdr:colOff>
      <xdr:row>14</xdr:row>
      <xdr:rowOff>53485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7953" y="1425868"/>
          <a:ext cx="4781483" cy="1742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24971</xdr:colOff>
      <xdr:row>41</xdr:row>
      <xdr:rowOff>68848</xdr:rowOff>
    </xdr:from>
    <xdr:to>
      <xdr:col>9</xdr:col>
      <xdr:colOff>693896</xdr:colOff>
      <xdr:row>43</xdr:row>
      <xdr:rowOff>113541</xdr:rowOff>
    </xdr:to>
    <xdr:pic>
      <xdr:nvPicPr>
        <xdr:cNvPr id="3" name="Obraz 2"/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696" y="8946148"/>
          <a:ext cx="2412000" cy="425693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0</xdr:col>
      <xdr:colOff>3402</xdr:colOff>
      <xdr:row>0</xdr:row>
      <xdr:rowOff>8503</xdr:rowOff>
    </xdr:from>
    <xdr:to>
      <xdr:col>1</xdr:col>
      <xdr:colOff>357867</xdr:colOff>
      <xdr:row>29</xdr:row>
      <xdr:rowOff>72814</xdr:rowOff>
    </xdr:to>
    <xdr:pic>
      <xdr:nvPicPr>
        <xdr:cNvPr id="2" name="Obraz 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2" y="8503"/>
          <a:ext cx="504144" cy="64896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390525</xdr:colOff>
      <xdr:row>1</xdr:row>
      <xdr:rowOff>38100</xdr:rowOff>
    </xdr:from>
    <xdr:to>
      <xdr:col>12</xdr:col>
      <xdr:colOff>178550</xdr:colOff>
      <xdr:row>16</xdr:row>
      <xdr:rowOff>29100</xdr:rowOff>
    </xdr:to>
    <xdr:pic>
      <xdr:nvPicPr>
        <xdr:cNvPr id="21" name="Obraz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33375"/>
          <a:ext cx="6369800" cy="34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95049</xdr:colOff>
      <xdr:row>0</xdr:row>
      <xdr:rowOff>274407</xdr:rowOff>
    </xdr:from>
    <xdr:to>
      <xdr:col>11</xdr:col>
      <xdr:colOff>749975</xdr:colOff>
      <xdr:row>21</xdr:row>
      <xdr:rowOff>124239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832" y="274407"/>
          <a:ext cx="6030339" cy="3452767"/>
        </a:xfrm>
        <a:prstGeom prst="rect">
          <a:avLst/>
        </a:prstGeom>
      </xdr:spPr>
    </xdr:pic>
    <xdr:clientData/>
  </xdr:twoCellAnchor>
  <xdr:twoCellAnchor editAs="oneCell">
    <xdr:from>
      <xdr:col>5</xdr:col>
      <xdr:colOff>24971</xdr:colOff>
      <xdr:row>53</xdr:row>
      <xdr:rowOff>68848</xdr:rowOff>
    </xdr:from>
    <xdr:to>
      <xdr:col>9</xdr:col>
      <xdr:colOff>644201</xdr:colOff>
      <xdr:row>55</xdr:row>
      <xdr:rowOff>113541</xdr:rowOff>
    </xdr:to>
    <xdr:pic>
      <xdr:nvPicPr>
        <xdr:cNvPr id="2" name="Obraz 1"/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696" y="8946148"/>
          <a:ext cx="2412000" cy="425693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0</xdr:col>
      <xdr:colOff>3402</xdr:colOff>
      <xdr:row>0</xdr:row>
      <xdr:rowOff>8503</xdr:rowOff>
    </xdr:from>
    <xdr:to>
      <xdr:col>1</xdr:col>
      <xdr:colOff>357867</xdr:colOff>
      <xdr:row>40</xdr:row>
      <xdr:rowOff>77126</xdr:rowOff>
    </xdr:to>
    <xdr:pic>
      <xdr:nvPicPr>
        <xdr:cNvPr id="3" name="Obraz 2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2" y="8503"/>
          <a:ext cx="506865" cy="65794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J%20PROJEKTY/_SZABLONY/Zestawienie%20-%20wycena%20-%20oferta%20v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BAZOWE"/>
      <sheetName val="ZESTAWIENIE MATERIAŁÓW"/>
      <sheetName val="WYCENA"/>
      <sheetName val="ZESTAWIENIE-WYSYŁKI"/>
      <sheetName val="OFERTA Z PROJEKTEM"/>
      <sheetName val="OFERTA MATERIAŁOWA"/>
      <sheetName val="OFERTA SZACUNKOWA za m2"/>
      <sheetName val="OFERTA CJ"/>
      <sheetName val="szybka odp + ADMIX"/>
      <sheetName val="robocz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2">
          <cell r="E42">
            <v>1</v>
          </cell>
        </row>
        <row r="44">
          <cell r="D44">
            <v>1</v>
          </cell>
        </row>
        <row r="45">
          <cell r="D45">
            <v>2</v>
          </cell>
        </row>
        <row r="46">
          <cell r="D46">
            <v>3</v>
          </cell>
        </row>
        <row r="47">
          <cell r="D47">
            <v>4</v>
          </cell>
        </row>
        <row r="48">
          <cell r="D48">
            <v>5</v>
          </cell>
        </row>
        <row r="53">
          <cell r="E53">
            <v>1</v>
          </cell>
        </row>
        <row r="55">
          <cell r="D55">
            <v>1</v>
          </cell>
        </row>
        <row r="56">
          <cell r="D56">
            <v>2</v>
          </cell>
        </row>
        <row r="57">
          <cell r="D57">
            <v>3</v>
          </cell>
        </row>
        <row r="58">
          <cell r="D58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control" Target="../activeX/activeX2.xml"/><Relationship Id="rId39" Type="http://schemas.openxmlformats.org/officeDocument/2006/relationships/ctrlProp" Target="../ctrlProps/ctrlProp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trlProp" Target="../ctrlProps/ctrlProp7.xml"/><Relationship Id="rId42" Type="http://schemas.openxmlformats.org/officeDocument/2006/relationships/ctrlProp" Target="../ctrlProps/ctrlProp15.x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6.xml"/><Relationship Id="rId38" Type="http://schemas.openxmlformats.org/officeDocument/2006/relationships/ctrlProp" Target="../ctrlProps/ctrlProp11.xml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ctrlProp" Target="../ctrlProps/ctrlProp2.xml"/><Relationship Id="rId41" Type="http://schemas.openxmlformats.org/officeDocument/2006/relationships/ctrlProp" Target="../ctrlProps/ctrlProp14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control" Target="../activeX/activeX1.xml"/><Relationship Id="rId32" Type="http://schemas.openxmlformats.org/officeDocument/2006/relationships/ctrlProp" Target="../ctrlProps/ctrlProp5.xml"/><Relationship Id="rId37" Type="http://schemas.openxmlformats.org/officeDocument/2006/relationships/ctrlProp" Target="../ctrlProps/ctrlProp10.xml"/><Relationship Id="rId40" Type="http://schemas.openxmlformats.org/officeDocument/2006/relationships/ctrlProp" Target="../ctrlProps/ctrlProp13.xml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28" Type="http://schemas.openxmlformats.org/officeDocument/2006/relationships/ctrlProp" Target="../ctrlProps/ctrlProp1.xml"/><Relationship Id="rId36" Type="http://schemas.openxmlformats.org/officeDocument/2006/relationships/ctrlProp" Target="../ctrlProps/ctrlProp9.xml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ctrlProp" Target="../ctrlProps/ctrlProp4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ctrlProp" Target="../ctrlProps/ctrlProp3.xml"/><Relationship Id="rId35" Type="http://schemas.openxmlformats.org/officeDocument/2006/relationships/ctrlProp" Target="../ctrlProps/ctrlProp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>
    <pageSetUpPr fitToPage="1"/>
  </sheetPr>
  <dimension ref="A1:AK1169"/>
  <sheetViews>
    <sheetView showGridLines="0" zoomScale="85" zoomScaleNormal="85" zoomScaleSheetLayoutView="85" zoomScalePageLayoutView="40" workbookViewId="0">
      <selection activeCell="E211" sqref="E211"/>
    </sheetView>
  </sheetViews>
  <sheetFormatPr defaultRowHeight="14.25"/>
  <cols>
    <col min="1" max="1" width="4.375" style="1" customWidth="1"/>
    <col min="2" max="2" width="7.25" style="1" customWidth="1"/>
    <col min="3" max="3" width="24.75" style="1" customWidth="1"/>
    <col min="4" max="4" width="18.625" style="1" customWidth="1"/>
    <col min="5" max="5" width="11.875" style="1" customWidth="1"/>
    <col min="6" max="6" width="12.875" style="1" customWidth="1"/>
    <col min="7" max="7" width="14.875" style="1" customWidth="1"/>
    <col min="8" max="8" width="15.5" style="1" customWidth="1"/>
    <col min="9" max="9" width="10.25" style="1" customWidth="1"/>
    <col min="10" max="10" width="12.5" style="1" customWidth="1"/>
    <col min="11" max="11" width="11" style="257" bestFit="1" customWidth="1"/>
    <col min="12" max="12" width="10.625" style="257" customWidth="1"/>
    <col min="13" max="13" width="12" style="257" customWidth="1"/>
    <col min="14" max="14" width="2.75" style="257" customWidth="1"/>
    <col min="15" max="15" width="6.5" style="258" customWidth="1"/>
    <col min="16" max="16" width="5.125" style="257" customWidth="1"/>
    <col min="17" max="17" width="9.25" style="257" bestFit="1" customWidth="1"/>
    <col min="18" max="18" width="19.875" style="257" customWidth="1"/>
    <col min="19" max="19" width="12.875" style="257" customWidth="1"/>
    <col min="20" max="20" width="12.125" style="257" customWidth="1"/>
    <col min="21" max="21" width="9" style="257"/>
    <col min="22" max="22" width="13.125" style="257" customWidth="1"/>
    <col min="23" max="24" width="9" style="257"/>
    <col min="25" max="25" width="19.875" style="257" customWidth="1"/>
    <col min="26" max="26" width="11.25" style="257" customWidth="1"/>
    <col min="27" max="27" width="7.375" style="257" customWidth="1"/>
    <col min="28" max="28" width="10.75" style="257" customWidth="1"/>
    <col min="29" max="29" width="11.25" style="257" customWidth="1"/>
    <col min="30" max="30" width="5.875" style="257" customWidth="1"/>
    <col min="31" max="37" width="9" style="257"/>
    <col min="38" max="16384" width="9" style="1"/>
  </cols>
  <sheetData>
    <row r="1" spans="1:37" ht="15" customHeight="1">
      <c r="A1" s="829"/>
      <c r="B1" s="829"/>
    </row>
    <row r="2" spans="1:37" ht="20.100000000000001" customHeight="1">
      <c r="A2" s="830"/>
      <c r="B2" s="379"/>
      <c r="C2" s="815"/>
      <c r="D2" s="966" t="s">
        <v>830</v>
      </c>
      <c r="E2" s="966"/>
      <c r="F2" s="966"/>
      <c r="G2" s="966"/>
      <c r="H2" s="966"/>
      <c r="I2" s="966"/>
      <c r="J2" s="966"/>
      <c r="K2" s="966"/>
      <c r="L2" s="841" t="s">
        <v>866</v>
      </c>
      <c r="M2" s="813" t="s">
        <v>872</v>
      </c>
      <c r="N2" s="408"/>
      <c r="P2" s="859" t="s">
        <v>878</v>
      </c>
      <c r="Q2" s="854"/>
      <c r="R2" s="855"/>
    </row>
    <row r="3" spans="1:37" ht="30" customHeight="1">
      <c r="A3" s="830"/>
      <c r="B3" s="812"/>
      <c r="C3" s="833" t="s">
        <v>669</v>
      </c>
      <c r="D3" s="975" t="str">
        <f>CONCATENATE("BHM ",D121*0.1,"-",E121,"-",E24*1000)</f>
        <v>BHM 32-450-7500</v>
      </c>
      <c r="E3" s="975"/>
      <c r="F3" s="975"/>
      <c r="G3" s="975"/>
      <c r="H3" s="975"/>
      <c r="I3" s="975"/>
      <c r="J3" s="975"/>
      <c r="K3" s="975"/>
      <c r="L3" s="838"/>
      <c r="M3" s="813"/>
      <c r="N3" s="408"/>
      <c r="P3" s="856" t="s">
        <v>879</v>
      </c>
      <c r="Q3" s="857"/>
      <c r="R3" s="858"/>
    </row>
    <row r="4" spans="1:37" s="788" customFormat="1" ht="20.100000000000001" customHeight="1">
      <c r="A4" s="830"/>
      <c r="B4" s="812"/>
      <c r="C4" s="833" t="s">
        <v>839</v>
      </c>
      <c r="D4" s="970" t="s">
        <v>840</v>
      </c>
      <c r="E4" s="970"/>
      <c r="F4" s="970"/>
      <c r="G4" s="970"/>
      <c r="H4" s="970"/>
      <c r="I4" s="970"/>
      <c r="J4" s="970"/>
      <c r="K4" s="971"/>
      <c r="L4" s="839"/>
      <c r="M4" s="834"/>
      <c r="N4" s="835"/>
      <c r="O4" s="790"/>
      <c r="P4" s="987" t="s">
        <v>880</v>
      </c>
      <c r="Q4" s="988"/>
      <c r="R4" s="989"/>
      <c r="S4" s="789"/>
      <c r="T4" s="789"/>
      <c r="U4" s="789"/>
      <c r="V4" s="789"/>
      <c r="W4" s="789"/>
      <c r="X4" s="789"/>
      <c r="Y4" s="789"/>
      <c r="Z4" s="789"/>
      <c r="AA4" s="789"/>
      <c r="AB4" s="789"/>
      <c r="AC4" s="789"/>
      <c r="AD4" s="789"/>
      <c r="AE4" s="789"/>
      <c r="AF4" s="789"/>
      <c r="AG4" s="789"/>
      <c r="AH4" s="789"/>
      <c r="AI4" s="789"/>
      <c r="AJ4" s="789"/>
      <c r="AK4" s="789"/>
    </row>
    <row r="5" spans="1:37" s="788" customFormat="1" ht="20.100000000000001" customHeight="1">
      <c r="A5" s="830"/>
      <c r="B5" s="812"/>
      <c r="C5" s="833" t="s">
        <v>869</v>
      </c>
      <c r="D5" s="979" t="s">
        <v>867</v>
      </c>
      <c r="E5" s="980"/>
      <c r="F5" s="980"/>
      <c r="G5" s="980"/>
      <c r="H5" s="980"/>
      <c r="I5" s="980"/>
      <c r="J5" s="981"/>
      <c r="K5" s="840" t="s">
        <v>868</v>
      </c>
      <c r="L5" s="982">
        <v>43411</v>
      </c>
      <c r="M5" s="982"/>
      <c r="N5" s="983"/>
      <c r="O5" s="790"/>
      <c r="P5" s="990"/>
      <c r="Q5" s="991"/>
      <c r="R5" s="992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89"/>
      <c r="AH5" s="789"/>
      <c r="AI5" s="789"/>
      <c r="AJ5" s="789"/>
      <c r="AK5" s="789"/>
    </row>
    <row r="6" spans="1:37" s="733" customFormat="1" ht="15.75" customHeight="1">
      <c r="B6" s="736"/>
      <c r="C6" s="370"/>
      <c r="D6" s="371"/>
      <c r="E6" s="371"/>
      <c r="F6" s="371"/>
      <c r="G6" s="371"/>
      <c r="H6" s="371"/>
      <c r="I6" s="371"/>
      <c r="J6" s="371"/>
      <c r="K6" s="371"/>
      <c r="L6" s="372"/>
      <c r="M6" s="373"/>
      <c r="N6" s="741"/>
      <c r="O6" s="740"/>
      <c r="P6" s="739"/>
      <c r="Q6" s="739"/>
      <c r="R6" s="739"/>
      <c r="S6" s="739"/>
      <c r="T6" s="739"/>
      <c r="U6" s="739"/>
      <c r="V6" s="739"/>
      <c r="W6" s="739"/>
      <c r="X6" s="739"/>
      <c r="Y6" s="739"/>
      <c r="Z6" s="739"/>
      <c r="AA6" s="739"/>
      <c r="AB6" s="739"/>
      <c r="AC6" s="739"/>
      <c r="AD6" s="739"/>
      <c r="AE6" s="739"/>
      <c r="AF6" s="739"/>
      <c r="AG6" s="739"/>
      <c r="AH6" s="739"/>
      <c r="AI6" s="739"/>
      <c r="AJ6" s="739"/>
      <c r="AK6" s="739"/>
    </row>
    <row r="7" spans="1:37" ht="30" customHeight="1">
      <c r="B7" s="380" t="s">
        <v>672</v>
      </c>
      <c r="C7" s="381"/>
      <c r="D7" s="382"/>
      <c r="E7" s="382"/>
      <c r="F7" s="382"/>
      <c r="G7" s="382"/>
      <c r="H7" s="382"/>
      <c r="I7" s="382"/>
      <c r="J7" s="382"/>
      <c r="K7" s="382"/>
      <c r="L7" s="383"/>
      <c r="M7" s="384"/>
      <c r="N7" s="385"/>
      <c r="P7" s="380" t="s">
        <v>673</v>
      </c>
      <c r="Q7" s="396"/>
      <c r="R7" s="396"/>
      <c r="S7" s="396"/>
      <c r="T7" s="396"/>
      <c r="U7" s="396"/>
      <c r="V7" s="396"/>
      <c r="W7" s="396"/>
      <c r="X7" s="396"/>
      <c r="Y7" s="396"/>
      <c r="Z7" s="396"/>
      <c r="AA7" s="396"/>
      <c r="AB7" s="396"/>
      <c r="AC7" s="396"/>
      <c r="AD7" s="385"/>
      <c r="AE7" s="739"/>
      <c r="AF7" s="739"/>
    </row>
    <row r="8" spans="1:37" ht="30" customHeight="1">
      <c r="B8" s="388"/>
      <c r="C8" s="405" t="s">
        <v>820</v>
      </c>
      <c r="D8" s="406"/>
      <c r="E8" s="406"/>
      <c r="F8" s="406"/>
      <c r="G8" s="406"/>
      <c r="H8" s="406"/>
      <c r="I8" s="406"/>
      <c r="J8" s="406"/>
      <c r="K8" s="407"/>
      <c r="L8" s="407"/>
      <c r="M8" s="408"/>
      <c r="N8" s="389"/>
      <c r="P8" s="397"/>
      <c r="Q8" s="405" t="s">
        <v>808</v>
      </c>
      <c r="R8" s="407"/>
      <c r="S8" s="407"/>
      <c r="T8" s="407"/>
      <c r="U8" s="407"/>
      <c r="V8" s="407"/>
      <c r="W8" s="407"/>
      <c r="X8" s="407"/>
      <c r="Y8" s="407"/>
      <c r="Z8" s="407"/>
      <c r="AA8" s="407"/>
      <c r="AB8" s="407"/>
      <c r="AC8" s="408"/>
      <c r="AD8" s="387"/>
      <c r="AE8" s="739"/>
      <c r="AF8" s="739"/>
    </row>
    <row r="9" spans="1:37" ht="30" customHeight="1">
      <c r="B9" s="388"/>
      <c r="C9" s="376"/>
      <c r="D9" s="376"/>
      <c r="E9" s="376"/>
      <c r="F9" s="376"/>
      <c r="G9" s="376"/>
      <c r="H9" s="376"/>
      <c r="I9" s="376"/>
      <c r="J9" s="376"/>
      <c r="K9" s="376"/>
      <c r="L9" s="376"/>
      <c r="M9" s="376"/>
      <c r="N9" s="387"/>
      <c r="P9" s="388"/>
      <c r="Q9" s="376"/>
      <c r="R9" s="376"/>
      <c r="S9" s="376"/>
      <c r="T9" s="376"/>
      <c r="U9" s="376"/>
      <c r="V9" s="376"/>
      <c r="W9" s="376"/>
      <c r="X9" s="376"/>
      <c r="Y9" s="376"/>
      <c r="Z9" s="376"/>
      <c r="AA9" s="376"/>
      <c r="AB9" s="376"/>
      <c r="AC9" s="376"/>
      <c r="AD9" s="389"/>
      <c r="AE9" s="739"/>
      <c r="AF9" s="739"/>
    </row>
    <row r="10" spans="1:37" ht="15" customHeight="1">
      <c r="B10" s="388"/>
      <c r="C10" s="376"/>
      <c r="D10" s="362"/>
      <c r="E10" s="361"/>
      <c r="F10" s="361"/>
      <c r="G10" s="361"/>
      <c r="H10" s="361"/>
      <c r="I10" s="361"/>
      <c r="J10" s="361"/>
      <c r="K10" s="377"/>
      <c r="L10" s="377"/>
      <c r="M10" s="377"/>
      <c r="N10" s="387"/>
      <c r="P10" s="388"/>
      <c r="Q10" s="376" t="s">
        <v>555</v>
      </c>
      <c r="R10" s="376"/>
      <c r="S10" s="773">
        <v>1</v>
      </c>
      <c r="T10" s="376" t="s">
        <v>702</v>
      </c>
      <c r="U10" s="376"/>
      <c r="V10" s="377"/>
      <c r="W10" s="377"/>
      <c r="X10" s="376"/>
      <c r="Y10" s="376"/>
      <c r="Z10" s="376"/>
      <c r="AA10" s="376"/>
      <c r="AB10" s="376"/>
      <c r="AC10" s="376"/>
      <c r="AD10" s="389"/>
      <c r="AE10" s="739"/>
      <c r="AF10" s="739"/>
    </row>
    <row r="11" spans="1:37" ht="15" customHeight="1">
      <c r="B11" s="388"/>
      <c r="C11" s="363"/>
      <c r="D11" s="363"/>
      <c r="E11" s="363"/>
      <c r="F11" s="361"/>
      <c r="G11" s="361"/>
      <c r="H11" s="361"/>
      <c r="I11" s="361"/>
      <c r="J11" s="361"/>
      <c r="K11" s="377"/>
      <c r="L11" s="377"/>
      <c r="M11" s="377"/>
      <c r="N11" s="387"/>
      <c r="P11" s="388"/>
      <c r="Q11" s="377"/>
      <c r="R11" s="377"/>
      <c r="S11" s="377"/>
      <c r="T11" s="377"/>
      <c r="U11" s="377"/>
      <c r="V11" s="377"/>
      <c r="W11" s="377"/>
      <c r="X11" s="376"/>
      <c r="Y11" s="376"/>
      <c r="Z11" s="376"/>
      <c r="AA11" s="376"/>
      <c r="AB11" s="376"/>
      <c r="AC11" s="376"/>
      <c r="AD11" s="389"/>
      <c r="AE11" s="739"/>
      <c r="AF11" s="739"/>
    </row>
    <row r="12" spans="1:37" ht="15" customHeight="1">
      <c r="B12" s="388"/>
      <c r="C12" s="363"/>
      <c r="D12" s="363"/>
      <c r="E12" s="363"/>
      <c r="F12" s="361"/>
      <c r="G12" s="361"/>
      <c r="H12" s="361"/>
      <c r="I12" s="361"/>
      <c r="J12" s="361"/>
      <c r="K12" s="377"/>
      <c r="L12" s="377"/>
      <c r="M12" s="377"/>
      <c r="N12" s="387"/>
      <c r="P12" s="397"/>
      <c r="Q12" s="377"/>
      <c r="R12" s="377"/>
      <c r="S12" s="377"/>
      <c r="T12" s="377"/>
      <c r="U12" s="377"/>
      <c r="V12" s="377"/>
      <c r="W12" s="377"/>
      <c r="X12" s="377"/>
      <c r="Y12" s="377"/>
      <c r="Z12" s="377"/>
      <c r="AA12" s="377"/>
      <c r="AB12" s="377"/>
      <c r="AC12" s="377"/>
      <c r="AD12" s="387"/>
      <c r="AE12" s="739"/>
      <c r="AF12" s="739"/>
    </row>
    <row r="13" spans="1:37" ht="15" customHeight="1">
      <c r="B13" s="388"/>
      <c r="C13" s="363"/>
      <c r="D13" s="363"/>
      <c r="E13" s="363"/>
      <c r="F13" s="361"/>
      <c r="G13" s="361"/>
      <c r="H13" s="361"/>
      <c r="I13" s="361"/>
      <c r="J13" s="361"/>
      <c r="K13" s="377"/>
      <c r="L13" s="377"/>
      <c r="M13" s="377"/>
      <c r="N13" s="387"/>
      <c r="P13" s="397"/>
      <c r="Q13" s="377"/>
      <c r="R13" s="377"/>
      <c r="S13" s="377"/>
      <c r="T13" s="377"/>
      <c r="U13" s="377"/>
      <c r="V13" s="377"/>
      <c r="W13" s="377"/>
      <c r="X13" s="377"/>
      <c r="Y13" s="377"/>
      <c r="Z13" s="377"/>
      <c r="AA13" s="377"/>
      <c r="AB13" s="377"/>
      <c r="AC13" s="377"/>
      <c r="AD13" s="387"/>
      <c r="AE13" s="739"/>
      <c r="AF13" s="739"/>
    </row>
    <row r="14" spans="1:37" ht="15" customHeight="1">
      <c r="B14" s="388"/>
      <c r="C14" s="363"/>
      <c r="D14" s="363"/>
      <c r="E14" s="363"/>
      <c r="F14" s="361"/>
      <c r="G14" s="361"/>
      <c r="H14" s="361"/>
      <c r="I14" s="361"/>
      <c r="J14" s="361"/>
      <c r="K14" s="377"/>
      <c r="L14" s="377"/>
      <c r="M14" s="377"/>
      <c r="N14" s="387"/>
      <c r="P14" s="397"/>
      <c r="Q14" s="377"/>
      <c r="R14" s="377"/>
      <c r="S14" s="377"/>
      <c r="T14" s="377"/>
      <c r="U14" s="377"/>
      <c r="V14" s="377"/>
      <c r="W14" s="377"/>
      <c r="X14" s="377"/>
      <c r="Y14" s="377"/>
      <c r="Z14" s="377"/>
      <c r="AA14" s="377"/>
      <c r="AB14" s="377"/>
      <c r="AC14" s="377"/>
      <c r="AD14" s="387"/>
      <c r="AE14" s="739"/>
      <c r="AF14" s="739"/>
    </row>
    <row r="15" spans="1:37" ht="15" customHeight="1">
      <c r="B15" s="388"/>
      <c r="C15" s="363"/>
      <c r="D15" s="363"/>
      <c r="E15" s="363"/>
      <c r="F15" s="361"/>
      <c r="G15" s="361"/>
      <c r="H15" s="361"/>
      <c r="I15" s="361"/>
      <c r="J15" s="361"/>
      <c r="K15" s="377"/>
      <c r="L15" s="377"/>
      <c r="M15" s="377"/>
      <c r="N15" s="387"/>
      <c r="P15" s="397"/>
      <c r="Q15" s="377"/>
      <c r="R15" s="377"/>
      <c r="S15" s="377"/>
      <c r="T15" s="377"/>
      <c r="U15" s="377"/>
      <c r="V15" s="377"/>
      <c r="W15" s="377"/>
      <c r="X15" s="377"/>
      <c r="Y15" s="377"/>
      <c r="Z15" s="377"/>
      <c r="AA15" s="377"/>
      <c r="AB15" s="377"/>
      <c r="AC15" s="377"/>
      <c r="AD15" s="387"/>
      <c r="AE15" s="739"/>
      <c r="AF15" s="739"/>
    </row>
    <row r="16" spans="1:37" ht="15" customHeight="1">
      <c r="B16" s="388"/>
      <c r="C16" s="363"/>
      <c r="D16" s="363"/>
      <c r="E16" s="363"/>
      <c r="F16" s="361"/>
      <c r="G16" s="361"/>
      <c r="H16" s="361"/>
      <c r="I16" s="361"/>
      <c r="J16" s="361"/>
      <c r="K16" s="377"/>
      <c r="L16" s="377"/>
      <c r="M16" s="377"/>
      <c r="N16" s="387"/>
      <c r="P16" s="397"/>
      <c r="Q16" s="377"/>
      <c r="R16" s="377"/>
      <c r="S16" s="377"/>
      <c r="T16" s="377"/>
      <c r="U16" s="377"/>
      <c r="V16" s="377"/>
      <c r="W16" s="377"/>
      <c r="X16" s="377"/>
      <c r="Y16" s="377"/>
      <c r="Z16" s="377"/>
      <c r="AA16" s="377"/>
      <c r="AB16" s="377"/>
      <c r="AC16" s="377"/>
      <c r="AD16" s="387"/>
      <c r="AE16" s="739"/>
      <c r="AF16" s="739"/>
    </row>
    <row r="17" spans="2:32" ht="15" customHeight="1">
      <c r="B17" s="388"/>
      <c r="C17" s="363"/>
      <c r="D17" s="363"/>
      <c r="E17" s="363"/>
      <c r="F17" s="361"/>
      <c r="G17" s="361"/>
      <c r="H17" s="361"/>
      <c r="I17" s="361"/>
      <c r="J17" s="361"/>
      <c r="K17" s="377"/>
      <c r="L17" s="377"/>
      <c r="M17" s="377"/>
      <c r="N17" s="387"/>
      <c r="P17" s="397"/>
      <c r="Q17" s="377"/>
      <c r="R17" s="377"/>
      <c r="S17" s="377"/>
      <c r="T17" s="377"/>
      <c r="U17" s="377"/>
      <c r="V17" s="377"/>
      <c r="W17" s="377"/>
      <c r="X17" s="377"/>
      <c r="Y17" s="377"/>
      <c r="Z17" s="377"/>
      <c r="AA17" s="377"/>
      <c r="AB17" s="377"/>
      <c r="AC17" s="377"/>
      <c r="AD17" s="387"/>
      <c r="AE17" s="739"/>
      <c r="AF17" s="739"/>
    </row>
    <row r="18" spans="2:32" ht="15" customHeight="1">
      <c r="B18" s="388"/>
      <c r="C18" s="363"/>
      <c r="D18" s="363"/>
      <c r="E18" s="363"/>
      <c r="F18" s="361"/>
      <c r="G18" s="361"/>
      <c r="H18" s="361"/>
      <c r="I18" s="361"/>
      <c r="J18" s="361"/>
      <c r="K18" s="377"/>
      <c r="L18" s="377"/>
      <c r="M18" s="377"/>
      <c r="N18" s="387"/>
      <c r="P18" s="39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87"/>
      <c r="AE18" s="739"/>
      <c r="AF18" s="739"/>
    </row>
    <row r="19" spans="2:32" ht="15" customHeight="1">
      <c r="B19" s="388"/>
      <c r="C19" s="363"/>
      <c r="D19" s="363"/>
      <c r="E19" s="363"/>
      <c r="F19" s="361"/>
      <c r="G19" s="361"/>
      <c r="H19" s="361"/>
      <c r="I19" s="361"/>
      <c r="J19" s="361"/>
      <c r="K19" s="377"/>
      <c r="L19" s="377"/>
      <c r="M19" s="377"/>
      <c r="N19" s="387"/>
      <c r="P19" s="39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377"/>
      <c r="AB19" s="377"/>
      <c r="AC19" s="377"/>
      <c r="AD19" s="387"/>
      <c r="AE19" s="739"/>
      <c r="AF19" s="739"/>
    </row>
    <row r="20" spans="2:32" ht="15" customHeight="1">
      <c r="B20" s="388"/>
      <c r="C20" s="363"/>
      <c r="D20" s="363"/>
      <c r="E20" s="363"/>
      <c r="F20" s="361"/>
      <c r="G20" s="361"/>
      <c r="H20" s="361"/>
      <c r="I20" s="361"/>
      <c r="J20" s="361"/>
      <c r="K20" s="377"/>
      <c r="L20" s="377"/>
      <c r="M20" s="377"/>
      <c r="N20" s="387"/>
      <c r="P20" s="397"/>
      <c r="Q20" s="376"/>
      <c r="R20" s="377"/>
      <c r="S20" s="377"/>
      <c r="T20" s="376"/>
      <c r="U20" s="376"/>
      <c r="V20" s="376"/>
      <c r="W20" s="377"/>
      <c r="X20" s="377"/>
      <c r="Y20" s="377"/>
      <c r="Z20" s="377"/>
      <c r="AA20" s="377"/>
      <c r="AB20" s="377"/>
      <c r="AC20" s="377"/>
      <c r="AD20" s="387"/>
      <c r="AE20" s="739"/>
      <c r="AF20" s="739"/>
    </row>
    <row r="21" spans="2:32" ht="15" customHeight="1">
      <c r="B21" s="388"/>
      <c r="C21" s="363"/>
      <c r="D21" s="363"/>
      <c r="E21" s="363"/>
      <c r="F21" s="361"/>
      <c r="G21" s="361"/>
      <c r="H21" s="361"/>
      <c r="I21" s="361"/>
      <c r="J21" s="361"/>
      <c r="K21" s="377"/>
      <c r="L21" s="377"/>
      <c r="M21" s="377"/>
      <c r="N21" s="387"/>
      <c r="P21" s="397"/>
      <c r="Q21" s="376"/>
      <c r="R21" s="377"/>
      <c r="S21" s="377"/>
      <c r="T21" s="377"/>
      <c r="U21" s="377"/>
      <c r="V21" s="377"/>
      <c r="W21" s="377"/>
      <c r="X21" s="377"/>
      <c r="Y21" s="377"/>
      <c r="Z21" s="377"/>
      <c r="AA21" s="377"/>
      <c r="AB21" s="377"/>
      <c r="AC21" s="377"/>
      <c r="AD21" s="387"/>
      <c r="AE21" s="739"/>
      <c r="AF21" s="739"/>
    </row>
    <row r="22" spans="2:32" ht="15" customHeight="1">
      <c r="B22" s="388"/>
      <c r="C22" s="363"/>
      <c r="D22" s="363"/>
      <c r="E22" s="363"/>
      <c r="F22" s="361"/>
      <c r="G22" s="361"/>
      <c r="H22" s="361"/>
      <c r="I22" s="361"/>
      <c r="J22" s="361"/>
      <c r="K22" s="377"/>
      <c r="L22" s="377"/>
      <c r="M22" s="377"/>
      <c r="N22" s="387"/>
      <c r="P22" s="397"/>
      <c r="Q22" s="377"/>
      <c r="R22" s="377"/>
      <c r="S22" s="377"/>
      <c r="T22" s="377"/>
      <c r="U22" s="377"/>
      <c r="V22" s="377"/>
      <c r="W22" s="377"/>
      <c r="X22" s="377"/>
      <c r="Y22" s="377"/>
      <c r="Z22" s="377"/>
      <c r="AA22" s="377"/>
      <c r="AB22" s="377"/>
      <c r="AC22" s="377"/>
      <c r="AD22" s="387"/>
      <c r="AE22" s="739"/>
      <c r="AF22" s="739"/>
    </row>
    <row r="23" spans="2:32" ht="15" customHeight="1">
      <c r="B23" s="388"/>
      <c r="C23" s="363"/>
      <c r="D23" s="363"/>
      <c r="E23" s="363"/>
      <c r="F23" s="361"/>
      <c r="G23" s="361"/>
      <c r="H23" s="361"/>
      <c r="I23" s="361"/>
      <c r="J23" s="361"/>
      <c r="K23" s="377"/>
      <c r="L23" s="377"/>
      <c r="M23" s="377"/>
      <c r="N23" s="387"/>
      <c r="P23" s="397"/>
      <c r="Q23" s="377"/>
      <c r="R23" s="377"/>
      <c r="S23" s="377"/>
      <c r="T23" s="377"/>
      <c r="U23" s="377"/>
      <c r="V23" s="377"/>
      <c r="W23" s="377"/>
      <c r="X23" s="377"/>
      <c r="Y23" s="377"/>
      <c r="Z23" s="377"/>
      <c r="AA23" s="377"/>
      <c r="AB23" s="377"/>
      <c r="AC23" s="377"/>
      <c r="AD23" s="387"/>
      <c r="AE23" s="739"/>
      <c r="AF23" s="739"/>
    </row>
    <row r="24" spans="2:32" ht="20.100000000000001" customHeight="1">
      <c r="B24" s="388"/>
      <c r="C24" s="566" t="s">
        <v>810</v>
      </c>
      <c r="D24" s="779" t="s">
        <v>809</v>
      </c>
      <c r="E24" s="772">
        <v>7.5</v>
      </c>
      <c r="F24" s="780" t="s">
        <v>5</v>
      </c>
      <c r="G24" s="361"/>
      <c r="H24" s="361"/>
      <c r="I24" s="361"/>
      <c r="J24" s="361"/>
      <c r="K24" s="377"/>
      <c r="L24" s="377"/>
      <c r="M24" s="377"/>
      <c r="N24" s="387"/>
      <c r="P24" s="397"/>
      <c r="Q24" s="377"/>
      <c r="R24" s="377"/>
      <c r="S24" s="377"/>
      <c r="T24" s="377"/>
      <c r="U24" s="377"/>
      <c r="V24" s="377"/>
      <c r="W24" s="377"/>
      <c r="X24" s="377"/>
      <c r="Y24" s="377"/>
      <c r="Z24" s="377"/>
      <c r="AA24" s="377"/>
      <c r="AB24" s="377"/>
      <c r="AC24" s="377"/>
      <c r="AD24" s="387"/>
      <c r="AE24" s="739"/>
      <c r="AF24" s="739"/>
    </row>
    <row r="25" spans="2:32" ht="15" customHeight="1">
      <c r="B25" s="388"/>
      <c r="C25" s="363"/>
      <c r="D25" s="363"/>
      <c r="E25" s="363"/>
      <c r="F25" s="361"/>
      <c r="G25" s="361"/>
      <c r="H25" s="361"/>
      <c r="I25" s="361"/>
      <c r="J25" s="361"/>
      <c r="K25" s="377"/>
      <c r="L25" s="377"/>
      <c r="M25" s="377"/>
      <c r="N25" s="387"/>
      <c r="P25" s="39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377"/>
      <c r="AB25" s="377"/>
      <c r="AC25" s="377"/>
      <c r="AD25" s="387"/>
      <c r="AE25" s="739"/>
      <c r="AF25" s="739"/>
    </row>
    <row r="26" spans="2:32" ht="30" customHeight="1">
      <c r="B26" s="388"/>
      <c r="C26" s="566" t="s">
        <v>472</v>
      </c>
      <c r="D26" s="853" t="s">
        <v>719</v>
      </c>
      <c r="E26" s="878" t="s">
        <v>904</v>
      </c>
      <c r="F26" s="878" t="s">
        <v>905</v>
      </c>
      <c r="G26" s="878" t="s">
        <v>906</v>
      </c>
      <c r="H26" s="878" t="s">
        <v>907</v>
      </c>
      <c r="I26" s="376"/>
      <c r="J26" s="361"/>
      <c r="K26" s="377"/>
      <c r="L26" s="377"/>
      <c r="M26" s="377"/>
      <c r="N26" s="387"/>
      <c r="P26" s="397"/>
      <c r="Q26" s="377"/>
      <c r="R26" s="377"/>
      <c r="S26" s="377"/>
      <c r="T26" s="377"/>
      <c r="U26" s="377"/>
      <c r="V26" s="377"/>
      <c r="W26" s="377"/>
      <c r="X26" s="377"/>
      <c r="Y26" s="377"/>
      <c r="Z26" s="377"/>
      <c r="AA26" s="377"/>
      <c r="AB26" s="377"/>
      <c r="AC26" s="377"/>
      <c r="AD26" s="387"/>
      <c r="AE26" s="739"/>
      <c r="AF26" s="739"/>
    </row>
    <row r="27" spans="2:32" ht="15" customHeight="1">
      <c r="B27" s="388"/>
      <c r="C27" s="941" t="s">
        <v>699</v>
      </c>
      <c r="D27" s="939" t="str">
        <f>INDEX('BAZA DANYCH'!$C$11:$G$28,MATCH('BAZA DANYCH'!$B$4,'BAZA DANYCH'!$B$11:$B$28,0),1)</f>
        <v>BH 32-450</v>
      </c>
      <c r="E27" s="851">
        <f>INDEX('BAZA DANYCH'!$C$11:$G$28,MATCH('BAZA DANYCH'!$B$4,'BAZA DANYCH'!$B$11:$B$28,0),2)</f>
        <v>320</v>
      </c>
      <c r="F27" s="851">
        <f>INDEX('BAZA DANYCH'!$C$11:$G$28,MATCH('BAZA DANYCH'!$B$4,'BAZA DANYCH'!$B$11:$B$28,0),3)</f>
        <v>450</v>
      </c>
      <c r="G27" s="851">
        <f>INDEX('BAZA DANYCH'!$C$11:$G$28,MATCH('BAZA DANYCH'!$B$4,'BAZA DANYCH'!$B$11:$B$28,0),4)</f>
        <v>60</v>
      </c>
      <c r="H27" s="851">
        <f>INDEX('BAZA DANYCH'!$C$11:$G$28,MATCH('BAZA DANYCH'!$B$4,'BAZA DANYCH'!$B$11:$B$28,0),5)</f>
        <v>110</v>
      </c>
      <c r="I27" s="376"/>
      <c r="J27" s="377"/>
      <c r="K27" s="376"/>
      <c r="L27" s="376"/>
      <c r="M27" s="376"/>
      <c r="N27" s="387"/>
      <c r="P27" s="397"/>
      <c r="Q27" s="377"/>
      <c r="R27" s="377"/>
      <c r="S27" s="377"/>
      <c r="T27" s="377"/>
      <c r="U27" s="377"/>
      <c r="V27" s="377"/>
      <c r="W27" s="377"/>
      <c r="X27" s="377"/>
      <c r="Y27" s="377"/>
      <c r="Z27" s="377"/>
      <c r="AA27" s="377"/>
      <c r="AB27" s="377"/>
      <c r="AC27" s="377"/>
      <c r="AD27" s="387"/>
      <c r="AE27" s="739"/>
      <c r="AF27" s="739"/>
    </row>
    <row r="28" spans="2:32" ht="15" customHeight="1">
      <c r="B28" s="388"/>
      <c r="C28" s="941" t="s">
        <v>700</v>
      </c>
      <c r="D28" s="940" t="s">
        <v>17</v>
      </c>
      <c r="E28" s="852">
        <v>320</v>
      </c>
      <c r="F28" s="852">
        <v>450</v>
      </c>
      <c r="G28" s="852">
        <v>65</v>
      </c>
      <c r="H28" s="852">
        <v>110</v>
      </c>
      <c r="I28" s="376"/>
      <c r="J28" s="376"/>
      <c r="K28" s="377"/>
      <c r="L28" s="377"/>
      <c r="M28" s="377"/>
      <c r="N28" s="387"/>
      <c r="P28" s="397"/>
      <c r="Q28" s="377"/>
      <c r="R28" s="377"/>
      <c r="S28" s="377"/>
      <c r="T28" s="377"/>
      <c r="U28" s="377"/>
      <c r="V28" s="377"/>
      <c r="W28" s="377"/>
      <c r="X28" s="377"/>
      <c r="Y28" s="377"/>
      <c r="Z28" s="377"/>
      <c r="AA28" s="377"/>
      <c r="AB28" s="377"/>
      <c r="AC28" s="377"/>
      <c r="AD28" s="387"/>
      <c r="AE28" s="739"/>
      <c r="AF28" s="739"/>
    </row>
    <row r="29" spans="2:32" ht="15" customHeight="1">
      <c r="B29" s="388"/>
      <c r="C29" s="376"/>
      <c r="D29" s="376"/>
      <c r="E29" s="375"/>
      <c r="F29" s="375"/>
      <c r="G29" s="375"/>
      <c r="H29" s="375"/>
      <c r="I29" s="376"/>
      <c r="J29" s="376"/>
      <c r="K29" s="377"/>
      <c r="L29" s="377"/>
      <c r="M29" s="377"/>
      <c r="N29" s="387"/>
      <c r="P29" s="397"/>
      <c r="Q29" s="377"/>
      <c r="R29" s="377"/>
      <c r="S29" s="377"/>
      <c r="T29" s="377"/>
      <c r="U29" s="377"/>
      <c r="V29" s="377"/>
      <c r="W29" s="377"/>
      <c r="X29" s="377"/>
      <c r="Y29" s="377"/>
      <c r="Z29" s="377"/>
      <c r="AA29" s="377"/>
      <c r="AB29" s="377"/>
      <c r="AC29" s="377"/>
      <c r="AD29" s="387"/>
      <c r="AE29" s="739"/>
      <c r="AF29" s="739"/>
    </row>
    <row r="30" spans="2:32" ht="15" customHeight="1">
      <c r="B30" s="388"/>
      <c r="C30" s="567" t="s">
        <v>558</v>
      </c>
      <c r="D30" s="997" t="s">
        <v>719</v>
      </c>
      <c r="E30" s="996" t="s">
        <v>611</v>
      </c>
      <c r="F30" s="996"/>
      <c r="G30" s="996" t="s">
        <v>612</v>
      </c>
      <c r="H30" s="996"/>
      <c r="I30" s="996" t="s">
        <v>28</v>
      </c>
      <c r="J30" s="996"/>
      <c r="K30" s="377"/>
      <c r="L30" s="872" t="s">
        <v>829</v>
      </c>
      <c r="M30" s="873"/>
      <c r="N30" s="387"/>
      <c r="P30" s="397"/>
      <c r="Q30" s="377"/>
      <c r="R30" s="377"/>
      <c r="S30" s="377"/>
      <c r="T30" s="377"/>
      <c r="U30" s="377"/>
      <c r="V30" s="377"/>
      <c r="W30" s="377"/>
      <c r="X30" s="377"/>
      <c r="Y30" s="377"/>
      <c r="Z30" s="377"/>
      <c r="AA30" s="377"/>
      <c r="AB30" s="377"/>
      <c r="AC30" s="377"/>
      <c r="AD30" s="387"/>
      <c r="AE30" s="739"/>
      <c r="AF30" s="739"/>
    </row>
    <row r="31" spans="2:32" ht="15" customHeight="1">
      <c r="B31" s="388"/>
      <c r="C31" s="376"/>
      <c r="D31" s="997"/>
      <c r="E31" s="879" t="s">
        <v>29</v>
      </c>
      <c r="F31" s="878" t="s">
        <v>908</v>
      </c>
      <c r="G31" s="879" t="s">
        <v>29</v>
      </c>
      <c r="H31" s="878" t="s">
        <v>909</v>
      </c>
      <c r="I31" s="878" t="s">
        <v>910</v>
      </c>
      <c r="J31" s="880" t="s">
        <v>911</v>
      </c>
      <c r="K31" s="377"/>
      <c r="L31" s="874" t="s">
        <v>902</v>
      </c>
      <c r="M31" s="875" t="s">
        <v>903</v>
      </c>
      <c r="N31" s="387"/>
      <c r="P31" s="397"/>
      <c r="Q31" s="377"/>
      <c r="R31" s="377"/>
      <c r="S31" s="377"/>
      <c r="T31" s="377"/>
      <c r="U31" s="377"/>
      <c r="V31" s="377"/>
      <c r="W31" s="377"/>
      <c r="X31" s="377"/>
      <c r="Y31" s="377"/>
      <c r="Z31" s="377"/>
      <c r="AA31" s="377"/>
      <c r="AB31" s="377"/>
      <c r="AC31" s="377"/>
      <c r="AD31" s="387"/>
      <c r="AE31" s="739"/>
      <c r="AF31" s="739"/>
    </row>
    <row r="32" spans="2:32" ht="15" customHeight="1">
      <c r="B32" s="388"/>
      <c r="C32" s="843" t="s">
        <v>699</v>
      </c>
      <c r="D32" s="851" t="str">
        <f>INDEX('BAZA DANYCH'!$C$35:$I$52,MATCH('BAZA DANYCH'!$B$4,'BAZA DANYCH'!$B$35:$B$52,0),1)</f>
        <v>BH 32-450</v>
      </c>
      <c r="E32" s="851">
        <f>INDEX('BAZA DANYCH'!$C$35:$I$52,MATCH('BAZA DANYCH'!$B$4,'BAZA DANYCH'!$B$35:$B$52,0),2)</f>
        <v>6</v>
      </c>
      <c r="F32" s="851">
        <f>INDEX('BAZA DANYCH'!$C$35:$I$52,MATCH('BAZA DANYCH'!$B$4,'BAZA DANYCH'!$B$35:$B$52,0),3)</f>
        <v>32</v>
      </c>
      <c r="G32" s="851">
        <f>INDEX('BAZA DANYCH'!$C$35:$I$52,MATCH('BAZA DANYCH'!$B$4,'BAZA DANYCH'!$B$35:$B$52,0),4)</f>
        <v>6</v>
      </c>
      <c r="H32" s="851">
        <f>INDEX('BAZA DANYCH'!$C$35:$I$52,MATCH('BAZA DANYCH'!$B$4,'BAZA DANYCH'!$B$35:$B$52,0),5)</f>
        <v>16</v>
      </c>
      <c r="I32" s="851">
        <f>INDEX('BAZA DANYCH'!$C$35:$I$52,MATCH('BAZA DANYCH'!$B$4,'BAZA DANYCH'!$B$35:$B$52,0),6)</f>
        <v>8</v>
      </c>
      <c r="J32" s="851">
        <f>INDEX('BAZA DANYCH'!$C$35:$I$52,MATCH('BAZA DANYCH'!$B$4,'BAZA DANYCH'!$B$35:$B$52,0),7)</f>
        <v>125</v>
      </c>
      <c r="K32" s="377"/>
      <c r="L32" s="876">
        <f>($E$409+$E$408)/($D$121*$E$121*0.01)</f>
        <v>4.1887902047863905E-2</v>
      </c>
      <c r="M32" s="876">
        <v>0.04</v>
      </c>
      <c r="N32" s="387"/>
      <c r="P32" s="397"/>
      <c r="Q32" s="377"/>
      <c r="R32" s="377"/>
      <c r="S32" s="377"/>
      <c r="T32" s="377"/>
      <c r="U32" s="377"/>
      <c r="V32" s="377"/>
      <c r="W32" s="377"/>
      <c r="X32" s="377"/>
      <c r="Y32" s="377"/>
      <c r="Z32" s="377"/>
      <c r="AA32" s="377"/>
      <c r="AB32" s="377"/>
      <c r="AC32" s="377"/>
      <c r="AD32" s="387"/>
      <c r="AE32" s="739"/>
      <c r="AF32" s="739"/>
    </row>
    <row r="33" spans="2:32" ht="15" customHeight="1">
      <c r="B33" s="388"/>
      <c r="C33" s="844" t="s">
        <v>700</v>
      </c>
      <c r="D33" s="852" t="s">
        <v>17</v>
      </c>
      <c r="E33" s="852">
        <v>6</v>
      </c>
      <c r="F33" s="852">
        <v>32</v>
      </c>
      <c r="G33" s="852">
        <v>6</v>
      </c>
      <c r="H33" s="852">
        <v>16</v>
      </c>
      <c r="I33" s="852">
        <v>8</v>
      </c>
      <c r="J33" s="852">
        <v>130</v>
      </c>
      <c r="K33" s="377"/>
      <c r="L33" s="938">
        <f>L32/M32</f>
        <v>1.0471975511965976</v>
      </c>
      <c r="M33" s="377"/>
      <c r="N33" s="387"/>
      <c r="P33" s="397"/>
      <c r="Q33" s="377"/>
      <c r="R33" s="377"/>
      <c r="S33" s="377"/>
      <c r="T33" s="377"/>
      <c r="U33" s="377"/>
      <c r="V33" s="377"/>
      <c r="W33" s="377"/>
      <c r="X33" s="377"/>
      <c r="Y33" s="377"/>
      <c r="Z33" s="377"/>
      <c r="AA33" s="377"/>
      <c r="AB33" s="377"/>
      <c r="AC33" s="377"/>
      <c r="AD33" s="387"/>
      <c r="AE33" s="739"/>
      <c r="AF33" s="739"/>
    </row>
    <row r="34" spans="2:32" ht="15" customHeight="1">
      <c r="B34" s="388"/>
      <c r="C34" s="376"/>
      <c r="D34" s="376"/>
      <c r="E34" s="376"/>
      <c r="F34" s="376"/>
      <c r="G34" s="376"/>
      <c r="H34" s="376"/>
      <c r="I34" s="376"/>
      <c r="J34" s="376"/>
      <c r="K34" s="377"/>
      <c r="L34" s="377"/>
      <c r="M34" s="377"/>
      <c r="N34" s="387"/>
      <c r="P34" s="397"/>
      <c r="Q34" s="377"/>
      <c r="R34" s="377"/>
      <c r="S34" s="377"/>
      <c r="T34" s="377"/>
      <c r="U34" s="377"/>
      <c r="V34" s="377"/>
      <c r="W34" s="377"/>
      <c r="X34" s="377"/>
      <c r="Y34" s="377"/>
      <c r="Z34" s="377"/>
      <c r="AA34" s="377"/>
      <c r="AB34" s="377"/>
      <c r="AC34" s="377"/>
      <c r="AD34" s="387"/>
      <c r="AE34" s="739"/>
      <c r="AF34" s="739"/>
    </row>
    <row r="35" spans="2:32" ht="15" customHeight="1">
      <c r="B35" s="388"/>
      <c r="C35" s="567" t="s">
        <v>659</v>
      </c>
      <c r="D35" s="997" t="s">
        <v>719</v>
      </c>
      <c r="E35" s="993" t="s">
        <v>31</v>
      </c>
      <c r="F35" s="995"/>
      <c r="G35" s="993" t="s">
        <v>32</v>
      </c>
      <c r="H35" s="994"/>
      <c r="I35" s="995"/>
      <c r="J35" s="377"/>
      <c r="K35" s="377"/>
      <c r="L35" s="377"/>
      <c r="M35" s="377"/>
      <c r="N35" s="387"/>
      <c r="P35" s="397"/>
      <c r="Q35" s="377"/>
      <c r="R35" s="377"/>
      <c r="S35" s="377"/>
      <c r="T35" s="377"/>
      <c r="U35" s="377"/>
      <c r="V35" s="377"/>
      <c r="W35" s="377"/>
      <c r="X35" s="377"/>
      <c r="Y35" s="377"/>
      <c r="Z35" s="377"/>
      <c r="AA35" s="377"/>
      <c r="AB35" s="377"/>
      <c r="AC35" s="377"/>
      <c r="AD35" s="387"/>
      <c r="AE35" s="739"/>
      <c r="AF35" s="739"/>
    </row>
    <row r="36" spans="2:32" ht="15" customHeight="1">
      <c r="B36" s="388"/>
      <c r="C36" s="376"/>
      <c r="D36" s="997"/>
      <c r="E36" s="881" t="s">
        <v>912</v>
      </c>
      <c r="F36" s="881" t="s">
        <v>913</v>
      </c>
      <c r="G36" s="881" t="s">
        <v>914</v>
      </c>
      <c r="H36" s="881" t="s">
        <v>915</v>
      </c>
      <c r="I36" s="881" t="s">
        <v>916</v>
      </c>
      <c r="J36" s="377"/>
      <c r="K36" s="377"/>
      <c r="L36" s="377"/>
      <c r="M36" s="377"/>
      <c r="N36" s="387"/>
      <c r="P36" s="397"/>
      <c r="Q36" s="377"/>
      <c r="R36" s="377"/>
      <c r="S36" s="377"/>
      <c r="T36" s="377"/>
      <c r="U36" s="377"/>
      <c r="V36" s="377"/>
      <c r="W36" s="377"/>
      <c r="X36" s="377"/>
      <c r="Y36" s="377"/>
      <c r="Z36" s="377"/>
      <c r="AA36" s="377"/>
      <c r="AB36" s="377"/>
      <c r="AC36" s="377"/>
      <c r="AD36" s="387"/>
      <c r="AE36" s="739"/>
      <c r="AF36" s="739"/>
    </row>
    <row r="37" spans="2:32" ht="15" customHeight="1">
      <c r="B37" s="388"/>
      <c r="C37" s="843" t="s">
        <v>699</v>
      </c>
      <c r="D37" s="851" t="str">
        <f>INDEX('BAZA DANYCH'!$C$60:$H$77,MATCH('BAZA DANYCH'!$B$4,'BAZA DANYCH'!$B$60:$B$77,0),1)</f>
        <v>BH 32-450</v>
      </c>
      <c r="E37" s="851">
        <f>INDEX('BAZA DANYCH'!$C$60:$H$77,MATCH('BAZA DANYCH'!$B$4,'BAZA DANYCH'!$B$60:$B$77,0),2)</f>
        <v>255</v>
      </c>
      <c r="F37" s="851">
        <f>INDEX('BAZA DANYCH'!$C$60:$H$77,MATCH('BAZA DANYCH'!$B$4,'BAZA DANYCH'!$B$60:$B$77,0),3)</f>
        <v>8</v>
      </c>
      <c r="G37" s="851">
        <f>INDEX('BAZA DANYCH'!$C$60:$H$77,MATCH('BAZA DANYCH'!$B$4,'BAZA DANYCH'!$B$60:$B$77,0),4)</f>
        <v>806</v>
      </c>
      <c r="H37" s="851">
        <f>INDEX('BAZA DANYCH'!$C$60:$H$77,MATCH('BAZA DANYCH'!$B$4,'BAZA DANYCH'!$B$60:$B$77,0),5)</f>
        <v>170</v>
      </c>
      <c r="I37" s="851">
        <f>INDEX('BAZA DANYCH'!$C$60:$H$77,MATCH('BAZA DANYCH'!$B$4,'BAZA DANYCH'!$B$60:$B$77,0),6)</f>
        <v>15</v>
      </c>
      <c r="J37" s="377"/>
      <c r="K37" s="377"/>
      <c r="L37" s="377"/>
      <c r="M37" s="377"/>
      <c r="N37" s="387"/>
      <c r="P37" s="397"/>
      <c r="Q37" s="377"/>
      <c r="R37" s="377"/>
      <c r="S37" s="377"/>
      <c r="T37" s="377"/>
      <c r="U37" s="377"/>
      <c r="V37" s="377"/>
      <c r="W37" s="377"/>
      <c r="X37" s="377"/>
      <c r="Y37" s="377"/>
      <c r="Z37" s="377"/>
      <c r="AA37" s="377"/>
      <c r="AB37" s="377"/>
      <c r="AC37" s="377"/>
      <c r="AD37" s="387"/>
      <c r="AE37" s="739"/>
      <c r="AF37" s="739"/>
    </row>
    <row r="38" spans="2:32" ht="15" customHeight="1">
      <c r="B38" s="388"/>
      <c r="C38" s="844" t="s">
        <v>701</v>
      </c>
      <c r="D38" s="852" t="s">
        <v>17</v>
      </c>
      <c r="E38" s="852">
        <v>255</v>
      </c>
      <c r="F38" s="852">
        <v>8</v>
      </c>
      <c r="G38" s="852">
        <v>806</v>
      </c>
      <c r="H38" s="852">
        <v>170</v>
      </c>
      <c r="I38" s="852">
        <v>15</v>
      </c>
      <c r="J38" s="377"/>
      <c r="K38" s="377"/>
      <c r="L38" s="377"/>
      <c r="M38" s="377"/>
      <c r="N38" s="387"/>
      <c r="P38" s="397"/>
      <c r="Q38" s="377"/>
      <c r="R38" s="377"/>
      <c r="S38" s="377"/>
      <c r="T38" s="377"/>
      <c r="U38" s="377"/>
      <c r="V38" s="377"/>
      <c r="W38" s="377"/>
      <c r="X38" s="377"/>
      <c r="Y38" s="377"/>
      <c r="Z38" s="377"/>
      <c r="AA38" s="377"/>
      <c r="AB38" s="377"/>
      <c r="AC38" s="377"/>
      <c r="AD38" s="387"/>
      <c r="AE38" s="739"/>
      <c r="AF38" s="739"/>
    </row>
    <row r="39" spans="2:32" ht="15" customHeight="1">
      <c r="B39" s="388"/>
      <c r="C39" s="376"/>
      <c r="D39" s="376"/>
      <c r="E39" s="376"/>
      <c r="F39" s="376"/>
      <c r="G39" s="376"/>
      <c r="H39" s="376"/>
      <c r="I39" s="376"/>
      <c r="J39" s="377"/>
      <c r="K39" s="377"/>
      <c r="L39" s="377"/>
      <c r="M39" s="377"/>
      <c r="N39" s="387"/>
      <c r="P39" s="39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7"/>
      <c r="AD39" s="387"/>
      <c r="AE39" s="739"/>
      <c r="AF39" s="739"/>
    </row>
    <row r="40" spans="2:32" ht="15" customHeight="1">
      <c r="B40" s="388"/>
      <c r="C40" s="567" t="s">
        <v>899</v>
      </c>
      <c r="D40" s="997" t="s">
        <v>719</v>
      </c>
      <c r="E40" s="998" t="s">
        <v>917</v>
      </c>
      <c r="F40" s="967" t="s">
        <v>918</v>
      </c>
      <c r="G40" s="967" t="s">
        <v>919</v>
      </c>
      <c r="H40" s="967" t="s">
        <v>920</v>
      </c>
      <c r="I40" s="376"/>
      <c r="J40" s="376"/>
      <c r="K40" s="377"/>
      <c r="L40" s="377"/>
      <c r="M40" s="377"/>
      <c r="N40" s="387"/>
      <c r="P40" s="39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87"/>
      <c r="AE40" s="739"/>
      <c r="AF40" s="739"/>
    </row>
    <row r="41" spans="2:32" ht="15" customHeight="1">
      <c r="B41" s="388"/>
      <c r="C41" s="376"/>
      <c r="D41" s="997"/>
      <c r="E41" s="998"/>
      <c r="F41" s="967"/>
      <c r="G41" s="967"/>
      <c r="H41" s="967"/>
      <c r="I41" s="376"/>
      <c r="J41" s="376"/>
      <c r="K41" s="377"/>
      <c r="L41" s="377"/>
      <c r="M41" s="377"/>
      <c r="N41" s="387"/>
      <c r="P41" s="397"/>
      <c r="Q41" s="377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87"/>
      <c r="AE41" s="739"/>
      <c r="AF41" s="739"/>
    </row>
    <row r="42" spans="2:32" ht="15" customHeight="1">
      <c r="B42" s="388"/>
      <c r="C42" s="843" t="s">
        <v>699</v>
      </c>
      <c r="D42" s="851" t="str">
        <f>INDEX('BAZA DANYCH'!$C$85:$G$102,MATCH('BAZA DANYCH'!$B$4,'BAZA DANYCH'!$B$85:$B$102,0),1)</f>
        <v>BH 32-450</v>
      </c>
      <c r="E42" s="851">
        <f>INDEX('BAZA DANYCH'!$C$85:$G$102,MATCH('BAZA DANYCH'!$B$4,'BAZA DANYCH'!$B$85:$B$102,0),2)</f>
        <v>22</v>
      </c>
      <c r="F42" s="851">
        <f>INDEX('BAZA DANYCH'!$C$85:$G$102,MATCH('BAZA DANYCH'!$B$4,'BAZA DANYCH'!$B$85:$B$102,0),3)</f>
        <v>130</v>
      </c>
      <c r="G42" s="851">
        <f>INDEX('BAZA DANYCH'!$C$85:$G$102,MATCH('BAZA DANYCH'!$B$4,'BAZA DANYCH'!$B$85:$B$102,0),4)</f>
        <v>125</v>
      </c>
      <c r="H42" s="851">
        <f>INDEX('BAZA DANYCH'!$C$85:$G$102,MATCH('BAZA DANYCH'!$B$4,'BAZA DANYCH'!$B$85:$B$102,0),5)</f>
        <v>100</v>
      </c>
      <c r="I42" s="376"/>
      <c r="J42" s="376"/>
      <c r="K42" s="377"/>
      <c r="L42" s="377"/>
      <c r="M42" s="377"/>
      <c r="N42" s="387"/>
      <c r="P42" s="397"/>
      <c r="Q42" s="377"/>
      <c r="R42" s="377"/>
      <c r="S42" s="377"/>
      <c r="T42" s="377"/>
      <c r="U42" s="377"/>
      <c r="V42" s="377"/>
      <c r="W42" s="377"/>
      <c r="X42" s="377"/>
      <c r="Y42" s="377"/>
      <c r="Z42" s="377"/>
      <c r="AA42" s="377"/>
      <c r="AB42" s="377"/>
      <c r="AC42" s="377"/>
      <c r="AD42" s="387"/>
      <c r="AE42" s="739"/>
      <c r="AF42" s="739"/>
    </row>
    <row r="43" spans="2:32" ht="15" customHeight="1">
      <c r="B43" s="388"/>
      <c r="C43" s="844" t="s">
        <v>701</v>
      </c>
      <c r="D43" s="852" t="s">
        <v>17</v>
      </c>
      <c r="E43" s="852">
        <v>22</v>
      </c>
      <c r="F43" s="852">
        <v>130</v>
      </c>
      <c r="G43" s="852">
        <v>130</v>
      </c>
      <c r="H43" s="852">
        <v>100</v>
      </c>
      <c r="I43" s="376"/>
      <c r="J43" s="376"/>
      <c r="K43" s="377"/>
      <c r="L43" s="377"/>
      <c r="M43" s="377"/>
      <c r="N43" s="387"/>
      <c r="P43" s="397"/>
      <c r="Q43" s="377"/>
      <c r="R43" s="377"/>
      <c r="S43" s="377"/>
      <c r="T43" s="377"/>
      <c r="U43" s="377"/>
      <c r="V43" s="377"/>
      <c r="W43" s="377"/>
      <c r="X43" s="377"/>
      <c r="Y43" s="377"/>
      <c r="Z43" s="377"/>
      <c r="AA43" s="377"/>
      <c r="AB43" s="377"/>
      <c r="AC43" s="377"/>
      <c r="AD43" s="387"/>
      <c r="AE43" s="739"/>
      <c r="AF43" s="739"/>
    </row>
    <row r="44" spans="2:32" ht="15" customHeight="1">
      <c r="B44" s="388"/>
      <c r="C44" s="376"/>
      <c r="D44" s="376"/>
      <c r="E44" s="376"/>
      <c r="F44" s="376"/>
      <c r="G44" s="376"/>
      <c r="H44" s="376"/>
      <c r="I44" s="376"/>
      <c r="J44" s="376"/>
      <c r="K44" s="377"/>
      <c r="L44" s="377"/>
      <c r="M44" s="377"/>
      <c r="N44" s="387"/>
      <c r="P44" s="397"/>
      <c r="Q44" s="377"/>
      <c r="R44" s="377"/>
      <c r="S44" s="377"/>
      <c r="T44" s="377"/>
      <c r="U44" s="377"/>
      <c r="V44" s="377"/>
      <c r="W44" s="377"/>
      <c r="X44" s="377"/>
      <c r="Y44" s="377"/>
      <c r="Z44" s="377"/>
      <c r="AA44" s="377"/>
      <c r="AB44" s="377"/>
      <c r="AC44" s="377"/>
      <c r="AD44" s="387"/>
      <c r="AE44" s="739"/>
      <c r="AF44" s="739"/>
    </row>
    <row r="45" spans="2:32" ht="15" customHeight="1">
      <c r="B45" s="388"/>
      <c r="C45" s="376"/>
      <c r="D45" s="376"/>
      <c r="E45" s="376"/>
      <c r="F45" s="376"/>
      <c r="G45" s="376"/>
      <c r="H45" s="376"/>
      <c r="I45" s="376"/>
      <c r="J45" s="376"/>
      <c r="K45" s="377"/>
      <c r="L45" s="377"/>
      <c r="M45" s="377"/>
      <c r="N45" s="387"/>
      <c r="P45" s="397"/>
      <c r="Q45" s="377"/>
      <c r="R45" s="377"/>
      <c r="S45" s="377"/>
      <c r="T45" s="377"/>
      <c r="U45" s="377"/>
      <c r="V45" s="377"/>
      <c r="W45" s="377"/>
      <c r="X45" s="377"/>
      <c r="Y45" s="377"/>
      <c r="Z45" s="377"/>
      <c r="AA45" s="377"/>
      <c r="AB45" s="377"/>
      <c r="AC45" s="377"/>
      <c r="AD45" s="387"/>
      <c r="AE45" s="739"/>
      <c r="AF45" s="739"/>
    </row>
    <row r="46" spans="2:32" ht="30" customHeight="1">
      <c r="B46" s="388"/>
      <c r="C46" s="405" t="s">
        <v>818</v>
      </c>
      <c r="D46" s="409"/>
      <c r="E46" s="406"/>
      <c r="F46" s="406"/>
      <c r="G46" s="406"/>
      <c r="H46" s="406"/>
      <c r="I46" s="406"/>
      <c r="J46" s="406"/>
      <c r="K46" s="407"/>
      <c r="L46" s="407"/>
      <c r="M46" s="408"/>
      <c r="N46" s="387"/>
      <c r="P46" s="397"/>
      <c r="Q46" s="405" t="s">
        <v>670</v>
      </c>
      <c r="R46" s="407"/>
      <c r="S46" s="407"/>
      <c r="T46" s="407"/>
      <c r="U46" s="407"/>
      <c r="V46" s="407"/>
      <c r="W46" s="407"/>
      <c r="X46" s="407"/>
      <c r="Y46" s="407"/>
      <c r="Z46" s="407"/>
      <c r="AA46" s="407"/>
      <c r="AB46" s="407"/>
      <c r="AC46" s="408"/>
      <c r="AD46" s="387"/>
      <c r="AE46" s="739"/>
      <c r="AF46" s="739"/>
    </row>
    <row r="47" spans="2:32" ht="15" customHeight="1">
      <c r="B47" s="388"/>
      <c r="C47" s="363"/>
      <c r="D47" s="363"/>
      <c r="E47" s="363"/>
      <c r="F47" s="361"/>
      <c r="G47" s="361"/>
      <c r="H47" s="361"/>
      <c r="I47" s="361"/>
      <c r="J47" s="361"/>
      <c r="K47" s="377"/>
      <c r="L47" s="377"/>
      <c r="M47" s="377"/>
      <c r="N47" s="387"/>
      <c r="P47" s="397"/>
      <c r="Q47" s="377"/>
      <c r="R47" s="377"/>
      <c r="S47" s="377"/>
      <c r="T47" s="377"/>
      <c r="U47" s="377"/>
      <c r="V47" s="377"/>
      <c r="W47" s="377"/>
      <c r="X47" s="377"/>
      <c r="Y47" s="377"/>
      <c r="Z47" s="377"/>
      <c r="AA47" s="377"/>
      <c r="AB47" s="377"/>
      <c r="AC47" s="377"/>
      <c r="AD47" s="387"/>
      <c r="AE47" s="739"/>
      <c r="AF47" s="739"/>
    </row>
    <row r="48" spans="2:32" ht="15" customHeight="1">
      <c r="B48" s="388"/>
      <c r="C48" s="376"/>
      <c r="D48" s="997" t="s">
        <v>718</v>
      </c>
      <c r="E48" s="776" t="s">
        <v>647</v>
      </c>
      <c r="F48" s="776" t="s">
        <v>497</v>
      </c>
      <c r="G48" s="776" t="s">
        <v>498</v>
      </c>
      <c r="H48" s="776" t="s">
        <v>499</v>
      </c>
      <c r="I48" s="883" t="s">
        <v>922</v>
      </c>
      <c r="J48" s="883" t="s">
        <v>463</v>
      </c>
      <c r="K48" s="883" t="s">
        <v>923</v>
      </c>
      <c r="L48" s="883" t="s">
        <v>621</v>
      </c>
      <c r="M48" s="883" t="s">
        <v>622</v>
      </c>
      <c r="N48" s="387"/>
      <c r="P48" s="397"/>
      <c r="Q48" s="377"/>
      <c r="R48" s="377"/>
      <c r="S48" s="377"/>
      <c r="T48" s="377"/>
      <c r="U48" s="377"/>
      <c r="V48" s="377"/>
      <c r="W48" s="377"/>
      <c r="X48" s="377"/>
      <c r="Y48" s="377"/>
      <c r="Z48" s="377"/>
      <c r="AA48" s="377"/>
      <c r="AB48" s="377"/>
      <c r="AC48" s="377"/>
      <c r="AD48" s="387"/>
      <c r="AE48" s="739"/>
      <c r="AF48" s="739"/>
    </row>
    <row r="49" spans="2:37" ht="15" customHeight="1">
      <c r="B49" s="388"/>
      <c r="C49" s="376"/>
      <c r="D49" s="997"/>
      <c r="E49" s="882" t="s">
        <v>648</v>
      </c>
      <c r="F49" s="882" t="s">
        <v>921</v>
      </c>
      <c r="G49" s="882" t="s">
        <v>921</v>
      </c>
      <c r="H49" s="882" t="s">
        <v>921</v>
      </c>
      <c r="I49" s="882" t="s">
        <v>464</v>
      </c>
      <c r="J49" s="882" t="s">
        <v>464</v>
      </c>
      <c r="K49" s="882" t="s">
        <v>464</v>
      </c>
      <c r="L49" s="882" t="s">
        <v>556</v>
      </c>
      <c r="M49" s="882" t="s">
        <v>556</v>
      </c>
      <c r="N49" s="387"/>
      <c r="P49" s="397"/>
      <c r="Q49" s="972" t="s">
        <v>782</v>
      </c>
      <c r="R49" s="973"/>
      <c r="S49" s="973"/>
      <c r="T49" s="973"/>
      <c r="U49" s="973"/>
      <c r="V49" s="974"/>
      <c r="W49" s="377"/>
      <c r="X49" s="972" t="s">
        <v>783</v>
      </c>
      <c r="Y49" s="973"/>
      <c r="Z49" s="973"/>
      <c r="AA49" s="973"/>
      <c r="AB49" s="973"/>
      <c r="AC49" s="974"/>
      <c r="AD49" s="387"/>
      <c r="AE49" s="739"/>
      <c r="AF49" s="739"/>
    </row>
    <row r="50" spans="2:37" ht="15" customHeight="1">
      <c r="B50" s="388"/>
      <c r="C50" s="843" t="s">
        <v>699</v>
      </c>
      <c r="D50" s="845" t="str">
        <f>INDEX('BAZA DANYCH'!$AL$19:$AU$52,MATCH('BAZA DANYCH'!$AK$9,'BAZA DANYCH'!$AK$19:$AK$52,0),1)</f>
        <v>CONSOLIS HC-200</v>
      </c>
      <c r="E50" s="846">
        <f>INDEX('BAZA DANYCH'!$AL$19:$AU$52,MATCH('BAZA DANYCH'!$AK$9,'BAZA DANYCH'!$AK$19:$AK$52,0),2)</f>
        <v>6</v>
      </c>
      <c r="F50" s="846">
        <f>INDEX('BAZA DANYCH'!$AL$19:$AU$52,MATCH('BAZA DANYCH'!$AK$9,'BAZA DANYCH'!$AK$19:$AK$52,0),3)</f>
        <v>232122</v>
      </c>
      <c r="G50" s="846">
        <f>INDEX('BAZA DANYCH'!$AL$19:$AU$52,MATCH('BAZA DANYCH'!$AK$9,'BAZA DANYCH'!$AK$19:$AK$52,0),4)</f>
        <v>18869</v>
      </c>
      <c r="H50" s="846">
        <f>INDEX('BAZA DANYCH'!$AL$19:$AU$52,MATCH('BAZA DANYCH'!$AK$9,'BAZA DANYCH'!$AK$19:$AK$52,0),5)</f>
        <v>118908</v>
      </c>
      <c r="I50" s="846">
        <f>INDEX('BAZA DANYCH'!$AL$19:$AU$52,MATCH('BAZA DANYCH'!$AK$9,'BAZA DANYCH'!$AK$19:$AK$52,0),6)</f>
        <v>155</v>
      </c>
      <c r="J50" s="846">
        <f>INDEX('BAZA DANYCH'!$AL$19:$AU$52,MATCH('BAZA DANYCH'!$AK$9,'BAZA DANYCH'!$AK$19:$AK$52,0),7)</f>
        <v>188</v>
      </c>
      <c r="K50" s="846">
        <f>INDEX('BAZA DANYCH'!$AL$19:$AU$52,MATCH('BAZA DANYCH'!$AK$9,'BAZA DANYCH'!$AK$19:$AK$52,0),8)</f>
        <v>200</v>
      </c>
      <c r="L50" s="847">
        <f>INDEX('BAZA DANYCH'!$AL$19:$AU$52,MATCH('BAZA DANYCH'!$AK$9,'BAZA DANYCH'!$AK$19:$AK$52,0),9)</f>
        <v>2.4500000000000002</v>
      </c>
      <c r="M50" s="847">
        <f>INDEX('BAZA DANYCH'!$AL$19:$AU$52,MATCH('BAZA DANYCH'!$AK$9,'BAZA DANYCH'!$AK$19:$AK$52,0),10)</f>
        <v>0.15</v>
      </c>
      <c r="N50" s="387"/>
      <c r="P50" s="397"/>
      <c r="Q50" s="377"/>
      <c r="R50" s="377"/>
      <c r="S50" s="377"/>
      <c r="T50" s="377"/>
      <c r="U50" s="377"/>
      <c r="V50" s="377"/>
      <c r="W50" s="377"/>
      <c r="X50" s="377"/>
      <c r="Y50" s="377"/>
      <c r="Z50" s="377"/>
      <c r="AA50" s="377"/>
      <c r="AB50" s="377"/>
      <c r="AC50" s="377"/>
      <c r="AD50" s="387"/>
      <c r="AE50" s="739"/>
      <c r="AF50" s="739"/>
    </row>
    <row r="51" spans="2:37" ht="15" customHeight="1">
      <c r="B51" s="388"/>
      <c r="C51" s="844" t="s">
        <v>701</v>
      </c>
      <c r="D51" s="848" t="s">
        <v>617</v>
      </c>
      <c r="E51" s="849">
        <v>6</v>
      </c>
      <c r="F51" s="849">
        <v>306319</v>
      </c>
      <c r="G51" s="849">
        <v>22393</v>
      </c>
      <c r="H51" s="849">
        <v>171960</v>
      </c>
      <c r="I51" s="849">
        <v>190</v>
      </c>
      <c r="J51" s="849">
        <v>180</v>
      </c>
      <c r="K51" s="849">
        <v>265</v>
      </c>
      <c r="L51" s="850">
        <v>3.52</v>
      </c>
      <c r="M51" s="850">
        <v>0.24</v>
      </c>
      <c r="N51" s="387"/>
      <c r="P51" s="397"/>
      <c r="Q51" s="595" t="s">
        <v>746</v>
      </c>
      <c r="R51" s="596"/>
      <c r="S51" s="396"/>
      <c r="T51" s="396"/>
      <c r="U51" s="396"/>
      <c r="V51" s="385"/>
      <c r="W51" s="377"/>
      <c r="X51" s="595" t="s">
        <v>798</v>
      </c>
      <c r="Y51" s="396"/>
      <c r="Z51" s="396"/>
      <c r="AA51" s="396"/>
      <c r="AB51" s="396"/>
      <c r="AC51" s="385"/>
      <c r="AD51" s="387"/>
      <c r="AE51" s="739"/>
      <c r="AF51" s="739"/>
    </row>
    <row r="52" spans="2:37" ht="15" customHeight="1">
      <c r="B52" s="388"/>
      <c r="C52" s="376"/>
      <c r="D52" s="376"/>
      <c r="E52" s="376"/>
      <c r="F52" s="376"/>
      <c r="G52" s="745"/>
      <c r="H52" s="745"/>
      <c r="I52" s="745"/>
      <c r="J52" s="745"/>
      <c r="K52" s="765"/>
      <c r="L52" s="745"/>
      <c r="M52" s="745"/>
      <c r="N52" s="387"/>
      <c r="P52" s="397"/>
      <c r="Q52" s="597"/>
      <c r="R52" s="378"/>
      <c r="S52" s="395" t="s">
        <v>712</v>
      </c>
      <c r="T52" s="395" t="s">
        <v>713</v>
      </c>
      <c r="U52" s="378" t="s">
        <v>714</v>
      </c>
      <c r="V52" s="387"/>
      <c r="W52" s="377"/>
      <c r="X52" s="397"/>
      <c r="Y52" s="377"/>
      <c r="Z52" s="377"/>
      <c r="AA52" s="377"/>
      <c r="AB52" s="377"/>
      <c r="AC52" s="387"/>
      <c r="AD52" s="387"/>
      <c r="AE52" s="739"/>
      <c r="AF52" s="739"/>
    </row>
    <row r="53" spans="2:37" s="733" customFormat="1" ht="15" customHeight="1">
      <c r="B53" s="388"/>
      <c r="C53" s="376"/>
      <c r="D53" s="376"/>
      <c r="E53" s="376"/>
      <c r="F53" s="376"/>
      <c r="G53" s="745"/>
      <c r="H53" s="745"/>
      <c r="I53" s="745"/>
      <c r="J53" s="745"/>
      <c r="K53" s="765"/>
      <c r="L53" s="745"/>
      <c r="M53" s="745"/>
      <c r="N53" s="387"/>
      <c r="O53" s="740"/>
      <c r="P53" s="397"/>
      <c r="Q53" s="597" t="s">
        <v>740</v>
      </c>
      <c r="R53" s="704"/>
      <c r="S53" s="747">
        <f>$G$305</f>
        <v>344.50218105468753</v>
      </c>
      <c r="T53" s="747">
        <f>$H$475</f>
        <v>1270.0989993439525</v>
      </c>
      <c r="U53" s="398">
        <f>S53/T53</f>
        <v>0.27124041608774918</v>
      </c>
      <c r="V53" s="598" t="str">
        <f>IF(S53&lt;=T53,"OK","niespełniony")</f>
        <v>OK</v>
      </c>
      <c r="W53" s="377"/>
      <c r="X53" s="602" t="s">
        <v>792</v>
      </c>
      <c r="Y53" s="377"/>
      <c r="Z53" s="377"/>
      <c r="AA53" s="377"/>
      <c r="AB53" s="377"/>
      <c r="AC53" s="387"/>
      <c r="AD53" s="387"/>
      <c r="AE53" s="739"/>
      <c r="AF53" s="739"/>
      <c r="AG53" s="739"/>
      <c r="AH53" s="739"/>
      <c r="AI53" s="739"/>
      <c r="AJ53" s="739"/>
      <c r="AK53" s="739"/>
    </row>
    <row r="54" spans="2:37" s="733" customFormat="1" ht="20.100000000000001" customHeight="1">
      <c r="B54" s="388"/>
      <c r="C54" s="566" t="s">
        <v>821</v>
      </c>
      <c r="D54" s="779" t="s">
        <v>819</v>
      </c>
      <c r="E54" s="877">
        <v>8</v>
      </c>
      <c r="F54" s="780" t="s">
        <v>5</v>
      </c>
      <c r="G54" s="745"/>
      <c r="H54" s="745"/>
      <c r="I54" s="745"/>
      <c r="J54" s="745"/>
      <c r="K54" s="765"/>
      <c r="L54" s="745"/>
      <c r="M54" s="745"/>
      <c r="N54" s="387"/>
      <c r="O54" s="740"/>
      <c r="P54" s="397"/>
      <c r="Q54" s="597" t="s">
        <v>741</v>
      </c>
      <c r="R54" s="704"/>
      <c r="S54" s="746">
        <f>$G$339</f>
        <v>1206.1871419921877</v>
      </c>
      <c r="T54" s="746">
        <f>$H$546</f>
        <v>1312.011909651219</v>
      </c>
      <c r="U54" s="398">
        <f>S54/T54</f>
        <v>0.91934161048342666</v>
      </c>
      <c r="V54" s="598" t="str">
        <f>IF(S54&lt;=T54,"OK","niespełniony")</f>
        <v>OK</v>
      </c>
      <c r="W54" s="377"/>
      <c r="X54" s="397"/>
      <c r="Y54" s="759" t="s">
        <v>796</v>
      </c>
      <c r="Z54" s="748">
        <f>$E$154*($D$121-$I$909*10)/($I$909*10*$E$159*$H$717)</f>
        <v>8.4972728745809736</v>
      </c>
      <c r="AA54" s="604" t="s">
        <v>365</v>
      </c>
      <c r="AB54" s="747">
        <f>$E$156</f>
        <v>3.1</v>
      </c>
      <c r="AC54" s="760" t="s">
        <v>797</v>
      </c>
      <c r="AD54" s="387"/>
      <c r="AE54" s="739"/>
      <c r="AF54" s="739"/>
      <c r="AG54" s="739"/>
      <c r="AH54" s="739"/>
      <c r="AI54" s="739"/>
      <c r="AJ54" s="739"/>
      <c r="AK54" s="739"/>
    </row>
    <row r="55" spans="2:37" s="733" customFormat="1" ht="20.100000000000001" customHeight="1">
      <c r="B55" s="388"/>
      <c r="C55" s="566" t="s">
        <v>823</v>
      </c>
      <c r="D55" s="781" t="s">
        <v>822</v>
      </c>
      <c r="E55" s="814">
        <v>400</v>
      </c>
      <c r="F55" s="782" t="s">
        <v>6</v>
      </c>
      <c r="G55" s="566" t="s">
        <v>827</v>
      </c>
      <c r="H55" s="745"/>
      <c r="I55" s="745"/>
      <c r="J55" s="745"/>
      <c r="K55" s="765"/>
      <c r="L55" s="745"/>
      <c r="M55" s="745"/>
      <c r="N55" s="387"/>
      <c r="O55" s="740"/>
      <c r="P55" s="397"/>
      <c r="Q55" s="597" t="s">
        <v>742</v>
      </c>
      <c r="R55" s="704"/>
      <c r="S55" s="746">
        <f>$G$339</f>
        <v>1206.1871419921877</v>
      </c>
      <c r="T55" s="746">
        <f>$H$612</f>
        <v>1494.5354806591049</v>
      </c>
      <c r="U55" s="398">
        <f>S55/T55</f>
        <v>0.80706490919857399</v>
      </c>
      <c r="V55" s="598" t="str">
        <f>IF(S55&lt;=T55,"OK","niespełniony")</f>
        <v>OK</v>
      </c>
      <c r="W55" s="377"/>
      <c r="X55" s="703"/>
      <c r="Y55" s="403"/>
      <c r="Z55" s="403"/>
      <c r="AA55" s="403"/>
      <c r="AB55" s="752">
        <f>Z54/AB54</f>
        <v>2.7410557659938624</v>
      </c>
      <c r="AC55" s="404"/>
      <c r="AD55" s="387"/>
      <c r="AE55" s="739"/>
      <c r="AF55" s="739"/>
      <c r="AG55" s="739"/>
      <c r="AH55" s="739"/>
      <c r="AI55" s="739"/>
      <c r="AJ55" s="739"/>
      <c r="AK55" s="739"/>
    </row>
    <row r="56" spans="2:37" s="733" customFormat="1" ht="20.100000000000001" customHeight="1">
      <c r="B56" s="388"/>
      <c r="C56" s="566"/>
      <c r="D56" s="723"/>
      <c r="E56" s="378"/>
      <c r="F56" s="378"/>
      <c r="G56" s="745"/>
      <c r="H56" s="745"/>
      <c r="I56" s="745"/>
      <c r="J56" s="745"/>
      <c r="K56" s="765"/>
      <c r="L56" s="745"/>
      <c r="M56" s="745"/>
      <c r="N56" s="387"/>
      <c r="O56" s="740"/>
      <c r="P56" s="397"/>
      <c r="Q56" s="397"/>
      <c r="R56" s="377"/>
      <c r="S56" s="377"/>
      <c r="T56" s="377"/>
      <c r="U56" s="377"/>
      <c r="V56" s="387"/>
      <c r="W56" s="377"/>
      <c r="X56" s="377"/>
      <c r="Y56" s="377"/>
      <c r="Z56" s="377"/>
      <c r="AA56" s="377"/>
      <c r="AB56" s="377"/>
      <c r="AC56" s="377"/>
      <c r="AD56" s="387"/>
      <c r="AE56" s="739"/>
      <c r="AF56" s="739"/>
      <c r="AG56" s="739"/>
      <c r="AH56" s="739"/>
      <c r="AI56" s="739"/>
      <c r="AJ56" s="739"/>
      <c r="AK56" s="739"/>
    </row>
    <row r="57" spans="2:37" ht="15" customHeight="1">
      <c r="B57" s="388"/>
      <c r="C57" s="376"/>
      <c r="D57" s="376"/>
      <c r="E57" s="376"/>
      <c r="F57" s="376"/>
      <c r="G57" s="376"/>
      <c r="H57" s="376"/>
      <c r="I57" s="376"/>
      <c r="J57" s="376"/>
      <c r="K57" s="377"/>
      <c r="L57" s="377"/>
      <c r="M57" s="377"/>
      <c r="N57" s="387"/>
      <c r="P57" s="397"/>
      <c r="Q57" s="602" t="s">
        <v>870</v>
      </c>
      <c r="R57" s="377"/>
      <c r="S57" s="377"/>
      <c r="T57" s="746">
        <f>T55-T54</f>
        <v>182.52357100788595</v>
      </c>
      <c r="U57" s="837" t="s">
        <v>59</v>
      </c>
      <c r="V57" s="387"/>
      <c r="W57" s="377"/>
      <c r="X57" s="595" t="s">
        <v>791</v>
      </c>
      <c r="Y57" s="761"/>
      <c r="Z57" s="761"/>
      <c r="AA57" s="761"/>
      <c r="AB57" s="761"/>
      <c r="AC57" s="762"/>
      <c r="AD57" s="387"/>
      <c r="AE57" s="739"/>
      <c r="AF57" s="739"/>
    </row>
    <row r="58" spans="2:37" ht="30" customHeight="1">
      <c r="B58" s="388"/>
      <c r="C58" s="405" t="s">
        <v>811</v>
      </c>
      <c r="D58" s="410"/>
      <c r="E58" s="410"/>
      <c r="F58" s="410"/>
      <c r="G58" s="410"/>
      <c r="H58" s="410"/>
      <c r="I58" s="410"/>
      <c r="J58" s="410"/>
      <c r="K58" s="407"/>
      <c r="L58" s="407"/>
      <c r="M58" s="408"/>
      <c r="N58" s="387"/>
      <c r="P58" s="397"/>
      <c r="Q58" s="984" t="s">
        <v>871</v>
      </c>
      <c r="R58" s="985"/>
      <c r="S58" s="986"/>
      <c r="T58" s="860">
        <f>INT(T55+0.3*T57)</f>
        <v>1549</v>
      </c>
      <c r="U58" s="836" t="s">
        <v>59</v>
      </c>
      <c r="V58" s="404"/>
      <c r="W58" s="377"/>
      <c r="X58" s="763"/>
      <c r="Y58" s="754"/>
      <c r="Z58" s="755"/>
      <c r="AA58" s="376"/>
      <c r="AB58" s="376"/>
      <c r="AC58" s="757"/>
      <c r="AD58" s="387"/>
      <c r="AE58" s="739"/>
      <c r="AF58" s="739"/>
    </row>
    <row r="59" spans="2:37" ht="15" customHeight="1">
      <c r="B59" s="388"/>
      <c r="C59" s="376"/>
      <c r="D59" s="376"/>
      <c r="E59" s="376"/>
      <c r="F59" s="376"/>
      <c r="G59" s="376"/>
      <c r="H59" s="376"/>
      <c r="I59" s="376"/>
      <c r="J59" s="376"/>
      <c r="K59" s="377"/>
      <c r="L59" s="377"/>
      <c r="M59" s="377"/>
      <c r="N59" s="387"/>
      <c r="P59" s="397"/>
      <c r="Q59" s="377"/>
      <c r="R59" s="377"/>
      <c r="S59" s="377"/>
      <c r="T59" s="377"/>
      <c r="U59" s="377"/>
      <c r="V59" s="377"/>
      <c r="W59" s="377"/>
      <c r="X59" s="602" t="s">
        <v>792</v>
      </c>
      <c r="Y59" s="377"/>
      <c r="Z59" s="377"/>
      <c r="AA59" s="377"/>
      <c r="AB59" s="377"/>
      <c r="AC59" s="387"/>
      <c r="AD59" s="387"/>
      <c r="AE59" s="739"/>
      <c r="AF59" s="739"/>
    </row>
    <row r="60" spans="2:37" ht="15" customHeight="1">
      <c r="B60" s="388"/>
      <c r="C60" s="774" t="s">
        <v>824</v>
      </c>
      <c r="D60" s="775">
        <v>27</v>
      </c>
      <c r="E60" s="376" t="s">
        <v>4</v>
      </c>
      <c r="F60" s="566" t="s">
        <v>825</v>
      </c>
      <c r="G60" s="376"/>
      <c r="H60" s="376"/>
      <c r="I60" s="376"/>
      <c r="J60" s="376"/>
      <c r="K60" s="377"/>
      <c r="L60" s="377"/>
      <c r="M60" s="377"/>
      <c r="N60" s="387"/>
      <c r="P60" s="397"/>
      <c r="Q60" s="595" t="s">
        <v>748</v>
      </c>
      <c r="R60" s="396"/>
      <c r="S60" s="630" t="s">
        <v>749</v>
      </c>
      <c r="T60" s="631" t="s">
        <v>750</v>
      </c>
      <c r="U60" s="396"/>
      <c r="V60" s="385"/>
      <c r="W60" s="377"/>
      <c r="X60" s="602" t="s">
        <v>790</v>
      </c>
      <c r="Y60" s="376"/>
      <c r="Z60" s="376"/>
      <c r="AA60" s="376"/>
      <c r="AB60" s="376"/>
      <c r="AC60" s="757"/>
      <c r="AD60" s="387"/>
      <c r="AE60" s="739"/>
      <c r="AF60" s="739"/>
    </row>
    <row r="61" spans="2:37" ht="15" customHeight="1">
      <c r="B61" s="388"/>
      <c r="C61" s="786"/>
      <c r="D61" s="376"/>
      <c r="E61" s="376"/>
      <c r="F61" s="376"/>
      <c r="G61" s="376"/>
      <c r="H61" s="376"/>
      <c r="I61" s="376"/>
      <c r="J61" s="376"/>
      <c r="K61" s="377"/>
      <c r="L61" s="377"/>
      <c r="M61" s="377"/>
      <c r="N61" s="387"/>
      <c r="P61" s="397"/>
      <c r="Q61" s="705" t="s">
        <v>740</v>
      </c>
      <c r="R61" s="706"/>
      <c r="S61" s="594">
        <f>$F$767</f>
        <v>2.7135712499999998</v>
      </c>
      <c r="T61" s="594">
        <f>$E$770</f>
        <v>25.875</v>
      </c>
      <c r="U61" s="599">
        <f>S61/T61</f>
        <v>0.1048723188405797</v>
      </c>
      <c r="V61" s="600" t="str">
        <f>IF(S61&lt;=T61,"OK","niespełniony")</f>
        <v>OK</v>
      </c>
      <c r="W61" s="377"/>
      <c r="X61" s="397"/>
      <c r="Y61" s="696" t="s">
        <v>788</v>
      </c>
      <c r="Z61" s="748">
        <f>5*$D$977*$D$941^4/(384*$D$965)</f>
        <v>3.2973100358308982</v>
      </c>
      <c r="AA61" s="604" t="s">
        <v>365</v>
      </c>
      <c r="AB61" s="747">
        <f>$F$186*100/300</f>
        <v>2.5</v>
      </c>
      <c r="AC61" s="764" t="s">
        <v>789</v>
      </c>
      <c r="AD61" s="756"/>
      <c r="AE61" s="739"/>
      <c r="AF61" s="739"/>
    </row>
    <row r="62" spans="2:37" ht="15" customHeight="1">
      <c r="B62" s="388"/>
      <c r="C62" s="567" t="s">
        <v>814</v>
      </c>
      <c r="D62" s="376"/>
      <c r="E62" s="376"/>
      <c r="F62" s="376"/>
      <c r="G62" s="376"/>
      <c r="H62" s="376"/>
      <c r="I62" s="376"/>
      <c r="J62" s="376"/>
      <c r="K62" s="377"/>
      <c r="L62" s="377"/>
      <c r="M62" s="377"/>
      <c r="N62" s="387"/>
      <c r="P62" s="397"/>
      <c r="Q62" s="377"/>
      <c r="R62" s="377"/>
      <c r="S62" s="377"/>
      <c r="T62" s="377"/>
      <c r="U62" s="377"/>
      <c r="V62" s="377"/>
      <c r="W62" s="377"/>
      <c r="X62" s="397"/>
      <c r="Y62" s="377"/>
      <c r="Z62" s="377"/>
      <c r="AA62" s="377"/>
      <c r="AB62" s="751">
        <f>Z61/AB61</f>
        <v>1.3189240143323593</v>
      </c>
      <c r="AC62" s="387"/>
      <c r="AD62" s="757"/>
      <c r="AE62" s="739"/>
      <c r="AF62" s="739"/>
    </row>
    <row r="63" spans="2:37" ht="15" customHeight="1">
      <c r="B63" s="388"/>
      <c r="C63" s="774" t="s">
        <v>813</v>
      </c>
      <c r="D63" s="772">
        <v>2</v>
      </c>
      <c r="E63" s="378" t="s">
        <v>812</v>
      </c>
      <c r="F63" s="376"/>
      <c r="G63" s="376"/>
      <c r="H63" s="376"/>
      <c r="I63" s="376"/>
      <c r="J63" s="376"/>
      <c r="K63" s="377"/>
      <c r="L63" s="377"/>
      <c r="M63" s="377"/>
      <c r="N63" s="387"/>
      <c r="P63" s="397"/>
      <c r="Q63" s="595" t="s">
        <v>747</v>
      </c>
      <c r="R63" s="396"/>
      <c r="S63" s="396"/>
      <c r="T63" s="396"/>
      <c r="U63" s="396"/>
      <c r="V63" s="385"/>
      <c r="W63" s="377"/>
      <c r="X63" s="397"/>
      <c r="Y63" s="377"/>
      <c r="Z63" s="377"/>
      <c r="AA63" s="377"/>
      <c r="AB63" s="377"/>
      <c r="AC63" s="387"/>
      <c r="AD63" s="757"/>
      <c r="AE63" s="739"/>
      <c r="AF63" s="739"/>
    </row>
    <row r="64" spans="2:37" ht="15" customHeight="1">
      <c r="B64" s="388"/>
      <c r="C64" s="774" t="s">
        <v>816</v>
      </c>
      <c r="D64" s="772">
        <v>1.9</v>
      </c>
      <c r="E64" s="378" t="s">
        <v>812</v>
      </c>
      <c r="F64" s="376"/>
      <c r="G64" s="376"/>
      <c r="H64" s="376"/>
      <c r="I64" s="376"/>
      <c r="J64" s="376"/>
      <c r="K64" s="377"/>
      <c r="L64" s="377"/>
      <c r="M64" s="377"/>
      <c r="N64" s="387"/>
      <c r="P64" s="397"/>
      <c r="Q64" s="397"/>
      <c r="R64" s="377"/>
      <c r="S64" s="395" t="s">
        <v>715</v>
      </c>
      <c r="T64" s="395" t="s">
        <v>716</v>
      </c>
      <c r="U64" s="378" t="s">
        <v>714</v>
      </c>
      <c r="V64" s="387"/>
      <c r="W64" s="377"/>
      <c r="X64" s="602" t="s">
        <v>793</v>
      </c>
      <c r="Y64" s="377"/>
      <c r="Z64" s="377"/>
      <c r="AA64" s="377"/>
      <c r="AB64" s="377"/>
      <c r="AC64" s="387"/>
      <c r="AD64" s="387"/>
      <c r="AE64" s="739"/>
      <c r="AF64" s="739"/>
    </row>
    <row r="65" spans="2:37" ht="15" customHeight="1">
      <c r="B65" s="388"/>
      <c r="C65" s="786"/>
      <c r="D65" s="376"/>
      <c r="E65" s="376"/>
      <c r="F65" s="376"/>
      <c r="G65" s="376"/>
      <c r="H65" s="376"/>
      <c r="I65" s="376"/>
      <c r="J65" s="376"/>
      <c r="K65" s="377"/>
      <c r="L65" s="377"/>
      <c r="M65" s="377"/>
      <c r="N65" s="387"/>
      <c r="P65" s="397"/>
      <c r="Q65" s="705" t="s">
        <v>743</v>
      </c>
      <c r="R65" s="706"/>
      <c r="S65" s="594">
        <f>G337</f>
        <v>643.29980906250012</v>
      </c>
      <c r="T65" s="594">
        <f>(0.58*($D$129-$F$121)*2*$E$129*$E$172)*0.001</f>
        <v>832.41600000000005</v>
      </c>
      <c r="U65" s="599">
        <f>S65/T65</f>
        <v>0.77281048065210189</v>
      </c>
      <c r="V65" s="600" t="str">
        <f>IF(S65&lt;=T65,"OK","niespełniony")</f>
        <v>OK</v>
      </c>
      <c r="W65" s="377"/>
      <c r="X65" s="602" t="s">
        <v>794</v>
      </c>
      <c r="Y65" s="376"/>
      <c r="Z65" s="376"/>
      <c r="AA65" s="376"/>
      <c r="AB65" s="376"/>
      <c r="AC65" s="757"/>
      <c r="AD65" s="387"/>
      <c r="AE65" s="739"/>
      <c r="AF65" s="739"/>
    </row>
    <row r="66" spans="2:37" ht="15" customHeight="1">
      <c r="B66" s="388"/>
      <c r="C66" s="567" t="s">
        <v>815</v>
      </c>
      <c r="D66" s="376"/>
      <c r="E66" s="376"/>
      <c r="F66" s="376"/>
      <c r="G66" s="376"/>
      <c r="H66" s="376"/>
      <c r="I66" s="376"/>
      <c r="J66" s="376"/>
      <c r="K66" s="377"/>
      <c r="L66" s="377"/>
      <c r="M66" s="377"/>
      <c r="N66" s="387"/>
      <c r="P66" s="397"/>
      <c r="Q66" s="377"/>
      <c r="R66" s="377"/>
      <c r="S66" s="377"/>
      <c r="T66" s="377"/>
      <c r="U66" s="377"/>
      <c r="V66" s="377"/>
      <c r="W66" s="377"/>
      <c r="X66" s="397"/>
      <c r="Y66" s="696" t="s">
        <v>795</v>
      </c>
      <c r="Z66" s="748">
        <f>$D$1052-$D$1057+$D$1063</f>
        <v>4.4606496456192275</v>
      </c>
      <c r="AA66" s="604" t="s">
        <v>365</v>
      </c>
      <c r="AB66" s="747">
        <f>$F$186*100/300</f>
        <v>2.5</v>
      </c>
      <c r="AC66" s="764" t="s">
        <v>789</v>
      </c>
      <c r="AD66" s="387"/>
      <c r="AE66" s="739"/>
      <c r="AF66" s="739"/>
    </row>
    <row r="67" spans="2:37" ht="15" customHeight="1">
      <c r="B67" s="388"/>
      <c r="C67" s="774" t="s">
        <v>740</v>
      </c>
      <c r="D67" s="772">
        <v>1</v>
      </c>
      <c r="E67" s="378" t="s">
        <v>556</v>
      </c>
      <c r="F67" s="376"/>
      <c r="G67" s="376"/>
      <c r="H67" s="376"/>
      <c r="I67" s="376"/>
      <c r="J67" s="376"/>
      <c r="K67" s="377"/>
      <c r="L67" s="377"/>
      <c r="M67" s="377"/>
      <c r="N67" s="387"/>
      <c r="P67" s="397"/>
      <c r="Q67" s="595" t="s">
        <v>899</v>
      </c>
      <c r="R67" s="396"/>
      <c r="S67" s="396"/>
      <c r="T67" s="396"/>
      <c r="U67" s="396"/>
      <c r="V67" s="385"/>
      <c r="W67" s="377"/>
      <c r="X67" s="390"/>
      <c r="Y67" s="403"/>
      <c r="Z67" s="403"/>
      <c r="AA67" s="403"/>
      <c r="AB67" s="752">
        <f>Z66/AB66</f>
        <v>1.784259858247691</v>
      </c>
      <c r="AC67" s="404"/>
      <c r="AD67" s="387"/>
      <c r="AE67" s="739"/>
      <c r="AF67" s="739"/>
    </row>
    <row r="68" spans="2:37" ht="15" customHeight="1">
      <c r="B68" s="388"/>
      <c r="C68" s="774" t="s">
        <v>817</v>
      </c>
      <c r="D68" s="772">
        <v>7.9</v>
      </c>
      <c r="E68" s="378" t="s">
        <v>556</v>
      </c>
      <c r="F68" s="376"/>
      <c r="G68" s="376"/>
      <c r="H68" s="376"/>
      <c r="I68" s="376"/>
      <c r="J68" s="376"/>
      <c r="K68" s="377"/>
      <c r="L68" s="377"/>
      <c r="M68" s="377"/>
      <c r="N68" s="387"/>
      <c r="P68" s="397"/>
      <c r="Q68" s="602" t="s">
        <v>744</v>
      </c>
      <c r="R68" s="376"/>
      <c r="S68" s="376"/>
      <c r="T68" s="376"/>
      <c r="U68" s="376"/>
      <c r="V68" s="389"/>
      <c r="W68" s="377"/>
      <c r="X68" s="377"/>
      <c r="Y68" s="377"/>
      <c r="Z68" s="377"/>
      <c r="AA68" s="377"/>
      <c r="AB68" s="377"/>
      <c r="AC68" s="377"/>
      <c r="AD68" s="387"/>
      <c r="AE68" s="739"/>
      <c r="AF68" s="739"/>
    </row>
    <row r="69" spans="2:37" ht="30" customHeight="1">
      <c r="B69" s="388"/>
      <c r="C69" s="376"/>
      <c r="D69" s="376"/>
      <c r="E69" s="376"/>
      <c r="F69" s="376"/>
      <c r="G69" s="376"/>
      <c r="H69" s="376"/>
      <c r="I69" s="376"/>
      <c r="J69" s="376"/>
      <c r="K69" s="377"/>
      <c r="L69" s="377"/>
      <c r="M69" s="377"/>
      <c r="N69" s="387"/>
      <c r="P69" s="397"/>
      <c r="Q69" s="388"/>
      <c r="R69" s="374" t="s">
        <v>733</v>
      </c>
      <c r="S69" s="748">
        <f>($H$698/$H$738)^1.2+($H$696/$H$739)^1.2</f>
        <v>0.78520675319896815</v>
      </c>
      <c r="T69" s="603" t="s">
        <v>706</v>
      </c>
      <c r="U69" s="748">
        <v>1</v>
      </c>
      <c r="V69" s="387"/>
      <c r="W69" s="377"/>
      <c r="X69" s="769" t="s">
        <v>799</v>
      </c>
      <c r="Y69" s="396"/>
      <c r="Z69" s="396"/>
      <c r="AA69" s="396"/>
      <c r="AB69" s="396"/>
      <c r="AC69" s="385"/>
      <c r="AD69" s="387"/>
      <c r="AE69" s="739"/>
      <c r="AF69" s="739"/>
    </row>
    <row r="70" spans="2:37" ht="15" customHeight="1">
      <c r="B70" s="388"/>
      <c r="C70" s="405" t="s">
        <v>826</v>
      </c>
      <c r="D70" s="410"/>
      <c r="E70" s="410"/>
      <c r="F70" s="410"/>
      <c r="G70" s="410"/>
      <c r="H70" s="410"/>
      <c r="I70" s="410"/>
      <c r="J70" s="410"/>
      <c r="K70" s="407"/>
      <c r="L70" s="407"/>
      <c r="M70" s="408"/>
      <c r="N70" s="387"/>
      <c r="P70" s="397"/>
      <c r="Q70" s="388"/>
      <c r="R70" s="376"/>
      <c r="S70" s="749"/>
      <c r="T70" s="750"/>
      <c r="U70" s="751">
        <f>S69/U69</f>
        <v>0.78520675319896815</v>
      </c>
      <c r="V70" s="598" t="str">
        <f>IF(S69&lt;=U69,"OK","niespełniony")</f>
        <v>OK</v>
      </c>
      <c r="W70" s="376"/>
      <c r="X70" s="397"/>
      <c r="Y70" s="377"/>
      <c r="Z70" s="377"/>
      <c r="AA70" s="376"/>
      <c r="AB70" s="376"/>
      <c r="AC70" s="389"/>
      <c r="AD70" s="387"/>
      <c r="AE70" s="739"/>
      <c r="AF70" s="739"/>
    </row>
    <row r="71" spans="2:37" ht="15" customHeight="1">
      <c r="B71" s="388"/>
      <c r="C71" s="376"/>
      <c r="D71" s="376"/>
      <c r="E71" s="376"/>
      <c r="F71" s="376"/>
      <c r="G71" s="376"/>
      <c r="H71" s="376"/>
      <c r="I71" s="376"/>
      <c r="J71" s="376"/>
      <c r="K71" s="377"/>
      <c r="L71" s="377"/>
      <c r="M71" s="377"/>
      <c r="N71" s="387"/>
      <c r="P71" s="397"/>
      <c r="Q71" s="602" t="s">
        <v>745</v>
      </c>
      <c r="R71" s="376"/>
      <c r="S71" s="749"/>
      <c r="T71" s="749"/>
      <c r="U71" s="749"/>
      <c r="V71" s="389"/>
      <c r="W71" s="376"/>
      <c r="X71" s="602" t="s">
        <v>800</v>
      </c>
      <c r="Y71" s="377"/>
      <c r="Z71" s="377"/>
      <c r="AA71" s="766" t="s">
        <v>801</v>
      </c>
      <c r="AB71" s="767">
        <f>(Z66-AB66)*10</f>
        <v>19.606496456192275</v>
      </c>
      <c r="AC71" s="704" t="s">
        <v>6</v>
      </c>
      <c r="AD71" s="387"/>
      <c r="AE71" s="739"/>
      <c r="AF71" s="739"/>
    </row>
    <row r="72" spans="2:37" ht="15" customHeight="1">
      <c r="B72" s="388"/>
      <c r="C72" s="376"/>
      <c r="D72" s="376"/>
      <c r="E72" s="376"/>
      <c r="F72" s="376"/>
      <c r="G72" s="376"/>
      <c r="H72" s="376"/>
      <c r="I72" s="376"/>
      <c r="J72" s="376"/>
      <c r="K72" s="377"/>
      <c r="L72" s="377"/>
      <c r="M72" s="377"/>
      <c r="N72" s="387"/>
      <c r="P72" s="397"/>
      <c r="Q72" s="388"/>
      <c r="R72" s="374" t="s">
        <v>734</v>
      </c>
      <c r="S72" s="748">
        <f>($H$698^2+$H$696^2)^0.5</f>
        <v>89.0965952991764</v>
      </c>
      <c r="T72" s="604" t="s">
        <v>365</v>
      </c>
      <c r="U72" s="748">
        <f>$H$711</f>
        <v>109.47822079229714</v>
      </c>
      <c r="V72" s="387"/>
      <c r="W72" s="377"/>
      <c r="X72" s="397"/>
      <c r="Y72" s="377"/>
      <c r="Z72" s="377"/>
      <c r="AA72" s="765"/>
      <c r="AB72" s="377"/>
      <c r="AC72" s="387"/>
      <c r="AD72" s="387"/>
      <c r="AE72" s="739"/>
      <c r="AF72" s="739"/>
    </row>
    <row r="73" spans="2:37" ht="15" customHeight="1">
      <c r="B73" s="388"/>
      <c r="C73" s="376" t="s">
        <v>828</v>
      </c>
      <c r="D73" s="376"/>
      <c r="E73" s="376"/>
      <c r="F73" s="376"/>
      <c r="G73" s="376"/>
      <c r="H73" s="376"/>
      <c r="I73" s="376"/>
      <c r="J73" s="376"/>
      <c r="K73" s="377"/>
      <c r="L73" s="377"/>
      <c r="M73" s="377"/>
      <c r="N73" s="387"/>
      <c r="P73" s="397"/>
      <c r="Q73" s="386"/>
      <c r="R73" s="376"/>
      <c r="S73" s="749"/>
      <c r="T73" s="749"/>
      <c r="U73" s="751">
        <f>S72/U72</f>
        <v>0.81382940510342328</v>
      </c>
      <c r="V73" s="598" t="str">
        <f>IF(S72&lt;=U72,"OK","niespełniony")</f>
        <v>OK</v>
      </c>
      <c r="W73" s="377"/>
      <c r="X73" s="783" t="s">
        <v>806</v>
      </c>
      <c r="Y73" s="784"/>
      <c r="Z73" s="784"/>
      <c r="AA73" s="785" t="s">
        <v>802</v>
      </c>
      <c r="AB73" s="768">
        <v>25</v>
      </c>
      <c r="AC73" s="704" t="s">
        <v>6</v>
      </c>
      <c r="AD73" s="387"/>
      <c r="AE73" s="739"/>
      <c r="AF73" s="739"/>
    </row>
    <row r="74" spans="2:37" ht="15" customHeight="1">
      <c r="B74" s="388"/>
      <c r="C74" s="776" t="s">
        <v>668</v>
      </c>
      <c r="D74" s="776" t="s">
        <v>656</v>
      </c>
      <c r="E74" s="776" t="s">
        <v>656</v>
      </c>
      <c r="F74" s="376"/>
      <c r="G74" s="376"/>
      <c r="H74" s="376"/>
      <c r="I74" s="376"/>
      <c r="J74" s="376"/>
      <c r="K74" s="377"/>
      <c r="L74" s="377"/>
      <c r="M74" s="377"/>
      <c r="N74" s="387"/>
      <c r="P74" s="397"/>
      <c r="Q74" s="701" t="s">
        <v>781</v>
      </c>
      <c r="R74" s="377"/>
      <c r="S74" s="377"/>
      <c r="T74" s="377"/>
      <c r="U74" s="377"/>
      <c r="V74" s="387"/>
      <c r="W74" s="601"/>
      <c r="X74" s="703"/>
      <c r="Y74" s="403"/>
      <c r="Z74" s="403"/>
      <c r="AA74" s="403"/>
      <c r="AB74" s="403"/>
      <c r="AC74" s="404"/>
      <c r="AD74" s="758"/>
      <c r="AE74" s="739"/>
      <c r="AF74" s="739"/>
    </row>
    <row r="75" spans="2:37" ht="15" customHeight="1">
      <c r="B75" s="388"/>
      <c r="C75" s="776" t="s">
        <v>464</v>
      </c>
      <c r="D75" s="776" t="s">
        <v>657</v>
      </c>
      <c r="E75" s="776" t="s">
        <v>667</v>
      </c>
      <c r="F75" s="376"/>
      <c r="G75" s="376"/>
      <c r="H75" s="376"/>
      <c r="I75" s="376"/>
      <c r="J75" s="376"/>
      <c r="K75" s="377"/>
      <c r="L75" s="377"/>
      <c r="M75" s="377"/>
      <c r="N75" s="387"/>
      <c r="P75" s="397"/>
      <c r="Q75" s="397"/>
      <c r="R75" s="374" t="s">
        <v>777</v>
      </c>
      <c r="S75" s="748">
        <f>$H$739/($F$133*$E$129/100)</f>
        <v>4.6654418538223457</v>
      </c>
      <c r="T75" s="604" t="s">
        <v>365</v>
      </c>
      <c r="U75" s="748">
        <f>0.9*$G$180/$E$181</f>
        <v>38.880000000000003</v>
      </c>
      <c r="V75" s="702" t="s">
        <v>779</v>
      </c>
      <c r="W75" s="376"/>
      <c r="X75" s="377"/>
      <c r="Y75" s="377"/>
      <c r="Z75" s="377"/>
      <c r="AA75" s="377"/>
      <c r="AB75" s="377"/>
      <c r="AC75" s="377"/>
      <c r="AD75" s="387"/>
      <c r="AE75" s="739"/>
      <c r="AF75" s="739"/>
    </row>
    <row r="76" spans="2:37" ht="15" customHeight="1">
      <c r="B76" s="388"/>
      <c r="C76" s="777">
        <v>12</v>
      </c>
      <c r="D76" s="778">
        <f>PI()*C76^2/4</f>
        <v>113.09733552923255</v>
      </c>
      <c r="E76" s="778">
        <f>D76*0.01</f>
        <v>1.1309733552923256</v>
      </c>
      <c r="F76" s="376"/>
      <c r="G76" s="376"/>
      <c r="H76" s="376"/>
      <c r="I76" s="376"/>
      <c r="J76" s="376"/>
      <c r="K76" s="377"/>
      <c r="L76" s="377"/>
      <c r="M76" s="377"/>
      <c r="N76" s="387"/>
      <c r="P76" s="397"/>
      <c r="Q76" s="397"/>
      <c r="R76" s="376"/>
      <c r="S76" s="749"/>
      <c r="T76" s="377"/>
      <c r="U76" s="751">
        <f>S75/U75</f>
        <v>0.11999593245427843</v>
      </c>
      <c r="V76" s="598" t="str">
        <f>IF(S75&lt;=U75,"OK","niespełniony")</f>
        <v>OK</v>
      </c>
      <c r="W76" s="376"/>
      <c r="X76" s="377"/>
      <c r="Y76" s="377"/>
      <c r="Z76" s="377"/>
      <c r="AA76" s="377"/>
      <c r="AB76" s="377"/>
      <c r="AC76" s="377"/>
      <c r="AD76" s="387"/>
      <c r="AE76" s="739"/>
      <c r="AF76" s="739"/>
    </row>
    <row r="77" spans="2:37" ht="15" customHeight="1">
      <c r="B77" s="388"/>
      <c r="C77" s="376"/>
      <c r="D77" s="376"/>
      <c r="E77" s="376"/>
      <c r="F77" s="376"/>
      <c r="G77" s="376"/>
      <c r="H77" s="376"/>
      <c r="I77" s="376"/>
      <c r="J77" s="376"/>
      <c r="K77" s="377"/>
      <c r="L77" s="377"/>
      <c r="M77" s="377"/>
      <c r="N77" s="387"/>
      <c r="P77" s="397"/>
      <c r="Q77" s="388"/>
      <c r="R77" s="376"/>
      <c r="S77" s="749"/>
      <c r="T77" s="749"/>
      <c r="U77" s="749"/>
      <c r="V77" s="389"/>
      <c r="W77" s="376"/>
      <c r="X77" s="377"/>
      <c r="Y77" s="377"/>
      <c r="Z77" s="377"/>
      <c r="AA77" s="377"/>
      <c r="AB77" s="377"/>
      <c r="AC77" s="377"/>
      <c r="AD77" s="387"/>
      <c r="AE77" s="739"/>
      <c r="AF77" s="739"/>
    </row>
    <row r="78" spans="2:37" ht="15" customHeight="1">
      <c r="B78" s="388"/>
      <c r="C78" s="376"/>
      <c r="D78" s="376"/>
      <c r="E78" s="376"/>
      <c r="F78" s="376"/>
      <c r="G78" s="376"/>
      <c r="H78" s="376"/>
      <c r="I78" s="376"/>
      <c r="J78" s="376"/>
      <c r="K78" s="377"/>
      <c r="L78" s="377"/>
      <c r="M78" s="377"/>
      <c r="N78" s="387"/>
      <c r="P78" s="397"/>
      <c r="Q78" s="397"/>
      <c r="R78" s="374" t="s">
        <v>778</v>
      </c>
      <c r="S78" s="748">
        <f>($E$894^2+3*($E$895^2+$E$893^2))^0.5</f>
        <v>39.709892523833076</v>
      </c>
      <c r="T78" s="604" t="s">
        <v>365</v>
      </c>
      <c r="U78" s="748">
        <f>$G$180/$E$181</f>
        <v>43.2</v>
      </c>
      <c r="V78" s="702" t="s">
        <v>780</v>
      </c>
      <c r="W78" s="377"/>
      <c r="X78" s="377"/>
      <c r="Y78" s="377"/>
      <c r="Z78" s="377"/>
      <c r="AA78" s="377"/>
      <c r="AB78" s="377"/>
      <c r="AC78" s="377"/>
      <c r="AD78" s="387"/>
      <c r="AE78" s="739"/>
      <c r="AF78" s="739"/>
    </row>
    <row r="79" spans="2:37" s="9" customFormat="1" ht="15" customHeight="1">
      <c r="B79" s="388"/>
      <c r="C79" s="376"/>
      <c r="D79" s="376"/>
      <c r="E79" s="376"/>
      <c r="F79" s="376"/>
      <c r="G79" s="376"/>
      <c r="H79" s="376"/>
      <c r="I79" s="376"/>
      <c r="J79" s="376"/>
      <c r="K79" s="377"/>
      <c r="L79" s="377"/>
      <c r="M79" s="377"/>
      <c r="N79" s="387"/>
      <c r="P79" s="388"/>
      <c r="Q79" s="703"/>
      <c r="R79" s="403"/>
      <c r="S79" s="403"/>
      <c r="T79" s="403"/>
      <c r="U79" s="752">
        <f>S78/U78</f>
        <v>0.91921047508872855</v>
      </c>
      <c r="V79" s="600" t="str">
        <f>IF(S78&lt;=U78,"OK","niespełniony")</f>
        <v>OK</v>
      </c>
      <c r="W79" s="377"/>
      <c r="X79" s="376"/>
      <c r="Y79" s="376"/>
      <c r="Z79" s="376"/>
      <c r="AA79" s="376"/>
      <c r="AB79" s="376"/>
      <c r="AC79" s="376"/>
      <c r="AD79" s="387"/>
      <c r="AE79" s="739"/>
      <c r="AF79" s="739"/>
      <c r="AG79" s="257"/>
      <c r="AH79" s="258"/>
      <c r="AI79" s="258"/>
      <c r="AJ79" s="258"/>
      <c r="AK79" s="258"/>
    </row>
    <row r="80" spans="2:37" s="9" customFormat="1" ht="15" customHeight="1">
      <c r="B80" s="388"/>
      <c r="C80" s="376"/>
      <c r="D80" s="376"/>
      <c r="E80" s="376"/>
      <c r="F80" s="376"/>
      <c r="G80" s="376"/>
      <c r="H80" s="376"/>
      <c r="I80" s="376"/>
      <c r="J80" s="376"/>
      <c r="K80" s="377"/>
      <c r="L80" s="377"/>
      <c r="M80" s="377"/>
      <c r="N80" s="387"/>
      <c r="P80" s="388"/>
      <c r="Q80" s="376"/>
      <c r="R80" s="376"/>
      <c r="S80" s="749"/>
      <c r="T80" s="749"/>
      <c r="U80" s="749"/>
      <c r="V80" s="376"/>
      <c r="W80" s="377"/>
      <c r="X80" s="376"/>
      <c r="Y80" s="376"/>
      <c r="Z80" s="376"/>
      <c r="AA80" s="376"/>
      <c r="AB80" s="376"/>
      <c r="AC80" s="376"/>
      <c r="AD80" s="387"/>
      <c r="AE80" s="739"/>
      <c r="AF80" s="739"/>
      <c r="AG80" s="257"/>
      <c r="AH80" s="258"/>
      <c r="AI80" s="258"/>
      <c r="AJ80" s="258"/>
      <c r="AK80" s="258"/>
    </row>
    <row r="81" spans="2:37" s="9" customFormat="1" ht="15" customHeight="1">
      <c r="B81" s="388"/>
      <c r="C81" s="376"/>
      <c r="D81" s="376"/>
      <c r="E81" s="376"/>
      <c r="F81" s="376"/>
      <c r="G81" s="376"/>
      <c r="H81" s="376"/>
      <c r="I81" s="376"/>
      <c r="J81" s="376"/>
      <c r="K81" s="376"/>
      <c r="L81" s="376"/>
      <c r="M81" s="376"/>
      <c r="N81" s="389"/>
      <c r="P81" s="388"/>
      <c r="Q81" s="595" t="s">
        <v>775</v>
      </c>
      <c r="R81" s="396"/>
      <c r="S81" s="396"/>
      <c r="T81" s="396"/>
      <c r="U81" s="396"/>
      <c r="V81" s="385"/>
      <c r="W81" s="377"/>
      <c r="X81" s="376"/>
      <c r="Y81" s="376"/>
      <c r="Z81" s="376"/>
      <c r="AA81" s="376"/>
      <c r="AB81" s="376"/>
      <c r="AC81" s="376"/>
      <c r="AD81" s="387"/>
      <c r="AE81" s="739"/>
      <c r="AF81" s="739"/>
      <c r="AG81" s="257"/>
      <c r="AH81" s="258"/>
      <c r="AI81" s="258"/>
      <c r="AJ81" s="258"/>
      <c r="AK81" s="258"/>
    </row>
    <row r="82" spans="2:37" s="9" customFormat="1" ht="15" customHeight="1">
      <c r="B82" s="388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89"/>
      <c r="P82" s="399"/>
      <c r="Q82" s="602" t="s">
        <v>774</v>
      </c>
      <c r="R82" s="377"/>
      <c r="S82" s="377"/>
      <c r="T82" s="377"/>
      <c r="U82" s="377"/>
      <c r="V82" s="387"/>
      <c r="W82" s="377"/>
      <c r="X82" s="376"/>
      <c r="Y82" s="376"/>
      <c r="Z82" s="376"/>
      <c r="AA82" s="376"/>
      <c r="AB82" s="376"/>
      <c r="AC82" s="376"/>
      <c r="AD82" s="387"/>
      <c r="AE82" s="739"/>
      <c r="AF82" s="739"/>
      <c r="AG82" s="257"/>
      <c r="AH82" s="258"/>
      <c r="AI82" s="258"/>
      <c r="AJ82" s="258"/>
      <c r="AK82" s="258"/>
    </row>
    <row r="83" spans="2:37" s="9" customFormat="1" ht="15" customHeight="1">
      <c r="B83" s="388"/>
      <c r="C83" s="376"/>
      <c r="D83" s="376"/>
      <c r="E83" s="376"/>
      <c r="F83" s="376"/>
      <c r="G83" s="376"/>
      <c r="H83" s="376"/>
      <c r="I83" s="376"/>
      <c r="J83" s="376"/>
      <c r="K83" s="376"/>
      <c r="L83" s="376"/>
      <c r="M83" s="376"/>
      <c r="N83" s="389"/>
      <c r="P83" s="399"/>
      <c r="Q83" s="397"/>
      <c r="R83" s="696" t="s">
        <v>773</v>
      </c>
      <c r="S83" s="748">
        <f>$H$857/$H$866+$H$858/$H$869</f>
        <v>0.42420884244949908</v>
      </c>
      <c r="T83" s="697" t="s">
        <v>706</v>
      </c>
      <c r="U83" s="748">
        <v>1</v>
      </c>
      <c r="V83" s="389"/>
      <c r="W83" s="377"/>
      <c r="X83" s="376"/>
      <c r="Y83" s="376"/>
      <c r="Z83" s="376"/>
      <c r="AA83" s="376"/>
      <c r="AB83" s="376"/>
      <c r="AC83" s="376"/>
      <c r="AD83" s="387"/>
      <c r="AE83" s="739"/>
      <c r="AF83" s="739"/>
      <c r="AG83" s="257"/>
      <c r="AH83" s="258"/>
      <c r="AI83" s="258"/>
      <c r="AJ83" s="258"/>
      <c r="AK83" s="258"/>
    </row>
    <row r="84" spans="2:37" s="9" customFormat="1" ht="15" customHeight="1">
      <c r="B84" s="388"/>
      <c r="C84" s="376"/>
      <c r="D84" s="376"/>
      <c r="E84" s="376"/>
      <c r="F84" s="376"/>
      <c r="G84" s="376"/>
      <c r="H84" s="376"/>
      <c r="I84" s="376"/>
      <c r="J84" s="376"/>
      <c r="K84" s="376"/>
      <c r="L84" s="376"/>
      <c r="M84" s="376"/>
      <c r="N84" s="389"/>
      <c r="P84" s="388"/>
      <c r="Q84" s="390"/>
      <c r="R84" s="393"/>
      <c r="S84" s="753"/>
      <c r="T84" s="753"/>
      <c r="U84" s="752">
        <f>S83/U83</f>
        <v>0.42420884244949908</v>
      </c>
      <c r="V84" s="600" t="str">
        <f>IF(S83&lt;=U83,"OK","niespełniony")</f>
        <v>OK</v>
      </c>
      <c r="W84" s="376"/>
      <c r="X84" s="376"/>
      <c r="Y84" s="376"/>
      <c r="Z84" s="376"/>
      <c r="AA84" s="376"/>
      <c r="AB84" s="376"/>
      <c r="AC84" s="376"/>
      <c r="AD84" s="389"/>
      <c r="AE84" s="739"/>
      <c r="AF84" s="739"/>
      <c r="AG84" s="257"/>
      <c r="AH84" s="258"/>
      <c r="AI84" s="258"/>
      <c r="AJ84" s="258"/>
      <c r="AK84" s="258"/>
    </row>
    <row r="85" spans="2:37" s="9" customFormat="1" ht="15" customHeight="1">
      <c r="B85" s="388"/>
      <c r="C85" s="376"/>
      <c r="D85" s="376"/>
      <c r="E85" s="376"/>
      <c r="F85" s="376"/>
      <c r="G85" s="376"/>
      <c r="H85" s="376"/>
      <c r="I85" s="376"/>
      <c r="J85" s="376"/>
      <c r="K85" s="376"/>
      <c r="L85" s="376"/>
      <c r="M85" s="376"/>
      <c r="N85" s="389"/>
      <c r="O85" s="734"/>
      <c r="P85" s="388"/>
      <c r="Q85" s="376"/>
      <c r="R85" s="376"/>
      <c r="S85" s="376"/>
      <c r="T85" s="376"/>
      <c r="U85" s="376"/>
      <c r="V85" s="376"/>
      <c r="W85" s="376"/>
      <c r="X85" s="376"/>
      <c r="Y85" s="376"/>
      <c r="Z85" s="376"/>
      <c r="AA85" s="376"/>
      <c r="AB85" s="376"/>
      <c r="AC85" s="376"/>
      <c r="AD85" s="389"/>
      <c r="AE85" s="739"/>
      <c r="AF85" s="739"/>
      <c r="AG85" s="257"/>
      <c r="AH85" s="258"/>
      <c r="AI85" s="258"/>
      <c r="AJ85" s="258"/>
      <c r="AK85" s="258"/>
    </row>
    <row r="86" spans="2:37" s="9" customFormat="1" ht="15" customHeight="1">
      <c r="B86" s="390"/>
      <c r="C86" s="391"/>
      <c r="D86" s="392"/>
      <c r="E86" s="392"/>
      <c r="F86" s="393"/>
      <c r="G86" s="393"/>
      <c r="H86" s="393"/>
      <c r="I86" s="393"/>
      <c r="J86" s="393"/>
      <c r="K86" s="393"/>
      <c r="L86" s="393"/>
      <c r="M86" s="393"/>
      <c r="N86" s="394"/>
      <c r="O86" s="734"/>
      <c r="P86" s="390"/>
      <c r="Q86" s="393"/>
      <c r="R86" s="393"/>
      <c r="S86" s="393"/>
      <c r="T86" s="393"/>
      <c r="U86" s="401"/>
      <c r="V86" s="400"/>
      <c r="W86" s="402"/>
      <c r="X86" s="403"/>
      <c r="Y86" s="403"/>
      <c r="Z86" s="403"/>
      <c r="AA86" s="403"/>
      <c r="AB86" s="403"/>
      <c r="AC86" s="403"/>
      <c r="AD86" s="404"/>
      <c r="AE86" s="739"/>
      <c r="AF86" s="739"/>
      <c r="AG86" s="257"/>
      <c r="AH86" s="258"/>
      <c r="AI86" s="258"/>
      <c r="AJ86" s="258"/>
      <c r="AK86" s="258"/>
    </row>
    <row r="87" spans="2:37" s="9" customFormat="1" ht="15" customHeight="1">
      <c r="B87" s="734"/>
      <c r="C87" s="734"/>
      <c r="D87" s="734"/>
      <c r="E87" s="734"/>
      <c r="F87" s="734"/>
      <c r="G87" s="734"/>
      <c r="H87" s="734"/>
      <c r="I87" s="734"/>
      <c r="J87" s="734"/>
      <c r="K87" s="734"/>
      <c r="L87" s="734"/>
      <c r="M87" s="734"/>
      <c r="N87" s="734"/>
      <c r="O87" s="734"/>
      <c r="P87" s="734"/>
      <c r="Q87" s="734"/>
      <c r="R87" s="734"/>
      <c r="S87" s="734"/>
      <c r="T87" s="734"/>
      <c r="U87" s="734"/>
      <c r="V87" s="734"/>
      <c r="W87" s="734"/>
      <c r="X87" s="734"/>
      <c r="Y87" s="734"/>
      <c r="Z87" s="734"/>
      <c r="AA87" s="734"/>
      <c r="AB87" s="734"/>
      <c r="AC87" s="734"/>
      <c r="AD87" s="734"/>
      <c r="AE87" s="739"/>
      <c r="AF87" s="739"/>
      <c r="AG87" s="257"/>
      <c r="AH87" s="258"/>
      <c r="AI87" s="258"/>
      <c r="AJ87" s="258"/>
      <c r="AK87" s="258"/>
    </row>
    <row r="88" spans="2:37" s="9" customFormat="1" ht="15" customHeight="1">
      <c r="B88" s="734"/>
      <c r="C88" s="734"/>
      <c r="D88" s="734"/>
      <c r="E88" s="734"/>
      <c r="F88" s="734"/>
      <c r="G88" s="734"/>
      <c r="H88" s="734"/>
      <c r="I88" s="734"/>
      <c r="J88" s="734"/>
      <c r="K88" s="734"/>
      <c r="L88" s="734"/>
      <c r="M88" s="734"/>
      <c r="N88" s="734"/>
      <c r="O88" s="734"/>
      <c r="P88" s="734"/>
      <c r="Q88" s="734"/>
      <c r="R88" s="734"/>
      <c r="S88" s="734"/>
      <c r="T88" s="734"/>
      <c r="U88" s="734"/>
      <c r="V88" s="734"/>
      <c r="W88" s="734"/>
      <c r="X88" s="734"/>
      <c r="Y88" s="734"/>
      <c r="Z88" s="734"/>
      <c r="AA88" s="734"/>
      <c r="AB88" s="734"/>
      <c r="AC88" s="734"/>
      <c r="AD88" s="734"/>
      <c r="AE88" s="739"/>
      <c r="AF88" s="739"/>
      <c r="AG88" s="257"/>
      <c r="AH88" s="258"/>
      <c r="AI88" s="258"/>
      <c r="AJ88" s="258"/>
      <c r="AK88" s="258"/>
    </row>
    <row r="89" spans="2:37" s="9" customFormat="1" ht="15" customHeight="1">
      <c r="B89" s="734"/>
      <c r="C89" s="734"/>
      <c r="D89" s="734"/>
      <c r="E89" s="734"/>
      <c r="F89" s="734"/>
      <c r="G89" s="734"/>
      <c r="H89" s="734"/>
      <c r="I89" s="734"/>
      <c r="J89" s="734"/>
      <c r="K89" s="734"/>
      <c r="L89" s="734"/>
      <c r="M89" s="734"/>
      <c r="N89" s="734"/>
      <c r="O89" s="734"/>
      <c r="P89" s="734"/>
      <c r="Q89" s="734"/>
      <c r="R89" s="734"/>
      <c r="S89" s="734"/>
      <c r="T89" s="734"/>
      <c r="U89" s="734"/>
      <c r="V89" s="734"/>
      <c r="W89" s="734"/>
      <c r="X89" s="734"/>
      <c r="Y89" s="734"/>
      <c r="Z89" s="734"/>
      <c r="AA89" s="734"/>
      <c r="AB89" s="734"/>
      <c r="AC89" s="734"/>
      <c r="AD89" s="734"/>
      <c r="AE89" s="739"/>
      <c r="AF89" s="739"/>
      <c r="AG89" s="257"/>
      <c r="AH89" s="258"/>
      <c r="AI89" s="258"/>
      <c r="AJ89" s="258"/>
      <c r="AK89" s="258"/>
    </row>
    <row r="90" spans="2:37" s="9" customFormat="1" ht="15" customHeight="1">
      <c r="B90" s="734"/>
      <c r="C90" s="734"/>
      <c r="D90" s="734"/>
      <c r="E90" s="734"/>
      <c r="F90" s="734"/>
      <c r="G90" s="734"/>
      <c r="H90" s="734"/>
      <c r="I90" s="734"/>
      <c r="J90" s="734"/>
      <c r="K90" s="734"/>
      <c r="L90" s="734"/>
      <c r="M90" s="734"/>
      <c r="N90" s="734"/>
      <c r="O90" s="734"/>
      <c r="P90" s="734"/>
      <c r="Q90" s="734"/>
      <c r="R90" s="734"/>
      <c r="S90" s="734"/>
      <c r="T90" s="734"/>
      <c r="U90" s="734"/>
      <c r="V90" s="734"/>
      <c r="W90" s="734"/>
      <c r="X90" s="734"/>
      <c r="Y90" s="734"/>
      <c r="Z90" s="734"/>
      <c r="AA90" s="734"/>
      <c r="AB90" s="734"/>
      <c r="AC90" s="734"/>
      <c r="AD90" s="734"/>
      <c r="AE90" s="739"/>
      <c r="AF90" s="739"/>
      <c r="AG90" s="257"/>
      <c r="AH90" s="258"/>
      <c r="AI90" s="258"/>
      <c r="AJ90" s="258"/>
      <c r="AK90" s="258"/>
    </row>
    <row r="91" spans="2:37" s="9" customFormat="1" ht="15" customHeight="1">
      <c r="B91" s="734"/>
      <c r="C91" s="734"/>
      <c r="D91" s="734"/>
      <c r="E91" s="734"/>
      <c r="F91" s="734"/>
      <c r="G91" s="734"/>
      <c r="H91" s="734"/>
      <c r="I91" s="734"/>
      <c r="J91" s="734"/>
      <c r="K91" s="734"/>
      <c r="L91" s="734"/>
      <c r="M91" s="734"/>
      <c r="N91" s="734"/>
      <c r="O91" s="734"/>
      <c r="P91" s="734"/>
      <c r="Q91" s="734"/>
      <c r="R91" s="734"/>
      <c r="S91" s="734"/>
      <c r="T91" s="734"/>
      <c r="U91" s="734"/>
      <c r="V91" s="734"/>
      <c r="W91" s="734"/>
      <c r="X91" s="734"/>
      <c r="Y91" s="734"/>
      <c r="Z91" s="734"/>
      <c r="AA91" s="734"/>
      <c r="AB91" s="734"/>
      <c r="AC91" s="734"/>
      <c r="AD91" s="734"/>
      <c r="AE91" s="739"/>
      <c r="AF91" s="739"/>
      <c r="AG91" s="257"/>
      <c r="AH91" s="258"/>
      <c r="AI91" s="258"/>
      <c r="AJ91" s="258"/>
      <c r="AK91" s="258"/>
    </row>
    <row r="92" spans="2:37" s="9" customFormat="1" ht="15" customHeight="1">
      <c r="B92" s="734"/>
      <c r="C92" s="734"/>
      <c r="D92" s="734"/>
      <c r="E92" s="734"/>
      <c r="F92" s="734"/>
      <c r="G92" s="734"/>
      <c r="H92" s="734"/>
      <c r="I92" s="734"/>
      <c r="J92" s="734"/>
      <c r="K92" s="734"/>
      <c r="L92" s="734"/>
      <c r="M92" s="734"/>
      <c r="N92" s="734"/>
      <c r="O92" s="734"/>
      <c r="P92" s="734"/>
      <c r="Q92" s="734"/>
      <c r="R92" s="734"/>
      <c r="S92" s="734"/>
      <c r="T92" s="734"/>
      <c r="U92" s="734"/>
      <c r="V92" s="734"/>
      <c r="W92" s="734"/>
      <c r="X92" s="734"/>
      <c r="Y92" s="734"/>
      <c r="Z92" s="734"/>
      <c r="AA92" s="734"/>
      <c r="AB92" s="734"/>
      <c r="AC92" s="734"/>
      <c r="AD92" s="734"/>
      <c r="AE92" s="739"/>
      <c r="AF92" s="739"/>
      <c r="AG92" s="257"/>
      <c r="AH92" s="258"/>
      <c r="AI92" s="258"/>
      <c r="AJ92" s="258"/>
      <c r="AK92" s="258"/>
    </row>
    <row r="93" spans="2:37" s="9" customFormat="1" ht="15" customHeight="1">
      <c r="B93" s="734"/>
      <c r="C93" s="734"/>
      <c r="D93" s="734"/>
      <c r="E93" s="734"/>
      <c r="F93" s="734"/>
      <c r="G93" s="734"/>
      <c r="H93" s="734"/>
      <c r="I93" s="734"/>
      <c r="J93" s="734"/>
      <c r="K93" s="734"/>
      <c r="L93" s="734"/>
      <c r="M93" s="734"/>
      <c r="N93" s="734"/>
      <c r="O93" s="734"/>
      <c r="P93" s="734"/>
      <c r="Q93" s="734"/>
      <c r="R93" s="734"/>
      <c r="S93" s="734"/>
      <c r="T93" s="734"/>
      <c r="U93" s="734"/>
      <c r="V93" s="734"/>
      <c r="W93" s="734"/>
      <c r="X93" s="734"/>
      <c r="Y93" s="734"/>
      <c r="Z93" s="734"/>
      <c r="AA93" s="734"/>
      <c r="AB93" s="734"/>
      <c r="AC93" s="734"/>
      <c r="AD93" s="734"/>
      <c r="AE93" s="739"/>
      <c r="AF93" s="739"/>
      <c r="AG93" s="258"/>
      <c r="AH93" s="258"/>
      <c r="AI93" s="258"/>
      <c r="AJ93" s="258"/>
      <c r="AK93" s="258"/>
    </row>
    <row r="94" spans="2:37" s="9" customFormat="1" ht="15" customHeight="1">
      <c r="B94" s="734"/>
      <c r="C94" s="734"/>
      <c r="D94" s="734"/>
      <c r="E94" s="734"/>
      <c r="F94" s="734"/>
      <c r="G94" s="734"/>
      <c r="H94" s="734"/>
      <c r="I94" s="734"/>
      <c r="J94" s="734"/>
      <c r="K94" s="734"/>
      <c r="L94" s="734"/>
      <c r="M94" s="734"/>
      <c r="N94" s="734"/>
      <c r="O94" s="734"/>
      <c r="P94" s="734"/>
      <c r="Q94" s="734"/>
      <c r="R94" s="734"/>
      <c r="S94" s="734"/>
      <c r="T94" s="734"/>
      <c r="U94" s="734"/>
      <c r="V94" s="734"/>
      <c r="W94" s="734"/>
      <c r="X94" s="734"/>
      <c r="Y94" s="734"/>
      <c r="Z94" s="734"/>
      <c r="AA94" s="734"/>
      <c r="AB94" s="734"/>
      <c r="AC94" s="734"/>
      <c r="AD94" s="734"/>
      <c r="AE94" s="739"/>
      <c r="AF94" s="739"/>
      <c r="AG94" s="258"/>
      <c r="AH94" s="258"/>
      <c r="AI94" s="258"/>
      <c r="AJ94" s="258"/>
      <c r="AK94" s="258"/>
    </row>
    <row r="95" spans="2:37" s="9" customFormat="1" ht="15" customHeight="1">
      <c r="B95" s="734"/>
      <c r="C95" s="734"/>
      <c r="D95" s="734"/>
      <c r="E95" s="734"/>
      <c r="F95" s="734"/>
      <c r="G95" s="734"/>
      <c r="H95" s="734"/>
      <c r="I95" s="734"/>
      <c r="J95" s="734"/>
      <c r="K95" s="734"/>
      <c r="L95" s="734"/>
      <c r="M95" s="734"/>
      <c r="N95" s="734"/>
      <c r="O95" s="734"/>
      <c r="P95" s="734"/>
      <c r="Q95" s="734"/>
      <c r="R95" s="734"/>
      <c r="S95" s="734"/>
      <c r="T95" s="734"/>
      <c r="U95" s="734"/>
      <c r="V95" s="734"/>
      <c r="W95" s="734"/>
      <c r="X95" s="734"/>
      <c r="Y95" s="734"/>
      <c r="Z95" s="734"/>
      <c r="AA95" s="734"/>
      <c r="AB95" s="734"/>
      <c r="AC95" s="734"/>
      <c r="AD95" s="734"/>
      <c r="AE95" s="739"/>
      <c r="AF95" s="739"/>
      <c r="AG95" s="258"/>
      <c r="AH95" s="258"/>
      <c r="AI95" s="258"/>
      <c r="AJ95" s="258"/>
      <c r="AK95" s="258"/>
    </row>
    <row r="96" spans="2:37" s="9" customFormat="1" ht="15" customHeight="1">
      <c r="B96" s="734"/>
      <c r="C96" s="734"/>
      <c r="D96" s="734"/>
      <c r="E96" s="734"/>
      <c r="F96" s="734"/>
      <c r="G96" s="734"/>
      <c r="H96" s="734"/>
      <c r="I96" s="734"/>
      <c r="J96" s="734"/>
      <c r="K96" s="734"/>
      <c r="L96" s="734"/>
      <c r="M96" s="734"/>
      <c r="N96" s="734"/>
      <c r="O96" s="734"/>
      <c r="P96" s="734"/>
      <c r="Q96" s="734"/>
      <c r="R96" s="734"/>
      <c r="S96" s="734"/>
      <c r="T96" s="734"/>
      <c r="U96" s="734"/>
      <c r="V96" s="734"/>
      <c r="W96" s="734"/>
      <c r="X96" s="734"/>
      <c r="Y96" s="734"/>
      <c r="Z96" s="734"/>
      <c r="AA96" s="734"/>
      <c r="AB96" s="734"/>
      <c r="AC96" s="734"/>
      <c r="AD96" s="734"/>
      <c r="AE96" s="739"/>
      <c r="AF96" s="739"/>
      <c r="AG96" s="258"/>
      <c r="AH96" s="258"/>
      <c r="AI96" s="258"/>
      <c r="AJ96" s="258"/>
      <c r="AK96" s="258"/>
    </row>
    <row r="97" spans="2:37" s="9" customFormat="1" ht="15" customHeight="1">
      <c r="B97" s="734"/>
      <c r="C97" s="734"/>
      <c r="D97" s="734"/>
      <c r="E97" s="734"/>
      <c r="F97" s="734"/>
      <c r="G97" s="734"/>
      <c r="H97" s="734"/>
      <c r="I97" s="734"/>
      <c r="J97" s="734"/>
      <c r="K97" s="734"/>
      <c r="L97" s="734"/>
      <c r="M97" s="734"/>
      <c r="N97" s="734"/>
      <c r="O97" s="734"/>
      <c r="P97" s="734"/>
      <c r="Q97" s="734"/>
      <c r="R97" s="734"/>
      <c r="S97" s="734"/>
      <c r="T97" s="734"/>
      <c r="U97" s="734"/>
      <c r="V97" s="734"/>
      <c r="W97" s="734"/>
      <c r="X97" s="734"/>
      <c r="Y97" s="734"/>
      <c r="Z97" s="734"/>
      <c r="AA97" s="734"/>
      <c r="AB97" s="734"/>
      <c r="AC97" s="734"/>
      <c r="AD97" s="734"/>
      <c r="AE97" s="739"/>
      <c r="AF97" s="739"/>
      <c r="AG97" s="258"/>
      <c r="AH97" s="258"/>
      <c r="AI97" s="258"/>
      <c r="AJ97" s="258"/>
      <c r="AK97" s="258"/>
    </row>
    <row r="98" spans="2:37" s="9" customFormat="1" ht="15" customHeight="1">
      <c r="B98" s="734"/>
      <c r="C98" s="734"/>
      <c r="D98" s="734"/>
      <c r="E98" s="734"/>
      <c r="F98" s="734"/>
      <c r="G98" s="734"/>
      <c r="H98" s="734"/>
      <c r="I98" s="734"/>
      <c r="J98" s="734"/>
      <c r="K98" s="734"/>
      <c r="L98" s="734"/>
      <c r="M98" s="734"/>
      <c r="N98" s="734"/>
      <c r="O98" s="734"/>
      <c r="P98" s="734"/>
      <c r="Q98" s="734"/>
      <c r="R98" s="734"/>
      <c r="S98" s="734"/>
      <c r="T98" s="734"/>
      <c r="U98" s="734"/>
      <c r="V98" s="734"/>
      <c r="W98" s="734"/>
      <c r="X98" s="734"/>
      <c r="Y98" s="734"/>
      <c r="Z98" s="734"/>
      <c r="AA98" s="734"/>
      <c r="AB98" s="734"/>
      <c r="AC98" s="734"/>
      <c r="AD98" s="734"/>
      <c r="AE98" s="739"/>
      <c r="AF98" s="739"/>
      <c r="AG98" s="258"/>
      <c r="AH98" s="258"/>
      <c r="AI98" s="258"/>
      <c r="AJ98" s="258"/>
      <c r="AK98" s="258"/>
    </row>
    <row r="99" spans="2:37" s="9" customFormat="1" ht="15" customHeight="1">
      <c r="B99" s="734"/>
      <c r="C99" s="734"/>
      <c r="D99" s="734"/>
      <c r="E99" s="734"/>
      <c r="F99" s="734"/>
      <c r="G99" s="734"/>
      <c r="H99" s="734"/>
      <c r="I99" s="734"/>
      <c r="J99" s="734"/>
      <c r="K99" s="734"/>
      <c r="L99" s="734"/>
      <c r="M99" s="734"/>
      <c r="N99" s="734"/>
      <c r="O99" s="734"/>
      <c r="P99" s="734"/>
      <c r="Q99" s="734"/>
      <c r="R99" s="734"/>
      <c r="S99" s="734"/>
      <c r="T99" s="734"/>
      <c r="U99" s="734"/>
      <c r="V99" s="734"/>
      <c r="W99" s="734"/>
      <c r="X99" s="734"/>
      <c r="Y99" s="734"/>
      <c r="Z99" s="734"/>
      <c r="AA99" s="734"/>
      <c r="AB99" s="734"/>
      <c r="AC99" s="734"/>
      <c r="AD99" s="734"/>
      <c r="AE99" s="739"/>
      <c r="AF99" s="739"/>
      <c r="AG99" s="258"/>
      <c r="AH99" s="258"/>
      <c r="AI99" s="258"/>
      <c r="AJ99" s="258"/>
      <c r="AK99" s="258"/>
    </row>
    <row r="100" spans="2:37" s="9" customFormat="1" ht="15" customHeight="1">
      <c r="B100" s="734"/>
      <c r="C100" s="734"/>
      <c r="D100" s="734"/>
      <c r="E100" s="734"/>
      <c r="F100" s="734"/>
      <c r="G100" s="734"/>
      <c r="H100" s="734"/>
      <c r="I100" s="734"/>
      <c r="J100" s="734"/>
      <c r="K100" s="734"/>
      <c r="L100" s="734"/>
      <c r="M100" s="734"/>
      <c r="N100" s="734"/>
      <c r="O100" s="734"/>
      <c r="P100" s="734"/>
      <c r="Q100" s="734"/>
      <c r="R100" s="734"/>
      <c r="S100" s="734"/>
      <c r="T100" s="734"/>
      <c r="U100" s="734"/>
      <c r="V100" s="734"/>
      <c r="W100" s="734"/>
      <c r="X100" s="734"/>
      <c r="Y100" s="734"/>
      <c r="Z100" s="734"/>
      <c r="AA100" s="734"/>
      <c r="AB100" s="734"/>
      <c r="AC100" s="734"/>
      <c r="AD100" s="734"/>
      <c r="AE100" s="739"/>
      <c r="AF100" s="739"/>
      <c r="AG100" s="258"/>
      <c r="AH100" s="258"/>
      <c r="AI100" s="258"/>
      <c r="AJ100" s="258"/>
      <c r="AK100" s="258"/>
    </row>
    <row r="101" spans="2:37" s="9" customFormat="1" ht="15" customHeight="1">
      <c r="B101" s="734"/>
      <c r="C101" s="734"/>
      <c r="D101" s="734"/>
      <c r="E101" s="734"/>
      <c r="F101" s="734"/>
      <c r="G101" s="734"/>
      <c r="H101" s="734"/>
      <c r="I101" s="734"/>
      <c r="J101" s="734"/>
      <c r="K101" s="734"/>
      <c r="L101" s="734"/>
      <c r="M101" s="734"/>
      <c r="N101" s="734"/>
      <c r="O101" s="734"/>
      <c r="P101" s="734"/>
      <c r="Q101" s="734"/>
      <c r="R101" s="734"/>
      <c r="S101" s="734"/>
      <c r="T101" s="734"/>
      <c r="U101" s="734"/>
      <c r="V101" s="734"/>
      <c r="W101" s="734"/>
      <c r="X101" s="734"/>
      <c r="Y101" s="734"/>
      <c r="Z101" s="734"/>
      <c r="AA101" s="734"/>
      <c r="AB101" s="734"/>
      <c r="AC101" s="734"/>
      <c r="AD101" s="734"/>
      <c r="AE101" s="739"/>
      <c r="AF101" s="739"/>
      <c r="AG101" s="258"/>
      <c r="AH101" s="258"/>
      <c r="AI101" s="258"/>
      <c r="AJ101" s="258"/>
      <c r="AK101" s="258"/>
    </row>
    <row r="102" spans="2:37" s="9" customFormat="1" ht="15" customHeight="1">
      <c r="AE102" s="739"/>
      <c r="AF102" s="739"/>
      <c r="AG102" s="258"/>
      <c r="AH102" s="258"/>
      <c r="AI102" s="258"/>
      <c r="AJ102" s="258"/>
      <c r="AK102" s="258"/>
    </row>
    <row r="103" spans="2:37" s="9" customFormat="1" ht="15" customHeight="1">
      <c r="B103" s="301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2"/>
      <c r="R103" s="302"/>
      <c r="S103" s="302"/>
      <c r="T103" s="125"/>
      <c r="U103" s="303"/>
      <c r="V103" s="302"/>
      <c r="W103" s="2"/>
      <c r="X103" s="258"/>
      <c r="Y103" s="258"/>
      <c r="Z103" s="258"/>
      <c r="AA103" s="258"/>
      <c r="AB103" s="258"/>
      <c r="AC103" s="258"/>
      <c r="AD103" s="258"/>
      <c r="AE103" s="739"/>
      <c r="AF103" s="739"/>
      <c r="AG103" s="258"/>
      <c r="AH103" s="258"/>
      <c r="AI103" s="258"/>
      <c r="AJ103" s="258"/>
      <c r="AK103" s="258"/>
    </row>
    <row r="104" spans="2:37" s="9" customFormat="1" ht="15" customHeight="1">
      <c r="B104" s="301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2"/>
      <c r="R104" s="302"/>
      <c r="S104" s="302"/>
      <c r="T104" s="125"/>
      <c r="U104" s="303"/>
      <c r="V104" s="302"/>
      <c r="W104" s="2"/>
      <c r="X104" s="258"/>
      <c r="Y104" s="258"/>
      <c r="Z104" s="258"/>
      <c r="AA104" s="258"/>
      <c r="AB104" s="258"/>
      <c r="AC104" s="258"/>
      <c r="AD104" s="258"/>
      <c r="AE104" s="739"/>
      <c r="AF104" s="739"/>
      <c r="AG104" s="258"/>
      <c r="AH104" s="258"/>
      <c r="AI104" s="258"/>
      <c r="AJ104" s="258"/>
      <c r="AK104" s="258"/>
    </row>
    <row r="105" spans="2:37" s="9" customFormat="1" ht="15" customHeight="1">
      <c r="B105" s="301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68"/>
      <c r="P105" s="306"/>
      <c r="Q105" s="305"/>
      <c r="R105" s="305"/>
      <c r="S105" s="302"/>
      <c r="T105" s="125"/>
      <c r="U105" s="303"/>
      <c r="V105" s="302"/>
      <c r="W105" s="2"/>
      <c r="X105" s="258"/>
      <c r="Y105" s="258"/>
      <c r="Z105" s="258"/>
      <c r="AA105" s="258"/>
      <c r="AB105" s="258"/>
      <c r="AC105" s="258"/>
      <c r="AD105" s="258"/>
      <c r="AE105" s="258"/>
      <c r="AF105" s="258"/>
      <c r="AG105" s="258"/>
      <c r="AH105" s="258"/>
      <c r="AI105" s="258"/>
      <c r="AJ105" s="258"/>
      <c r="AK105" s="258"/>
    </row>
    <row r="106" spans="2:37" s="9" customFormat="1" ht="15" customHeight="1">
      <c r="B106" s="301"/>
      <c r="C106" s="301"/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1"/>
      <c r="O106" s="368"/>
      <c r="P106" s="306"/>
      <c r="Q106" s="305"/>
      <c r="R106" s="305"/>
      <c r="S106" s="302"/>
      <c r="T106" s="125"/>
      <c r="U106" s="303"/>
      <c r="V106" s="302"/>
      <c r="W106" s="2"/>
      <c r="X106" s="258"/>
      <c r="Y106" s="258"/>
      <c r="Z106" s="258"/>
      <c r="AA106" s="258"/>
      <c r="AB106" s="258"/>
      <c r="AC106" s="258"/>
      <c r="AD106" s="258"/>
      <c r="AE106" s="258"/>
      <c r="AF106" s="258"/>
      <c r="AG106" s="258"/>
      <c r="AH106" s="258"/>
      <c r="AI106" s="258"/>
      <c r="AJ106" s="258"/>
      <c r="AK106" s="258"/>
    </row>
    <row r="107" spans="2:37" s="9" customFormat="1" ht="15" customHeight="1">
      <c r="B107" s="301"/>
      <c r="C107" s="301"/>
      <c r="D107" s="301"/>
      <c r="E107" s="301"/>
      <c r="F107" s="301"/>
      <c r="G107" s="301"/>
      <c r="H107" s="301"/>
      <c r="I107" s="301"/>
      <c r="J107" s="301"/>
      <c r="K107" s="301"/>
      <c r="L107" s="301"/>
      <c r="M107" s="301"/>
      <c r="N107" s="301"/>
      <c r="O107" s="304"/>
      <c r="P107" s="304"/>
      <c r="Q107" s="304"/>
      <c r="R107" s="305"/>
      <c r="S107" s="302"/>
      <c r="T107" s="125"/>
      <c r="U107" s="303"/>
      <c r="V107" s="302"/>
      <c r="W107" s="2"/>
      <c r="X107" s="258"/>
      <c r="Y107" s="258"/>
      <c r="Z107" s="258"/>
      <c r="AA107" s="258"/>
      <c r="AB107" s="258"/>
      <c r="AC107" s="258"/>
      <c r="AD107" s="258"/>
      <c r="AE107" s="258"/>
      <c r="AF107" s="258"/>
      <c r="AG107" s="258"/>
      <c r="AH107" s="258"/>
      <c r="AI107" s="258"/>
      <c r="AJ107" s="258"/>
      <c r="AK107" s="258"/>
    </row>
    <row r="108" spans="2:37" s="9" customFormat="1" ht="15" customHeight="1">
      <c r="B108" s="301"/>
      <c r="C108" s="301"/>
      <c r="D108" s="301"/>
      <c r="E108" s="301"/>
      <c r="F108" s="301"/>
      <c r="G108" s="301"/>
      <c r="H108" s="301"/>
      <c r="I108" s="301"/>
      <c r="J108" s="301"/>
      <c r="K108" s="301"/>
      <c r="L108" s="301"/>
      <c r="M108" s="301"/>
      <c r="N108" s="301"/>
      <c r="O108" s="304"/>
      <c r="P108" s="304"/>
      <c r="Q108" s="304"/>
      <c r="R108" s="305"/>
      <c r="S108" s="302"/>
      <c r="T108" s="125"/>
      <c r="U108" s="303"/>
      <c r="V108" s="302"/>
      <c r="W108" s="2"/>
      <c r="X108" s="258"/>
      <c r="Y108" s="258"/>
      <c r="Z108" s="258"/>
      <c r="AA108" s="258"/>
      <c r="AB108" s="258"/>
      <c r="AC108" s="258"/>
      <c r="AD108" s="258"/>
      <c r="AE108" s="258"/>
      <c r="AF108" s="258"/>
      <c r="AG108" s="258"/>
      <c r="AH108" s="258"/>
      <c r="AI108" s="258"/>
      <c r="AJ108" s="258"/>
      <c r="AK108" s="258"/>
    </row>
    <row r="109" spans="2:37" s="9" customFormat="1" ht="15" customHeight="1">
      <c r="B109" s="301"/>
      <c r="C109" s="301"/>
      <c r="D109" s="301"/>
      <c r="E109" s="301"/>
      <c r="F109" s="301"/>
      <c r="G109" s="301"/>
      <c r="H109" s="301"/>
      <c r="I109" s="301"/>
      <c r="J109" s="301"/>
      <c r="K109" s="301"/>
      <c r="L109" s="301"/>
      <c r="M109" s="301"/>
      <c r="N109" s="301"/>
      <c r="O109" s="304"/>
      <c r="P109" s="304"/>
      <c r="Q109" s="304"/>
      <c r="R109" s="305"/>
      <c r="S109" s="302"/>
      <c r="T109" s="125"/>
      <c r="U109" s="303"/>
      <c r="V109" s="302"/>
      <c r="W109" s="2"/>
      <c r="X109" s="258"/>
      <c r="Y109" s="258"/>
      <c r="Z109" s="258"/>
      <c r="AA109" s="258"/>
      <c r="AB109" s="258"/>
      <c r="AC109" s="258"/>
      <c r="AD109" s="258"/>
      <c r="AE109" s="258"/>
      <c r="AF109" s="258"/>
      <c r="AG109" s="258"/>
      <c r="AH109" s="258"/>
      <c r="AI109" s="258"/>
      <c r="AJ109" s="258"/>
      <c r="AK109" s="258"/>
    </row>
    <row r="110" spans="2:37" s="9" customFormat="1" ht="15" customHeight="1"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4"/>
      <c r="P110" s="304"/>
      <c r="Q110" s="304"/>
      <c r="R110" s="305"/>
      <c r="S110" s="302"/>
      <c r="T110" s="125"/>
      <c r="U110" s="303"/>
      <c r="V110" s="302"/>
      <c r="W110" s="2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</row>
    <row r="111" spans="2:37" s="9" customFormat="1" ht="15" customHeight="1"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M111" s="301"/>
      <c r="N111" s="301"/>
      <c r="O111" s="304"/>
      <c r="P111" s="304"/>
      <c r="Q111" s="305"/>
      <c r="R111" s="305"/>
      <c r="S111" s="302"/>
      <c r="T111" s="125"/>
      <c r="U111" s="303"/>
      <c r="V111" s="302"/>
      <c r="W111" s="2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</row>
    <row r="112" spans="2:37" s="9" customFormat="1" ht="15" customHeight="1"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4"/>
      <c r="P112" s="304"/>
      <c r="Q112" s="305"/>
      <c r="R112" s="305"/>
      <c r="S112" s="302"/>
      <c r="T112" s="125"/>
      <c r="U112" s="303"/>
      <c r="V112" s="302"/>
      <c r="W112" s="2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</row>
    <row r="113" spans="2:37" s="9" customFormat="1" ht="15" customHeight="1">
      <c r="B113" s="301"/>
      <c r="C113" s="301"/>
      <c r="D113" s="301"/>
      <c r="E113" s="301"/>
      <c r="F113" s="301"/>
      <c r="G113" s="301"/>
      <c r="H113" s="301"/>
      <c r="I113" s="301"/>
      <c r="J113" s="301"/>
      <c r="K113" s="301"/>
      <c r="L113" s="301"/>
      <c r="M113" s="301"/>
      <c r="N113" s="301"/>
      <c r="O113" s="304"/>
      <c r="P113" s="304"/>
      <c r="Q113" s="305"/>
      <c r="R113" s="305"/>
      <c r="S113" s="302"/>
      <c r="T113" s="125"/>
      <c r="U113" s="303"/>
      <c r="V113" s="302"/>
      <c r="W113" s="2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</row>
    <row r="114" spans="2:37" s="9" customFormat="1" ht="15" customHeight="1">
      <c r="B114" s="301"/>
      <c r="C114" s="301"/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2"/>
      <c r="R114" s="302"/>
      <c r="S114" s="302"/>
      <c r="T114" s="125"/>
      <c r="U114" s="303"/>
      <c r="V114" s="302"/>
      <c r="W114" s="2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</row>
    <row r="115" spans="2:37" s="9" customFormat="1" ht="30" customHeight="1">
      <c r="B115" s="411" t="s">
        <v>736</v>
      </c>
      <c r="C115" s="412"/>
      <c r="D115" s="412"/>
      <c r="E115" s="412"/>
      <c r="F115" s="412"/>
      <c r="G115" s="412"/>
      <c r="H115" s="412"/>
      <c r="I115" s="412"/>
      <c r="J115" s="412"/>
      <c r="K115" s="412"/>
      <c r="L115" s="412"/>
      <c r="M115" s="412"/>
      <c r="N115" s="413"/>
      <c r="O115" s="301"/>
      <c r="P115" s="301"/>
      <c r="Q115" s="302"/>
      <c r="R115" s="302"/>
      <c r="S115" s="302"/>
      <c r="T115" s="125"/>
      <c r="U115" s="303"/>
      <c r="V115" s="302"/>
      <c r="W115" s="2"/>
      <c r="X115" s="258"/>
      <c r="Y115" s="258"/>
      <c r="Z115" s="258"/>
      <c r="AA115" s="257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</row>
    <row r="116" spans="2:37" ht="15" customHeight="1">
      <c r="B116" s="41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415"/>
      <c r="O116" s="301"/>
      <c r="P116" s="307"/>
      <c r="Q116" s="302"/>
      <c r="R116" s="302"/>
      <c r="S116" s="302"/>
      <c r="T116" s="125"/>
      <c r="U116" s="303"/>
      <c r="V116" s="302"/>
      <c r="W116" s="2"/>
    </row>
    <row r="117" spans="2:37" ht="15" customHeight="1">
      <c r="B117" s="416"/>
      <c r="C117" s="304" t="s">
        <v>666</v>
      </c>
      <c r="D117" s="112"/>
      <c r="E117" s="112"/>
      <c r="F117" s="112"/>
      <c r="G117" s="112"/>
      <c r="H117" s="112"/>
      <c r="I117" s="112"/>
      <c r="J117" s="112"/>
      <c r="K117" s="267"/>
      <c r="L117" s="267"/>
      <c r="M117" s="121"/>
      <c r="N117" s="417"/>
      <c r="O117" s="10"/>
      <c r="P117" s="266"/>
      <c r="Q117" s="302"/>
      <c r="R117" s="302"/>
      <c r="S117" s="302"/>
      <c r="T117" s="125"/>
      <c r="U117" s="303"/>
      <c r="V117" s="302"/>
      <c r="W117" s="2"/>
    </row>
    <row r="118" spans="2:37" ht="15" customHeight="1">
      <c r="B118" s="416"/>
      <c r="C118" s="112"/>
      <c r="D118" s="112"/>
      <c r="E118" s="112"/>
      <c r="F118" s="112"/>
      <c r="G118" s="112"/>
      <c r="H118" s="112"/>
      <c r="I118" s="112"/>
      <c r="J118" s="112"/>
      <c r="K118" s="267"/>
      <c r="L118" s="267"/>
      <c r="M118" s="121"/>
      <c r="N118" s="417"/>
      <c r="O118" s="10"/>
      <c r="P118" s="266"/>
      <c r="Q118" s="302"/>
      <c r="R118" s="302"/>
      <c r="S118" s="302"/>
      <c r="T118" s="125"/>
      <c r="U118" s="303"/>
      <c r="V118" s="302"/>
      <c r="W118" s="2"/>
    </row>
    <row r="119" spans="2:37" ht="15" customHeight="1">
      <c r="B119" s="416"/>
      <c r="C119" s="1010" t="s">
        <v>472</v>
      </c>
      <c r="D119" s="1004" t="s">
        <v>561</v>
      </c>
      <c r="E119" s="1004" t="s">
        <v>562</v>
      </c>
      <c r="F119" s="1004" t="s">
        <v>563</v>
      </c>
      <c r="G119" s="1003" t="s">
        <v>671</v>
      </c>
      <c r="H119" s="418"/>
      <c r="I119" s="418"/>
      <c r="J119" s="112"/>
      <c r="K119" s="267"/>
      <c r="L119" s="267"/>
      <c r="M119" s="121"/>
      <c r="N119" s="417"/>
      <c r="O119" s="10"/>
      <c r="P119" s="266"/>
      <c r="Q119" s="302"/>
      <c r="R119" s="302"/>
      <c r="S119" s="302"/>
      <c r="T119" s="125"/>
      <c r="U119" s="303"/>
      <c r="V119" s="302"/>
      <c r="W119" s="2"/>
    </row>
    <row r="120" spans="2:37" ht="15" customHeight="1">
      <c r="B120" s="416"/>
      <c r="C120" s="1011"/>
      <c r="D120" s="1005"/>
      <c r="E120" s="1005"/>
      <c r="F120" s="1005"/>
      <c r="G120" s="1003"/>
      <c r="H120" s="418"/>
      <c r="I120" s="418"/>
      <c r="J120" s="112"/>
      <c r="K120" s="267"/>
      <c r="L120" s="267"/>
      <c r="M120" s="121"/>
      <c r="N120" s="417"/>
      <c r="O120" s="10"/>
      <c r="P120" s="266"/>
      <c r="Q120" s="302"/>
      <c r="R120" s="302"/>
      <c r="S120" s="302"/>
      <c r="T120" s="125"/>
      <c r="U120" s="303"/>
      <c r="V120" s="302"/>
      <c r="W120" s="2"/>
    </row>
    <row r="121" spans="2:37" ht="15" customHeight="1">
      <c r="B121" s="416"/>
      <c r="C121" s="366" t="str">
        <f>IF('BAZA DANYCH'!$B$9=1,OBLICZENIA!$D$27,IF('BAZA DANYCH'!$B$9=2,OBLICZENIA!$D$28,"błąd - skoryguj dane"))</f>
        <v>BH 32-450</v>
      </c>
      <c r="D121" s="366">
        <f>IF('BAZA DANYCH'!$B$9=1,OBLICZENIA!$E$27,IF('BAZA DANYCH'!$B$9=2,OBLICZENIA!$E$28,"błąd - skoryguj dane"))</f>
        <v>320</v>
      </c>
      <c r="E121" s="366">
        <f>IF('BAZA DANYCH'!$B$9=1,OBLICZENIA!$F$27,IF('BAZA DANYCH'!$B$9=2,OBLICZENIA!$F$28,"błąd - skoryguj dane"))</f>
        <v>450</v>
      </c>
      <c r="F121" s="366">
        <f>IF('BAZA DANYCH'!$B$9=1,OBLICZENIA!$G$27,IF('BAZA DANYCH'!$B$9=2,OBLICZENIA!$G$28,"błąd - skoryguj dane"))</f>
        <v>60</v>
      </c>
      <c r="G121" s="366">
        <f>IF('BAZA DANYCH'!$B$9=1,OBLICZENIA!$H$27,IF('BAZA DANYCH'!$B$9=2,OBLICZENIA!$H$28,"błąd - skoryguj dane"))</f>
        <v>110</v>
      </c>
      <c r="H121" s="418"/>
      <c r="I121" s="418"/>
      <c r="J121" s="112"/>
      <c r="K121" s="267"/>
      <c r="L121" s="267"/>
      <c r="M121" s="121"/>
      <c r="N121" s="417"/>
      <c r="O121" s="10"/>
      <c r="P121" s="266"/>
      <c r="Q121" s="302"/>
      <c r="R121" s="302"/>
      <c r="S121" s="302"/>
      <c r="T121" s="125"/>
      <c r="U121" s="303"/>
      <c r="V121" s="302"/>
      <c r="W121" s="2"/>
    </row>
    <row r="122" spans="2:37" ht="15" customHeight="1">
      <c r="B122" s="416"/>
      <c r="C122" s="418"/>
      <c r="D122" s="418"/>
      <c r="E122" s="418"/>
      <c r="F122" s="418"/>
      <c r="G122" s="418"/>
      <c r="H122" s="418"/>
      <c r="I122" s="418"/>
      <c r="J122" s="112"/>
      <c r="K122" s="267"/>
      <c r="L122" s="267"/>
      <c r="M122" s="121"/>
      <c r="N122" s="417"/>
      <c r="O122" s="10"/>
      <c r="P122" s="266"/>
      <c r="Q122" s="302"/>
      <c r="R122" s="302"/>
      <c r="S122" s="302"/>
      <c r="T122" s="125"/>
      <c r="U122" s="303"/>
      <c r="V122" s="302"/>
      <c r="W122" s="2"/>
    </row>
    <row r="123" spans="2:37" ht="15" customHeight="1">
      <c r="B123" s="416"/>
      <c r="C123" s="1010" t="s">
        <v>558</v>
      </c>
      <c r="D123" s="1012" t="s">
        <v>26</v>
      </c>
      <c r="E123" s="1013"/>
      <c r="F123" s="1012" t="s">
        <v>27</v>
      </c>
      <c r="G123" s="1013"/>
      <c r="H123" s="1012" t="s">
        <v>28</v>
      </c>
      <c r="I123" s="1013"/>
      <c r="J123" s="112"/>
      <c r="K123" s="267"/>
      <c r="L123" s="267"/>
      <c r="M123" s="121"/>
      <c r="N123" s="417"/>
      <c r="O123" s="10"/>
      <c r="P123" s="266"/>
      <c r="Q123" s="302"/>
      <c r="R123" s="302"/>
      <c r="S123" s="302"/>
      <c r="T123" s="125"/>
      <c r="U123" s="303"/>
      <c r="V123" s="302"/>
      <c r="W123" s="2"/>
    </row>
    <row r="124" spans="2:37" ht="15" customHeight="1">
      <c r="B124" s="416"/>
      <c r="C124" s="1011"/>
      <c r="D124" s="346" t="s">
        <v>29</v>
      </c>
      <c r="E124" s="352" t="s">
        <v>607</v>
      </c>
      <c r="F124" s="346" t="s">
        <v>29</v>
      </c>
      <c r="G124" s="352" t="s">
        <v>608</v>
      </c>
      <c r="H124" s="352" t="s">
        <v>609</v>
      </c>
      <c r="I124" s="365" t="s">
        <v>610</v>
      </c>
      <c r="J124" s="112"/>
      <c r="K124" s="267"/>
      <c r="L124" s="267"/>
      <c r="M124" s="121"/>
      <c r="N124" s="417"/>
      <c r="O124" s="10"/>
      <c r="P124" s="266"/>
      <c r="Q124" s="302"/>
      <c r="R124" s="302"/>
      <c r="S124" s="302"/>
      <c r="T124" s="125"/>
      <c r="U124" s="303"/>
      <c r="V124" s="302"/>
      <c r="W124" s="2"/>
    </row>
    <row r="125" spans="2:37" ht="15" customHeight="1">
      <c r="B125" s="416"/>
      <c r="C125" s="366" t="str">
        <f>IF('BAZA DANYCH'!$B$33=1,OBLICZENIA!$D$32,IF('BAZA DANYCH'!$B$33=2,OBLICZENIA!$D$33,"błąd - skoryguj dane"))</f>
        <v>BH 32-450</v>
      </c>
      <c r="D125" s="366">
        <f>IF('BAZA DANYCH'!$B$33=1,OBLICZENIA!$E$32,IF('BAZA DANYCH'!$B$33=2,OBLICZENIA!$E$33,"błąd - skoryguj dane"))</f>
        <v>6</v>
      </c>
      <c r="E125" s="366">
        <f>IF('BAZA DANYCH'!$B$33=1,OBLICZENIA!$F$32,IF('BAZA DANYCH'!$B$33=2,OBLICZENIA!$F$33,"błąd - skoryguj dane"))</f>
        <v>32</v>
      </c>
      <c r="F125" s="366">
        <f>IF('BAZA DANYCH'!$B$33=1,OBLICZENIA!$G$32,IF('BAZA DANYCH'!$B$33=2,OBLICZENIA!$G$33,"błąd - skoryguj dane"))</f>
        <v>6</v>
      </c>
      <c r="G125" s="366">
        <f>IF('BAZA DANYCH'!$B$33=1,OBLICZENIA!$H$32,IF('BAZA DANYCH'!$B$33=2,OBLICZENIA!$H$33,"błąd - skoryguj dane"))</f>
        <v>16</v>
      </c>
      <c r="H125" s="366">
        <f>IF('BAZA DANYCH'!$B$33=1,OBLICZENIA!$I$32,IF('BAZA DANYCH'!$B$33=2,OBLICZENIA!$I$33,"błąd - skoryguj dane"))</f>
        <v>8</v>
      </c>
      <c r="I125" s="366">
        <f>IF('BAZA DANYCH'!$B$33=1,OBLICZENIA!$J$32,IF('BAZA DANYCH'!$B$33=2,OBLICZENIA!$J$33,"błąd - skoryguj dane"))</f>
        <v>125</v>
      </c>
      <c r="J125" s="267"/>
      <c r="K125" s="267"/>
      <c r="L125" s="267"/>
      <c r="M125" s="121"/>
      <c r="N125" s="417"/>
      <c r="O125" s="10"/>
      <c r="P125" s="266"/>
      <c r="Q125" s="302"/>
      <c r="R125" s="302"/>
      <c r="S125" s="302"/>
      <c r="T125" s="125"/>
      <c r="U125" s="303"/>
      <c r="V125" s="302"/>
      <c r="W125" s="2"/>
    </row>
    <row r="126" spans="2:37" ht="15" customHeight="1">
      <c r="B126" s="416"/>
      <c r="C126" s="418"/>
      <c r="D126" s="418"/>
      <c r="E126" s="418"/>
      <c r="F126" s="418"/>
      <c r="G126" s="418"/>
      <c r="H126" s="418"/>
      <c r="I126" s="267"/>
      <c r="J126" s="112"/>
      <c r="K126" s="267"/>
      <c r="L126" s="267"/>
      <c r="M126" s="267"/>
      <c r="N126" s="419"/>
      <c r="Q126" s="302"/>
      <c r="R126" s="302"/>
      <c r="S126" s="302"/>
      <c r="T126" s="125"/>
      <c r="U126" s="303"/>
      <c r="V126" s="302"/>
      <c r="W126" s="2"/>
    </row>
    <row r="127" spans="2:37" ht="15" customHeight="1">
      <c r="B127" s="416"/>
      <c r="C127" s="1010" t="s">
        <v>659</v>
      </c>
      <c r="D127" s="976" t="s">
        <v>31</v>
      </c>
      <c r="E127" s="978"/>
      <c r="F127" s="976" t="s">
        <v>32</v>
      </c>
      <c r="G127" s="977"/>
      <c r="H127" s="978"/>
      <c r="I127" s="418"/>
      <c r="J127" s="112"/>
      <c r="K127" s="267"/>
      <c r="L127" s="267"/>
      <c r="M127" s="267"/>
      <c r="N127" s="419"/>
      <c r="Q127" s="302"/>
      <c r="R127" s="302"/>
      <c r="S127" s="302"/>
      <c r="T127" s="125"/>
      <c r="U127" s="303"/>
      <c r="V127" s="302"/>
      <c r="W127" s="2"/>
    </row>
    <row r="128" spans="2:37" ht="15" customHeight="1">
      <c r="B128" s="416"/>
      <c r="C128" s="1011"/>
      <c r="D128" s="351" t="s">
        <v>661</v>
      </c>
      <c r="E128" s="351" t="s">
        <v>662</v>
      </c>
      <c r="F128" s="351" t="s">
        <v>663</v>
      </c>
      <c r="G128" s="351" t="s">
        <v>664</v>
      </c>
      <c r="H128" s="351" t="s">
        <v>665</v>
      </c>
      <c r="I128" s="418"/>
      <c r="J128" s="112"/>
      <c r="K128" s="267"/>
      <c r="L128" s="267"/>
      <c r="M128" s="267"/>
      <c r="N128" s="419"/>
      <c r="Q128" s="302"/>
      <c r="R128" s="302"/>
      <c r="S128" s="302"/>
      <c r="T128" s="125"/>
      <c r="U128" s="303"/>
      <c r="V128" s="302"/>
      <c r="W128" s="2"/>
    </row>
    <row r="129" spans="2:23" ht="15" customHeight="1">
      <c r="B129" s="416"/>
      <c r="C129" s="366" t="str">
        <f>IF('BAZA DANYCH'!$B$58=1,OBLICZENIA!$D$37,IF('BAZA DANYCH'!$B$58=2,OBLICZENIA!$D$38,"błąd - skoryguj dane"))</f>
        <v>BH 32-450</v>
      </c>
      <c r="D129" s="366">
        <f>IF('BAZA DANYCH'!$B$58=1,OBLICZENIA!$E$37,IF('BAZA DANYCH'!$B$58=2,OBLICZENIA!$E$38,"błąd - skoryguj dane"))</f>
        <v>255</v>
      </c>
      <c r="E129" s="366">
        <f>IF('BAZA DANYCH'!$B$58=1,OBLICZENIA!$F$37,IF('BAZA DANYCH'!$B$58=2,OBLICZENIA!$F$38,"błąd - skoryguj dane"))</f>
        <v>8</v>
      </c>
      <c r="F129" s="366">
        <f>IF('BAZA DANYCH'!$B$58=1,OBLICZENIA!$G$37,IF('BAZA DANYCH'!$B$58=2,OBLICZENIA!$G$38,"błąd - skoryguj dane"))</f>
        <v>806</v>
      </c>
      <c r="G129" s="366">
        <f>IF('BAZA DANYCH'!$B$58=1,OBLICZENIA!$H$37,IF('BAZA DANYCH'!$B$58=2,OBLICZENIA!$H$38,"błąd - skoryguj dane"))</f>
        <v>170</v>
      </c>
      <c r="H129" s="366">
        <f>IF('BAZA DANYCH'!$B$58=1,OBLICZENIA!$I$37,IF('BAZA DANYCH'!$B$58=2,OBLICZENIA!$I$38,"błąd - skoryguj dane"))</f>
        <v>15</v>
      </c>
      <c r="I129" s="418"/>
      <c r="J129" s="112"/>
      <c r="K129" s="267"/>
      <c r="L129" s="267"/>
      <c r="M129" s="267"/>
      <c r="N129" s="419"/>
      <c r="Q129" s="302"/>
      <c r="R129" s="302"/>
      <c r="S129" s="302"/>
      <c r="T129" s="125"/>
      <c r="U129" s="303"/>
      <c r="V129" s="302"/>
      <c r="W129" s="2"/>
    </row>
    <row r="130" spans="2:23" ht="15" customHeight="1">
      <c r="B130" s="416"/>
      <c r="C130" s="418"/>
      <c r="D130" s="418"/>
      <c r="E130" s="418"/>
      <c r="F130" s="418"/>
      <c r="G130" s="418"/>
      <c r="H130" s="418"/>
      <c r="I130" s="418"/>
      <c r="J130" s="112"/>
      <c r="K130" s="267"/>
      <c r="L130" s="267"/>
      <c r="M130" s="267"/>
      <c r="N130" s="419"/>
      <c r="Q130" s="302"/>
      <c r="R130" s="302"/>
      <c r="S130" s="302"/>
      <c r="T130" s="125"/>
      <c r="U130" s="303"/>
      <c r="V130" s="302"/>
      <c r="W130" s="2"/>
    </row>
    <row r="131" spans="2:23" ht="15" customHeight="1">
      <c r="B131" s="416"/>
      <c r="C131" s="1010" t="s">
        <v>613</v>
      </c>
      <c r="D131" s="968" t="s">
        <v>123</v>
      </c>
      <c r="E131" s="968" t="s">
        <v>660</v>
      </c>
      <c r="F131" s="968" t="s">
        <v>614</v>
      </c>
      <c r="G131" s="968" t="s">
        <v>807</v>
      </c>
      <c r="H131" s="418"/>
      <c r="I131" s="418"/>
      <c r="J131" s="112"/>
      <c r="K131" s="267"/>
      <c r="L131" s="267"/>
      <c r="M131" s="267"/>
      <c r="N131" s="419"/>
      <c r="Q131" s="302"/>
      <c r="R131" s="302"/>
      <c r="S131" s="302"/>
      <c r="T131" s="125"/>
      <c r="U131" s="303"/>
      <c r="V131" s="302"/>
      <c r="W131" s="2"/>
    </row>
    <row r="132" spans="2:23" ht="15" customHeight="1">
      <c r="B132" s="416"/>
      <c r="C132" s="1011"/>
      <c r="D132" s="969"/>
      <c r="E132" s="969"/>
      <c r="F132" s="969"/>
      <c r="G132" s="969"/>
      <c r="H132" s="418"/>
      <c r="I132" s="418"/>
      <c r="J132" s="112"/>
      <c r="K132" s="267"/>
      <c r="L132" s="267"/>
      <c r="M132" s="267"/>
      <c r="N132" s="419"/>
      <c r="Q132" s="302"/>
      <c r="R132" s="302"/>
      <c r="S132" s="302"/>
      <c r="T132" s="125"/>
      <c r="U132" s="303"/>
      <c r="V132" s="302"/>
      <c r="W132" s="2"/>
    </row>
    <row r="133" spans="2:23" ht="15" customHeight="1">
      <c r="B133" s="416"/>
      <c r="C133" s="366" t="str">
        <f>IF('BAZA DANYCH'!$B$83=1,OBLICZENIA!$D$42,IF('BAZA DANYCH'!$B$83=2,OBLICZENIA!$D$43,"błąd - skoryguj dane"))</f>
        <v>BH 32-450</v>
      </c>
      <c r="D133" s="366">
        <f>IF('BAZA DANYCH'!$B$83=1,OBLICZENIA!$E$42,IF('BAZA DANYCH'!$B$83=2,OBLICZENIA!$E$43,"błąd - skoryguj dane"))</f>
        <v>22</v>
      </c>
      <c r="E133" s="366">
        <f>IF('BAZA DANYCH'!$B$83=1,OBLICZENIA!$F$42,IF('BAZA DANYCH'!$B$83=2,OBLICZENIA!$F$43,"błąd - skoryguj dane"))</f>
        <v>130</v>
      </c>
      <c r="F133" s="366">
        <f>IF('BAZA DANYCH'!$B$83=1,OBLICZENIA!$G$42,IF('BAZA DANYCH'!$B$83=2,OBLICZENIA!$G$43,"błąd - skoryguj dane"))</f>
        <v>125</v>
      </c>
      <c r="G133" s="366">
        <f>IF('BAZA DANYCH'!$B$83=1,OBLICZENIA!$H$42,IF('BAZA DANYCH'!$B$83=2,OBLICZENIA!$H$43,"błąd - skoryguj dane"))</f>
        <v>100</v>
      </c>
      <c r="H133" s="418"/>
      <c r="I133" s="418"/>
      <c r="J133" s="112"/>
      <c r="K133" s="267"/>
      <c r="L133" s="267"/>
      <c r="M133" s="267"/>
      <c r="N133" s="419"/>
      <c r="Q133" s="302"/>
      <c r="R133" s="302"/>
      <c r="S133" s="302"/>
      <c r="T133" s="125"/>
      <c r="U133" s="303"/>
      <c r="V133" s="302"/>
      <c r="W133" s="2"/>
    </row>
    <row r="134" spans="2:23" ht="15" customHeight="1">
      <c r="B134" s="416"/>
      <c r="C134" s="112"/>
      <c r="D134" s="112"/>
      <c r="E134" s="112"/>
      <c r="F134" s="112"/>
      <c r="G134" s="112"/>
      <c r="H134" s="112"/>
      <c r="I134" s="112"/>
      <c r="J134" s="112"/>
      <c r="K134" s="267"/>
      <c r="L134" s="267"/>
      <c r="M134" s="267"/>
      <c r="N134" s="419"/>
      <c r="Q134" s="302"/>
      <c r="R134" s="302"/>
      <c r="S134" s="302"/>
      <c r="T134" s="125"/>
      <c r="U134" s="303"/>
      <c r="V134" s="302"/>
      <c r="W134" s="2"/>
    </row>
    <row r="135" spans="2:23" ht="15" customHeight="1">
      <c r="B135" s="416"/>
      <c r="C135" s="1014" t="s">
        <v>652</v>
      </c>
      <c r="D135" s="357" t="s">
        <v>647</v>
      </c>
      <c r="E135" s="357" t="s">
        <v>497</v>
      </c>
      <c r="F135" s="357" t="s">
        <v>498</v>
      </c>
      <c r="G135" s="357" t="s">
        <v>499</v>
      </c>
      <c r="H135" s="358" t="s">
        <v>649</v>
      </c>
      <c r="I135" s="358" t="s">
        <v>463</v>
      </c>
      <c r="J135" s="358" t="s">
        <v>653</v>
      </c>
      <c r="K135" s="358" t="s">
        <v>621</v>
      </c>
      <c r="L135" s="358" t="s">
        <v>622</v>
      </c>
      <c r="M135" s="267"/>
      <c r="N135" s="419"/>
      <c r="Q135" s="302"/>
      <c r="R135" s="302"/>
      <c r="S135" s="302"/>
      <c r="T135" s="125"/>
      <c r="U135" s="303"/>
      <c r="V135" s="302"/>
      <c r="W135" s="2"/>
    </row>
    <row r="136" spans="2:23" ht="15" customHeight="1">
      <c r="B136" s="416"/>
      <c r="C136" s="1014"/>
      <c r="D136" s="357" t="s">
        <v>648</v>
      </c>
      <c r="E136" s="357" t="s">
        <v>654</v>
      </c>
      <c r="F136" s="357" t="s">
        <v>654</v>
      </c>
      <c r="G136" s="357" t="s">
        <v>654</v>
      </c>
      <c r="H136" s="357" t="s">
        <v>464</v>
      </c>
      <c r="I136" s="357" t="s">
        <v>464</v>
      </c>
      <c r="J136" s="357" t="s">
        <v>464</v>
      </c>
      <c r="K136" s="357" t="s">
        <v>556</v>
      </c>
      <c r="L136" s="357" t="s">
        <v>556</v>
      </c>
      <c r="M136" s="267"/>
      <c r="N136" s="419"/>
      <c r="Q136" s="302"/>
      <c r="R136" s="302"/>
      <c r="S136" s="302"/>
      <c r="T136" s="125"/>
      <c r="U136" s="303"/>
      <c r="V136" s="302"/>
      <c r="W136" s="2"/>
    </row>
    <row r="137" spans="2:23" ht="15" customHeight="1">
      <c r="B137" s="416"/>
      <c r="C137" s="359" t="str">
        <f>IF('BAZA DANYCH'!$AK$13=1,OBLICZENIA!$D$50,IF('BAZA DANYCH'!$AK$13=2,OBLICZENIA!$D$51,"błąd - skoryguj dane"))</f>
        <v>CONSOLIS HC-200</v>
      </c>
      <c r="D137" s="359">
        <f>IF('BAZA DANYCH'!$AK$13=1,OBLICZENIA!$E$50,IF('BAZA DANYCH'!$AK$13=2,OBLICZENIA!$E$51,"błąd - skoryguj dane"))</f>
        <v>6</v>
      </c>
      <c r="E137" s="359">
        <f>IF('BAZA DANYCH'!$AK$13=1,OBLICZENIA!$F$50,IF('BAZA DANYCH'!$AK$13=2,OBLICZENIA!$F$51,"błąd - skoryguj dane"))</f>
        <v>232122</v>
      </c>
      <c r="F137" s="359">
        <f>IF('BAZA DANYCH'!$AK$13=1,OBLICZENIA!$G$50,IF('BAZA DANYCH'!$AK$13=2,OBLICZENIA!$G$51,"błąd - skoryguj dane"))</f>
        <v>18869</v>
      </c>
      <c r="G137" s="359">
        <f>IF('BAZA DANYCH'!$AK$13=1,OBLICZENIA!$H$50,IF('BAZA DANYCH'!$AK$13=2,OBLICZENIA!$H$51,"błąd - skoryguj dane"))</f>
        <v>118908</v>
      </c>
      <c r="H137" s="359">
        <f>IF('BAZA DANYCH'!$AK$13=1,OBLICZENIA!$I$50,IF('BAZA DANYCH'!$AK$13=2,OBLICZENIA!$I$51,"błąd - skoryguj dane"))</f>
        <v>155</v>
      </c>
      <c r="I137" s="359">
        <f>IF('BAZA DANYCH'!$AK$13=1,OBLICZENIA!$J$50,IF('BAZA DANYCH'!$AK$13=2,OBLICZENIA!$J$51,"błąd - skoryguj dane"))</f>
        <v>188</v>
      </c>
      <c r="J137" s="359">
        <f>IF('BAZA DANYCH'!$AK$13=1,OBLICZENIA!$K$50,IF('BAZA DANYCH'!$AK$13=2,OBLICZENIA!$K$51,"błąd - skoryguj dane"))</f>
        <v>200</v>
      </c>
      <c r="K137" s="360">
        <f>IF('BAZA DANYCH'!$AK$13=1,OBLICZENIA!$L$50,IF('BAZA DANYCH'!$AK$13=2,OBLICZENIA!$L$51,"błąd - skoryguj dane"))</f>
        <v>2.4500000000000002</v>
      </c>
      <c r="L137" s="360">
        <f>IF('BAZA DANYCH'!$AK$13=1,OBLICZENIA!$M$50,IF('BAZA DANYCH'!$AK$13=2,OBLICZENIA!$M$51,"błąd - skoryguj dane"))</f>
        <v>0.15</v>
      </c>
      <c r="M137" s="267"/>
      <c r="N137" s="419"/>
      <c r="Q137" s="302"/>
      <c r="R137" s="302"/>
      <c r="S137" s="302"/>
      <c r="T137" s="125"/>
      <c r="U137" s="303"/>
      <c r="V137" s="302"/>
      <c r="W137" s="2"/>
    </row>
    <row r="138" spans="2:23" ht="15" customHeight="1">
      <c r="B138" s="416"/>
      <c r="C138" s="112"/>
      <c r="D138" s="112"/>
      <c r="E138" s="112"/>
      <c r="F138" s="112"/>
      <c r="G138" s="112"/>
      <c r="H138" s="112"/>
      <c r="I138" s="112"/>
      <c r="J138" s="112"/>
      <c r="K138" s="267"/>
      <c r="L138" s="267"/>
      <c r="M138" s="267"/>
      <c r="N138" s="419"/>
      <c r="Q138" s="302"/>
      <c r="R138" s="302"/>
      <c r="S138" s="302"/>
      <c r="T138" s="125"/>
      <c r="U138" s="303"/>
      <c r="V138" s="302"/>
      <c r="W138" s="2"/>
    </row>
    <row r="139" spans="2:23" ht="15" customHeight="1">
      <c r="B139" s="416"/>
      <c r="C139" s="112"/>
      <c r="D139" s="112"/>
      <c r="E139" s="112"/>
      <c r="F139" s="112"/>
      <c r="G139" s="112"/>
      <c r="H139" s="112"/>
      <c r="I139" s="112"/>
      <c r="J139" s="112"/>
      <c r="K139" s="267"/>
      <c r="L139" s="267"/>
      <c r="M139" s="267"/>
      <c r="N139" s="419"/>
    </row>
    <row r="140" spans="2:23" ht="15" customHeight="1">
      <c r="B140" s="420"/>
      <c r="C140" s="31"/>
      <c r="D140" s="31"/>
      <c r="E140" s="31"/>
      <c r="F140" s="31"/>
      <c r="G140" s="31"/>
      <c r="H140" s="31"/>
      <c r="I140" s="31"/>
      <c r="J140" s="31"/>
      <c r="K140" s="349"/>
      <c r="L140" s="349"/>
      <c r="M140" s="349"/>
      <c r="N140" s="421"/>
    </row>
    <row r="141" spans="2:23" ht="15" customHeight="1">
      <c r="B141" s="420"/>
      <c r="C141" s="31"/>
      <c r="D141" s="31"/>
      <c r="E141" s="31"/>
      <c r="F141" s="31"/>
      <c r="G141" s="31"/>
      <c r="H141" s="31"/>
      <c r="I141" s="31"/>
      <c r="J141" s="31"/>
      <c r="K141" s="349"/>
      <c r="L141" s="349"/>
      <c r="M141" s="349"/>
      <c r="N141" s="421"/>
    </row>
    <row r="142" spans="2:23" ht="15" customHeight="1">
      <c r="B142" s="420"/>
      <c r="C142" s="6" t="s">
        <v>247</v>
      </c>
      <c r="D142" s="31"/>
      <c r="E142" s="31"/>
      <c r="F142" s="173" t="s">
        <v>120</v>
      </c>
      <c r="G142" s="538">
        <v>20</v>
      </c>
      <c r="H142" s="31" t="s">
        <v>6</v>
      </c>
      <c r="I142" s="31"/>
      <c r="J142" s="31"/>
      <c r="K142" s="349"/>
      <c r="L142" s="349"/>
      <c r="M142" s="349"/>
      <c r="N142" s="421"/>
    </row>
    <row r="143" spans="2:23" ht="15" customHeight="1">
      <c r="B143" s="420"/>
      <c r="C143" s="6" t="s">
        <v>248</v>
      </c>
      <c r="D143" s="31"/>
      <c r="E143" s="31"/>
      <c r="F143" s="173" t="s">
        <v>121</v>
      </c>
      <c r="G143" s="538">
        <v>30</v>
      </c>
      <c r="H143" s="31" t="s">
        <v>6</v>
      </c>
      <c r="I143" s="31"/>
      <c r="J143" s="31"/>
      <c r="K143" s="349"/>
      <c r="L143" s="349"/>
      <c r="M143" s="349"/>
      <c r="N143" s="421"/>
    </row>
    <row r="144" spans="2:23" ht="15" customHeight="1">
      <c r="B144" s="420"/>
      <c r="C144" s="31"/>
      <c r="D144" s="31"/>
      <c r="E144" s="31"/>
      <c r="F144" s="31"/>
      <c r="G144" s="31"/>
      <c r="H144" s="31"/>
      <c r="I144" s="31"/>
      <c r="J144" s="31"/>
      <c r="K144" s="349"/>
      <c r="L144" s="349"/>
      <c r="M144" s="349"/>
      <c r="N144" s="421"/>
    </row>
    <row r="145" spans="2:14" ht="15" customHeight="1">
      <c r="B145" s="420"/>
      <c r="C145" s="31" t="s">
        <v>246</v>
      </c>
      <c r="D145" s="31"/>
      <c r="E145" s="31"/>
      <c r="F145" s="168" t="s">
        <v>239</v>
      </c>
      <c r="G145" s="179">
        <f>G142+H125+E125/2</f>
        <v>44</v>
      </c>
      <c r="H145" s="31" t="s">
        <v>6</v>
      </c>
      <c r="I145" s="31"/>
      <c r="J145" s="31"/>
      <c r="K145" s="349"/>
      <c r="L145" s="349"/>
      <c r="M145" s="349"/>
      <c r="N145" s="421"/>
    </row>
    <row r="146" spans="2:14" ht="15" customHeight="1">
      <c r="B146" s="420"/>
      <c r="C146" s="31" t="s">
        <v>249</v>
      </c>
      <c r="D146" s="31"/>
      <c r="E146" s="31"/>
      <c r="F146" s="173" t="s">
        <v>240</v>
      </c>
      <c r="G146" s="179">
        <f>G143+H125+G125/2</f>
        <v>46</v>
      </c>
      <c r="H146" s="31" t="s">
        <v>6</v>
      </c>
      <c r="I146" s="31"/>
      <c r="J146" s="31"/>
      <c r="K146" s="349"/>
      <c r="L146" s="349"/>
      <c r="M146" s="349"/>
      <c r="N146" s="421"/>
    </row>
    <row r="147" spans="2:14" ht="15" customHeight="1">
      <c r="B147" s="420"/>
      <c r="C147" s="31" t="s">
        <v>250</v>
      </c>
      <c r="D147" s="31"/>
      <c r="E147" s="31"/>
      <c r="F147" s="173" t="s">
        <v>241</v>
      </c>
      <c r="G147" s="179">
        <f>G142+H125/2</f>
        <v>24</v>
      </c>
      <c r="H147" s="31" t="s">
        <v>6</v>
      </c>
      <c r="I147" s="31"/>
      <c r="J147" s="31"/>
      <c r="K147" s="349"/>
      <c r="L147" s="349"/>
      <c r="M147" s="349"/>
      <c r="N147" s="421"/>
    </row>
    <row r="148" spans="2:14" ht="15" customHeight="1">
      <c r="B148" s="420"/>
      <c r="C148" s="31" t="s">
        <v>251</v>
      </c>
      <c r="D148" s="31"/>
      <c r="E148" s="31"/>
      <c r="F148" s="173" t="s">
        <v>242</v>
      </c>
      <c r="G148" s="179">
        <f>G143+H125/2</f>
        <v>34</v>
      </c>
      <c r="H148" s="31" t="s">
        <v>6</v>
      </c>
      <c r="I148" s="31"/>
      <c r="J148" s="31"/>
      <c r="K148" s="349"/>
      <c r="L148" s="349"/>
      <c r="M148" s="349"/>
      <c r="N148" s="421"/>
    </row>
    <row r="149" spans="2:14" ht="15" customHeight="1">
      <c r="B149" s="420"/>
      <c r="C149" s="31"/>
      <c r="D149" s="31"/>
      <c r="E149" s="31"/>
      <c r="F149" s="31"/>
      <c r="G149" s="31"/>
      <c r="H149" s="31"/>
      <c r="I149" s="31"/>
      <c r="J149" s="31"/>
      <c r="K149" s="349"/>
      <c r="L149" s="349"/>
      <c r="M149" s="349"/>
      <c r="N149" s="421"/>
    </row>
    <row r="150" spans="2:14" ht="15" customHeight="1">
      <c r="B150" s="420"/>
      <c r="C150" s="31"/>
      <c r="D150" s="31"/>
      <c r="E150" s="31"/>
      <c r="F150" s="31"/>
      <c r="G150" s="31"/>
      <c r="H150" s="31"/>
      <c r="I150" s="31"/>
      <c r="J150" s="31"/>
      <c r="K150" s="349"/>
      <c r="L150" s="349"/>
      <c r="M150" s="349"/>
      <c r="N150" s="421"/>
    </row>
    <row r="151" spans="2:14" ht="30" customHeight="1">
      <c r="B151" s="420"/>
      <c r="C151" s="7" t="s">
        <v>243</v>
      </c>
      <c r="D151" s="8"/>
      <c r="E151" s="8"/>
      <c r="F151" s="8"/>
      <c r="G151" s="8"/>
      <c r="H151" s="8"/>
      <c r="I151" s="8"/>
      <c r="J151" s="8"/>
      <c r="K151" s="349"/>
      <c r="L151" s="349"/>
      <c r="M151" s="349"/>
      <c r="N151" s="421"/>
    </row>
    <row r="152" spans="2:14" ht="15" customHeight="1">
      <c r="B152" s="420"/>
      <c r="C152" s="31"/>
      <c r="D152" s="31"/>
      <c r="E152" s="31"/>
      <c r="F152" s="31"/>
      <c r="G152" s="31"/>
      <c r="H152" s="31"/>
      <c r="I152" s="31"/>
      <c r="J152" s="31"/>
      <c r="K152" s="349"/>
      <c r="L152" s="349"/>
      <c r="M152" s="349"/>
      <c r="N152" s="421"/>
    </row>
    <row r="153" spans="2:14" ht="15" customHeight="1">
      <c r="B153" s="420"/>
      <c r="C153" s="111" t="s">
        <v>244</v>
      </c>
      <c r="D153" s="31"/>
      <c r="E153" s="31"/>
      <c r="F153" s="31"/>
      <c r="G153" s="31"/>
      <c r="H153" s="31"/>
      <c r="I153" s="31"/>
      <c r="J153" s="31"/>
      <c r="K153" s="349"/>
      <c r="L153" s="349"/>
      <c r="M153" s="349"/>
      <c r="N153" s="421"/>
    </row>
    <row r="154" spans="2:14" ht="15" customHeight="1">
      <c r="B154" s="420"/>
      <c r="C154" s="111" t="s">
        <v>245</v>
      </c>
      <c r="D154" s="168" t="s">
        <v>252</v>
      </c>
      <c r="E154" s="544">
        <v>60</v>
      </c>
      <c r="F154" s="180" t="s">
        <v>3</v>
      </c>
      <c r="G154" s="137">
        <f>E154/10</f>
        <v>6</v>
      </c>
      <c r="H154" s="31" t="s">
        <v>71</v>
      </c>
      <c r="I154" s="31"/>
      <c r="J154" s="31"/>
      <c r="K154" s="349"/>
      <c r="L154" s="349"/>
      <c r="M154" s="349"/>
      <c r="N154" s="421"/>
    </row>
    <row r="155" spans="2:14" ht="15" customHeight="1">
      <c r="B155" s="420"/>
      <c r="C155" s="31"/>
      <c r="D155" s="168" t="s">
        <v>41</v>
      </c>
      <c r="E155" s="137">
        <f>E154/E159</f>
        <v>42.857142857142861</v>
      </c>
      <c r="F155" s="31" t="s">
        <v>3</v>
      </c>
      <c r="G155" s="137">
        <f>E155/10</f>
        <v>4.2857142857142865</v>
      </c>
      <c r="H155" s="31" t="s">
        <v>71</v>
      </c>
      <c r="I155" s="31"/>
      <c r="J155" s="31"/>
      <c r="K155" s="349"/>
      <c r="L155" s="349"/>
      <c r="M155" s="349"/>
      <c r="N155" s="421"/>
    </row>
    <row r="156" spans="2:14" ht="15" customHeight="1">
      <c r="B156" s="420"/>
      <c r="C156" s="31"/>
      <c r="D156" s="168" t="s">
        <v>42</v>
      </c>
      <c r="E156" s="544">
        <v>3.1</v>
      </c>
      <c r="F156" s="31" t="s">
        <v>3</v>
      </c>
      <c r="G156" s="544">
        <f>E156/10</f>
        <v>0.31</v>
      </c>
      <c r="H156" s="31" t="s">
        <v>71</v>
      </c>
      <c r="I156" s="31"/>
      <c r="J156" s="31"/>
      <c r="K156" s="349"/>
      <c r="L156" s="349"/>
      <c r="M156" s="349"/>
      <c r="N156" s="421"/>
    </row>
    <row r="157" spans="2:14" ht="15" customHeight="1">
      <c r="B157" s="420"/>
      <c r="C157" s="31"/>
      <c r="D157" s="168" t="s">
        <v>43</v>
      </c>
      <c r="E157" s="137">
        <f>E156/E159</f>
        <v>2.2142857142857144</v>
      </c>
      <c r="F157" s="31" t="s">
        <v>3</v>
      </c>
      <c r="G157" s="137">
        <f>E157/10</f>
        <v>0.22142857142857145</v>
      </c>
      <c r="H157" s="31" t="s">
        <v>71</v>
      </c>
      <c r="I157" s="31"/>
      <c r="J157" s="31"/>
      <c r="K157" s="349"/>
      <c r="L157" s="349"/>
      <c r="M157" s="349"/>
      <c r="N157" s="421"/>
    </row>
    <row r="158" spans="2:14" ht="15" customHeight="1">
      <c r="B158" s="420"/>
      <c r="C158" s="31"/>
      <c r="D158" s="128" t="s">
        <v>40</v>
      </c>
      <c r="E158" s="544">
        <f>39000</f>
        <v>39000</v>
      </c>
      <c r="F158" s="31" t="s">
        <v>3</v>
      </c>
      <c r="G158" s="544">
        <f>E158/10</f>
        <v>3900</v>
      </c>
      <c r="H158" s="31" t="s">
        <v>161</v>
      </c>
      <c r="I158" s="31"/>
      <c r="J158" s="31"/>
      <c r="K158" s="349"/>
      <c r="L158" s="349"/>
      <c r="M158" s="349"/>
      <c r="N158" s="421"/>
    </row>
    <row r="159" spans="2:14" ht="15" customHeight="1">
      <c r="B159" s="420"/>
      <c r="C159" s="31"/>
      <c r="D159" s="170" t="s">
        <v>253</v>
      </c>
      <c r="E159" s="544">
        <v>1.4</v>
      </c>
      <c r="F159" s="31"/>
      <c r="G159" s="31"/>
      <c r="H159" s="31"/>
      <c r="I159" s="31"/>
      <c r="J159" s="31"/>
      <c r="K159" s="349"/>
      <c r="L159" s="349"/>
      <c r="M159" s="349"/>
      <c r="N159" s="421"/>
    </row>
    <row r="160" spans="2:14" ht="15" customHeight="1">
      <c r="B160" s="420"/>
      <c r="C160" s="31"/>
      <c r="D160" s="422" t="s">
        <v>256</v>
      </c>
      <c r="E160" s="544">
        <v>2.5</v>
      </c>
      <c r="F160" s="180" t="s">
        <v>45</v>
      </c>
      <c r="G160" s="31"/>
      <c r="H160" s="31"/>
      <c r="I160" s="31"/>
      <c r="J160" s="31"/>
      <c r="K160" s="349"/>
      <c r="L160" s="349"/>
      <c r="M160" s="349"/>
      <c r="N160" s="421"/>
    </row>
    <row r="161" spans="2:14" ht="15" customHeight="1">
      <c r="B161" s="420"/>
      <c r="C161" s="31"/>
      <c r="D161" s="31"/>
      <c r="E161" s="31"/>
      <c r="F161" s="31"/>
      <c r="G161" s="31"/>
      <c r="H161" s="31"/>
      <c r="I161" s="31"/>
      <c r="J161" s="31"/>
      <c r="K161" s="349"/>
      <c r="L161" s="349"/>
      <c r="M161" s="349"/>
      <c r="N161" s="421"/>
    </row>
    <row r="162" spans="2:14" ht="15" customHeight="1">
      <c r="B162" s="420"/>
      <c r="C162" s="111" t="s">
        <v>255</v>
      </c>
      <c r="D162" s="31"/>
      <c r="E162" s="31"/>
      <c r="F162" s="31"/>
      <c r="G162" s="31"/>
      <c r="H162" s="31"/>
      <c r="I162" s="31"/>
      <c r="J162" s="31"/>
      <c r="K162" s="349"/>
      <c r="L162" s="349"/>
      <c r="M162" s="349"/>
      <c r="N162" s="421"/>
    </row>
    <row r="163" spans="2:14" ht="15" customHeight="1">
      <c r="B163" s="420"/>
      <c r="C163" s="111" t="s">
        <v>254</v>
      </c>
      <c r="D163" s="168" t="s">
        <v>252</v>
      </c>
      <c r="E163" s="544">
        <v>20</v>
      </c>
      <c r="F163" s="31" t="s">
        <v>3</v>
      </c>
      <c r="G163" s="137">
        <f>E163/10</f>
        <v>2</v>
      </c>
      <c r="H163" s="31" t="s">
        <v>71</v>
      </c>
      <c r="I163" s="31"/>
      <c r="J163" s="31"/>
      <c r="K163" s="349"/>
      <c r="L163" s="349"/>
      <c r="M163" s="349"/>
      <c r="N163" s="421"/>
    </row>
    <row r="164" spans="2:14" ht="15" customHeight="1">
      <c r="B164" s="420"/>
      <c r="C164" s="31"/>
      <c r="D164" s="168" t="s">
        <v>41</v>
      </c>
      <c r="E164" s="137">
        <f>E163/E168</f>
        <v>13.333333333333334</v>
      </c>
      <c r="F164" s="31" t="s">
        <v>3</v>
      </c>
      <c r="G164" s="137">
        <f>E164/10</f>
        <v>1.3333333333333335</v>
      </c>
      <c r="H164" s="31" t="s">
        <v>71</v>
      </c>
      <c r="I164" s="31"/>
      <c r="J164" s="31"/>
      <c r="K164" s="349"/>
      <c r="L164" s="349"/>
      <c r="M164" s="349"/>
      <c r="N164" s="421"/>
    </row>
    <row r="165" spans="2:14" ht="15" customHeight="1">
      <c r="B165" s="420"/>
      <c r="C165" s="31"/>
      <c r="D165" s="168" t="s">
        <v>42</v>
      </c>
      <c r="E165" s="544">
        <v>1.5</v>
      </c>
      <c r="F165" s="31" t="s">
        <v>3</v>
      </c>
      <c r="G165" s="137">
        <f>E165/10</f>
        <v>0.15</v>
      </c>
      <c r="H165" s="31" t="s">
        <v>71</v>
      </c>
      <c r="I165" s="31"/>
      <c r="J165" s="31"/>
      <c r="K165" s="349"/>
      <c r="L165" s="349"/>
      <c r="M165" s="349"/>
      <c r="N165" s="421"/>
    </row>
    <row r="166" spans="2:14" ht="15" customHeight="1">
      <c r="B166" s="420"/>
      <c r="C166" s="31"/>
      <c r="D166" s="168" t="s">
        <v>43</v>
      </c>
      <c r="E166" s="137">
        <f>E165/E168</f>
        <v>1</v>
      </c>
      <c r="F166" s="31" t="s">
        <v>3</v>
      </c>
      <c r="G166" s="137">
        <f>E166/10</f>
        <v>0.1</v>
      </c>
      <c r="H166" s="31" t="s">
        <v>71</v>
      </c>
      <c r="I166" s="31"/>
      <c r="J166" s="31"/>
      <c r="K166" s="349"/>
      <c r="L166" s="349"/>
      <c r="M166" s="349"/>
      <c r="N166" s="421"/>
    </row>
    <row r="167" spans="2:14" ht="15" customHeight="1">
      <c r="B167" s="420"/>
      <c r="C167" s="31"/>
      <c r="D167" s="128" t="s">
        <v>40</v>
      </c>
      <c r="E167" s="544">
        <f>30000</f>
        <v>30000</v>
      </c>
      <c r="F167" s="31" t="s">
        <v>3</v>
      </c>
      <c r="G167" s="606">
        <f>E167/10</f>
        <v>3000</v>
      </c>
      <c r="H167" s="31" t="s">
        <v>71</v>
      </c>
      <c r="I167" s="31"/>
      <c r="J167" s="31"/>
      <c r="K167" s="349"/>
      <c r="L167" s="349"/>
      <c r="M167" s="349"/>
      <c r="N167" s="421"/>
    </row>
    <row r="168" spans="2:14" ht="15" customHeight="1">
      <c r="B168" s="420"/>
      <c r="C168" s="31"/>
      <c r="D168" s="170" t="s">
        <v>44</v>
      </c>
      <c r="E168" s="544">
        <v>1.5</v>
      </c>
      <c r="F168" s="31"/>
      <c r="G168" s="31"/>
      <c r="H168" s="31"/>
      <c r="I168" s="31"/>
      <c r="J168" s="31"/>
      <c r="K168" s="349"/>
      <c r="L168" s="349"/>
      <c r="M168" s="349"/>
      <c r="N168" s="421"/>
    </row>
    <row r="169" spans="2:14" ht="15" customHeight="1">
      <c r="B169" s="420"/>
      <c r="C169" s="31"/>
      <c r="D169" s="31"/>
      <c r="E169" s="31"/>
      <c r="F169" s="31"/>
      <c r="G169" s="31"/>
      <c r="H169" s="31"/>
      <c r="I169" s="31"/>
      <c r="J169" s="31"/>
      <c r="K169" s="349"/>
      <c r="L169" s="349"/>
      <c r="M169" s="349"/>
      <c r="N169" s="421"/>
    </row>
    <row r="170" spans="2:14" ht="15" customHeight="1">
      <c r="B170" s="420"/>
      <c r="C170" s="111" t="s">
        <v>257</v>
      </c>
      <c r="D170" s="31"/>
      <c r="E170" s="31"/>
      <c r="F170" s="31"/>
      <c r="G170" s="31"/>
      <c r="H170" s="31"/>
      <c r="I170" s="31"/>
      <c r="J170" s="31"/>
      <c r="K170" s="349"/>
      <c r="L170" s="349"/>
      <c r="M170" s="349"/>
      <c r="N170" s="421"/>
    </row>
    <row r="171" spans="2:14" ht="15" customHeight="1">
      <c r="B171" s="420"/>
      <c r="C171" s="111" t="s">
        <v>65</v>
      </c>
      <c r="D171" s="168" t="s">
        <v>64</v>
      </c>
      <c r="E171" s="606">
        <v>460</v>
      </c>
      <c r="F171" s="31" t="s">
        <v>3</v>
      </c>
      <c r="G171" s="137">
        <f>E171/10</f>
        <v>46</v>
      </c>
      <c r="H171" s="31" t="s">
        <v>71</v>
      </c>
      <c r="I171" s="31"/>
      <c r="J171" s="31"/>
      <c r="K171" s="349"/>
      <c r="L171" s="349"/>
      <c r="M171" s="349"/>
      <c r="N171" s="421"/>
    </row>
    <row r="172" spans="2:14" ht="15" customHeight="1">
      <c r="B172" s="420"/>
      <c r="C172" s="31"/>
      <c r="D172" s="168" t="s">
        <v>63</v>
      </c>
      <c r="E172" s="606">
        <v>460</v>
      </c>
      <c r="F172" s="31" t="s">
        <v>3</v>
      </c>
      <c r="G172" s="137">
        <f>E172/10</f>
        <v>46</v>
      </c>
      <c r="H172" s="31" t="s">
        <v>71</v>
      </c>
      <c r="I172" s="31"/>
      <c r="J172" s="31"/>
      <c r="K172" s="349"/>
      <c r="L172" s="349"/>
      <c r="M172" s="349"/>
      <c r="N172" s="421"/>
    </row>
    <row r="173" spans="2:14" ht="15" customHeight="1">
      <c r="B173" s="420"/>
      <c r="C173" s="31"/>
      <c r="D173" s="422" t="s">
        <v>260</v>
      </c>
      <c r="E173" s="544">
        <v>7.85</v>
      </c>
      <c r="F173" s="180" t="s">
        <v>45</v>
      </c>
      <c r="G173" s="31"/>
      <c r="H173" s="31"/>
      <c r="I173" s="31"/>
      <c r="J173" s="31"/>
      <c r="K173" s="349"/>
      <c r="L173" s="349"/>
      <c r="M173" s="349"/>
      <c r="N173" s="421"/>
    </row>
    <row r="174" spans="2:14" ht="15" customHeight="1">
      <c r="B174" s="420"/>
      <c r="C174" s="31"/>
      <c r="D174" s="422"/>
      <c r="E174" s="179"/>
      <c r="F174" s="180"/>
      <c r="G174" s="31"/>
      <c r="H174" s="31"/>
      <c r="I174" s="31"/>
      <c r="J174" s="31"/>
      <c r="K174" s="349"/>
      <c r="L174" s="349"/>
      <c r="M174" s="349"/>
      <c r="N174" s="421"/>
    </row>
    <row r="175" spans="2:14" ht="15" customHeight="1">
      <c r="B175" s="420"/>
      <c r="C175" s="111" t="s">
        <v>258</v>
      </c>
      <c r="D175" s="31"/>
      <c r="E175" s="31"/>
      <c r="F175" s="180"/>
      <c r="G175" s="31"/>
      <c r="H175" s="31"/>
      <c r="I175" s="423"/>
      <c r="J175" s="31"/>
      <c r="K175" s="349"/>
      <c r="L175" s="349"/>
      <c r="M175" s="424"/>
      <c r="N175" s="421"/>
    </row>
    <row r="176" spans="2:14" ht="15" customHeight="1">
      <c r="B176" s="425"/>
      <c r="C176" s="111" t="s">
        <v>66</v>
      </c>
      <c r="D176" s="168" t="s">
        <v>67</v>
      </c>
      <c r="E176" s="606">
        <v>500</v>
      </c>
      <c r="F176" s="31" t="s">
        <v>3</v>
      </c>
      <c r="G176" s="137">
        <f>E176/10</f>
        <v>50</v>
      </c>
      <c r="H176" s="31" t="s">
        <v>71</v>
      </c>
      <c r="I176" s="128"/>
      <c r="J176" s="31"/>
      <c r="K176" s="426"/>
      <c r="L176" s="349"/>
      <c r="M176" s="349"/>
      <c r="N176" s="421"/>
    </row>
    <row r="177" spans="2:14" ht="15" customHeight="1">
      <c r="B177" s="420"/>
      <c r="C177" s="31"/>
      <c r="D177" s="168" t="s">
        <v>68</v>
      </c>
      <c r="E177" s="606">
        <f>E176/1.15</f>
        <v>434.78260869565219</v>
      </c>
      <c r="F177" s="31" t="s">
        <v>3</v>
      </c>
      <c r="G177" s="137">
        <f>E177/10</f>
        <v>43.478260869565219</v>
      </c>
      <c r="H177" s="31" t="s">
        <v>71</v>
      </c>
      <c r="I177" s="31"/>
      <c r="J177" s="31"/>
      <c r="K177" s="349"/>
      <c r="L177" s="349"/>
      <c r="M177" s="349"/>
      <c r="N177" s="421"/>
    </row>
    <row r="178" spans="2:14" ht="15" customHeight="1">
      <c r="B178" s="420"/>
      <c r="C178" s="31"/>
      <c r="D178" s="31"/>
      <c r="E178" s="31"/>
      <c r="F178" s="31"/>
      <c r="G178" s="31"/>
      <c r="H178" s="31"/>
      <c r="I178" s="31"/>
      <c r="J178" s="31"/>
      <c r="K178" s="349"/>
      <c r="L178" s="349"/>
      <c r="M178" s="349"/>
      <c r="N178" s="421"/>
    </row>
    <row r="179" spans="2:14" ht="15" customHeight="1">
      <c r="B179" s="427"/>
      <c r="C179" s="111" t="s">
        <v>259</v>
      </c>
      <c r="D179" s="31"/>
      <c r="E179" s="31"/>
      <c r="F179" s="31"/>
      <c r="G179" s="31"/>
      <c r="H179" s="31"/>
      <c r="I179" s="168"/>
      <c r="J179" s="428"/>
      <c r="K179" s="349"/>
      <c r="L179" s="349"/>
      <c r="M179" s="349"/>
      <c r="N179" s="421"/>
    </row>
    <row r="180" spans="2:14" ht="15" customHeight="1">
      <c r="B180" s="420"/>
      <c r="C180" s="31"/>
      <c r="D180" s="168" t="s">
        <v>87</v>
      </c>
      <c r="E180" s="606">
        <v>540</v>
      </c>
      <c r="F180" s="31" t="s">
        <v>3</v>
      </c>
      <c r="G180" s="137">
        <f>E180/10</f>
        <v>54</v>
      </c>
      <c r="H180" s="31" t="s">
        <v>71</v>
      </c>
      <c r="I180" s="31"/>
      <c r="J180" s="31"/>
      <c r="K180" s="429"/>
      <c r="L180" s="349"/>
      <c r="M180" s="349"/>
      <c r="N180" s="421"/>
    </row>
    <row r="181" spans="2:14" ht="15" customHeight="1">
      <c r="B181" s="420"/>
      <c r="C181" s="31"/>
      <c r="D181" s="170" t="s">
        <v>150</v>
      </c>
      <c r="E181" s="137">
        <v>1.25</v>
      </c>
      <c r="F181" s="31"/>
      <c r="G181" s="31"/>
      <c r="H181" s="31"/>
      <c r="I181" s="31"/>
      <c r="J181" s="31"/>
      <c r="K181" s="349"/>
      <c r="L181" s="349"/>
      <c r="M181" s="349"/>
      <c r="N181" s="421"/>
    </row>
    <row r="182" spans="2:14" ht="15" customHeight="1">
      <c r="B182" s="420"/>
      <c r="C182" s="31"/>
      <c r="D182" s="31"/>
      <c r="E182" s="31"/>
      <c r="F182" s="31"/>
      <c r="G182" s="31"/>
      <c r="H182" s="31"/>
      <c r="I182" s="31"/>
      <c r="J182" s="31"/>
      <c r="K182" s="349"/>
      <c r="L182" s="349"/>
      <c r="M182" s="349"/>
      <c r="N182" s="421"/>
    </row>
    <row r="183" spans="2:14" ht="15" customHeight="1">
      <c r="B183" s="420"/>
      <c r="C183" s="31"/>
      <c r="D183" s="31"/>
      <c r="E183" s="31"/>
      <c r="F183" s="31"/>
      <c r="G183" s="31"/>
      <c r="H183" s="31"/>
      <c r="I183" s="31"/>
      <c r="J183" s="31"/>
      <c r="K183" s="349"/>
      <c r="L183" s="349"/>
      <c r="M183" s="349"/>
      <c r="N183" s="421"/>
    </row>
    <row r="184" spans="2:14" ht="30" customHeight="1">
      <c r="B184" s="420"/>
      <c r="C184" s="7" t="s">
        <v>284</v>
      </c>
      <c r="D184" s="8"/>
      <c r="E184" s="8"/>
      <c r="F184" s="8"/>
      <c r="G184" s="8"/>
      <c r="H184" s="8"/>
      <c r="I184" s="8"/>
      <c r="J184" s="8"/>
      <c r="K184" s="349"/>
      <c r="L184" s="349"/>
      <c r="M184" s="349"/>
      <c r="N184" s="421"/>
    </row>
    <row r="185" spans="2:14" ht="15" customHeight="1">
      <c r="B185" s="420"/>
      <c r="C185" s="31"/>
      <c r="D185" s="31"/>
      <c r="E185" s="31"/>
      <c r="F185" s="31"/>
      <c r="G185" s="31"/>
      <c r="H185" s="31"/>
      <c r="I185" s="31"/>
      <c r="J185" s="31"/>
      <c r="K185" s="349"/>
      <c r="L185" s="349"/>
      <c r="M185" s="349"/>
      <c r="N185" s="421"/>
    </row>
    <row r="186" spans="2:14" ht="15" customHeight="1">
      <c r="B186" s="420"/>
      <c r="C186" s="539" t="s">
        <v>261</v>
      </c>
      <c r="D186" s="138"/>
      <c r="E186" s="540" t="s">
        <v>262</v>
      </c>
      <c r="F186" s="549">
        <f>$E$24</f>
        <v>7.5</v>
      </c>
      <c r="G186" s="138" t="s">
        <v>5</v>
      </c>
      <c r="H186" s="31"/>
      <c r="I186" s="31"/>
      <c r="J186" s="31"/>
      <c r="K186" s="349"/>
      <c r="L186" s="349"/>
      <c r="M186" s="349"/>
      <c r="N186" s="421"/>
    </row>
    <row r="187" spans="2:14" ht="15" customHeight="1">
      <c r="B187" s="420"/>
      <c r="C187" s="138"/>
      <c r="D187" s="138"/>
      <c r="E187" s="138"/>
      <c r="F187" s="138"/>
      <c r="G187" s="138"/>
      <c r="H187" s="31"/>
      <c r="I187" s="31"/>
      <c r="J187" s="31"/>
      <c r="K187" s="349"/>
      <c r="L187" s="349"/>
      <c r="M187" s="349"/>
      <c r="N187" s="421"/>
    </row>
    <row r="188" spans="2:14" ht="15" customHeight="1">
      <c r="B188" s="420"/>
      <c r="C188" s="1002" t="s">
        <v>280</v>
      </c>
      <c r="D188" s="138" t="s">
        <v>264</v>
      </c>
      <c r="E188" s="541" t="s">
        <v>266</v>
      </c>
      <c r="F188" s="542" t="s">
        <v>263</v>
      </c>
      <c r="G188" s="541" t="s">
        <v>268</v>
      </c>
      <c r="H188" s="31"/>
      <c r="I188" s="31"/>
      <c r="J188" s="31"/>
      <c r="K188" s="349"/>
      <c r="L188" s="349"/>
      <c r="M188" s="349"/>
      <c r="N188" s="421"/>
    </row>
    <row r="189" spans="2:14" ht="15" customHeight="1">
      <c r="B189" s="420"/>
      <c r="C189" s="1002"/>
      <c r="D189" s="512" t="s">
        <v>39</v>
      </c>
      <c r="E189" s="541" t="s">
        <v>265</v>
      </c>
      <c r="F189" s="543" t="s">
        <v>267</v>
      </c>
      <c r="G189" s="541" t="s">
        <v>265</v>
      </c>
      <c r="H189" s="31"/>
      <c r="I189" s="31"/>
      <c r="J189" s="31"/>
      <c r="K189" s="349"/>
      <c r="L189" s="349"/>
      <c r="M189" s="349"/>
      <c r="N189" s="421"/>
    </row>
    <row r="190" spans="2:14" ht="15" customHeight="1">
      <c r="B190" s="420"/>
      <c r="C190" s="138" t="s">
        <v>269</v>
      </c>
      <c r="D190" s="544">
        <f>F129*H129/100</f>
        <v>120.9</v>
      </c>
      <c r="E190" s="137">
        <f>D190*E173*100/1000</f>
        <v>94.906499999999994</v>
      </c>
      <c r="F190" s="137">
        <v>1.35</v>
      </c>
      <c r="G190" s="137">
        <f>E190*F190</f>
        <v>128.12377499999999</v>
      </c>
      <c r="H190" s="31"/>
      <c r="I190" s="31"/>
      <c r="J190" s="31"/>
      <c r="K190" s="349"/>
      <c r="L190" s="349"/>
      <c r="M190" s="349"/>
      <c r="N190" s="421"/>
    </row>
    <row r="191" spans="2:14" ht="15" customHeight="1">
      <c r="B191" s="420"/>
      <c r="C191" s="138" t="s">
        <v>270</v>
      </c>
      <c r="D191" s="544">
        <f>E129*D129/100</f>
        <v>20.399999999999999</v>
      </c>
      <c r="E191" s="137">
        <f>D191*E173/10</f>
        <v>16.013999999999999</v>
      </c>
      <c r="F191" s="137">
        <v>1.35</v>
      </c>
      <c r="G191" s="137">
        <f>E191*F191</f>
        <v>21.6189</v>
      </c>
      <c r="H191" s="31"/>
      <c r="I191" s="31"/>
      <c r="J191" s="31"/>
      <c r="K191" s="349"/>
      <c r="L191" s="349"/>
      <c r="M191" s="349"/>
      <c r="N191" s="421"/>
    </row>
    <row r="192" spans="2:14" ht="15" customHeight="1">
      <c r="B192" s="420"/>
      <c r="C192" s="138" t="s">
        <v>271</v>
      </c>
      <c r="D192" s="544">
        <f>D191*2</f>
        <v>40.799999999999997</v>
      </c>
      <c r="E192" s="137">
        <f>E191*2</f>
        <v>32.027999999999999</v>
      </c>
      <c r="F192" s="137">
        <v>1.35</v>
      </c>
      <c r="G192" s="137">
        <f>E192*F192</f>
        <v>43.2378</v>
      </c>
      <c r="H192" s="31"/>
      <c r="I192" s="31"/>
      <c r="J192" s="31"/>
      <c r="K192" s="349"/>
      <c r="L192" s="349"/>
      <c r="M192" s="349"/>
      <c r="N192" s="421"/>
    </row>
    <row r="193" spans="2:14" ht="15" customHeight="1">
      <c r="B193" s="420"/>
      <c r="C193" s="138" t="s">
        <v>272</v>
      </c>
      <c r="D193" s="544">
        <f>E121*D121/100</f>
        <v>1440</v>
      </c>
      <c r="E193" s="137">
        <f>D193*E160/10</f>
        <v>360</v>
      </c>
      <c r="F193" s="137">
        <v>1.35</v>
      </c>
      <c r="G193" s="137">
        <f>E193*F193</f>
        <v>486.00000000000006</v>
      </c>
      <c r="H193" s="31"/>
      <c r="I193" s="31"/>
      <c r="J193" s="31"/>
      <c r="K193" s="349"/>
      <c r="L193" s="349"/>
      <c r="M193" s="349"/>
      <c r="N193" s="421"/>
    </row>
    <row r="194" spans="2:14" ht="15" customHeight="1">
      <c r="B194" s="420"/>
      <c r="C194" s="545" t="s">
        <v>273</v>
      </c>
      <c r="D194" s="138"/>
      <c r="E194" s="137">
        <f>E190+E192+E193</f>
        <v>486.93449999999996</v>
      </c>
      <c r="F194" s="137">
        <v>1.35</v>
      </c>
      <c r="G194" s="137">
        <f>G190+G192+G193</f>
        <v>657.36157500000002</v>
      </c>
      <c r="H194" s="31"/>
      <c r="I194" s="31"/>
      <c r="J194" s="31"/>
      <c r="K194" s="349"/>
      <c r="L194" s="349"/>
      <c r="M194" s="349"/>
      <c r="N194" s="421"/>
    </row>
    <row r="195" spans="2:14" ht="15" customHeight="1">
      <c r="B195" s="420"/>
      <c r="C195" s="545"/>
      <c r="D195" s="138"/>
      <c r="E195" s="137"/>
      <c r="F195" s="137"/>
      <c r="G195" s="137"/>
      <c r="H195" s="31"/>
      <c r="I195" s="31"/>
      <c r="J195" s="31"/>
      <c r="K195" s="349"/>
      <c r="L195" s="349"/>
      <c r="M195" s="349"/>
      <c r="N195" s="421"/>
    </row>
    <row r="196" spans="2:14" ht="15" customHeight="1">
      <c r="B196" s="420"/>
      <c r="C196" s="1036" t="s">
        <v>274</v>
      </c>
      <c r="D196" s="1002"/>
      <c r="E196" s="546" t="s">
        <v>1</v>
      </c>
      <c r="F196" s="542"/>
      <c r="G196" s="546" t="s">
        <v>1</v>
      </c>
      <c r="H196" s="31"/>
      <c r="I196" s="31"/>
      <c r="J196" s="31"/>
      <c r="K196" s="349"/>
      <c r="L196" s="349"/>
      <c r="M196" s="349"/>
      <c r="N196" s="421"/>
    </row>
    <row r="197" spans="2:14" ht="15" customHeight="1">
      <c r="B197" s="420"/>
      <c r="C197" s="1036"/>
      <c r="D197" s="1002"/>
      <c r="E197" s="547">
        <f>E194/100</f>
        <v>4.8693449999999991</v>
      </c>
      <c r="F197" s="137"/>
      <c r="G197" s="137">
        <f>G194/100</f>
        <v>6.5736157500000001</v>
      </c>
      <c r="H197" s="31"/>
      <c r="I197" s="31"/>
      <c r="J197" s="31"/>
      <c r="K197" s="349"/>
      <c r="L197" s="349"/>
      <c r="M197" s="349"/>
      <c r="N197" s="421"/>
    </row>
    <row r="198" spans="2:14" ht="15" customHeight="1">
      <c r="B198" s="420"/>
      <c r="C198" s="31"/>
      <c r="D198" s="31"/>
      <c r="E198" s="31"/>
      <c r="F198" s="31"/>
      <c r="G198" s="31"/>
      <c r="H198" s="31"/>
      <c r="I198" s="31"/>
      <c r="J198" s="31"/>
      <c r="K198" s="349"/>
      <c r="L198" s="349"/>
      <c r="M198" s="349"/>
      <c r="N198" s="421"/>
    </row>
    <row r="199" spans="2:14" ht="15" customHeight="1">
      <c r="B199" s="420"/>
      <c r="C199" s="31"/>
      <c r="D199" s="31"/>
      <c r="E199" s="31"/>
      <c r="F199" s="31"/>
      <c r="G199" s="31"/>
      <c r="H199" s="31"/>
      <c r="I199" s="31"/>
      <c r="J199" s="31"/>
      <c r="K199" s="349"/>
      <c r="L199" s="349"/>
      <c r="M199" s="349"/>
      <c r="N199" s="421"/>
    </row>
    <row r="200" spans="2:14" ht="15" customHeight="1">
      <c r="B200" s="420"/>
      <c r="C200" s="539" t="s">
        <v>275</v>
      </c>
      <c r="D200" s="138"/>
      <c r="E200" s="540" t="s">
        <v>281</v>
      </c>
      <c r="F200" s="538">
        <v>0.35</v>
      </c>
      <c r="G200" s="138" t="s">
        <v>5</v>
      </c>
      <c r="H200" s="31"/>
      <c r="I200" s="31"/>
      <c r="J200" s="31"/>
      <c r="K200" s="349"/>
      <c r="L200" s="349"/>
      <c r="M200" s="349"/>
      <c r="N200" s="421"/>
    </row>
    <row r="201" spans="2:14" ht="15" customHeight="1">
      <c r="B201" s="420"/>
      <c r="C201" s="138"/>
      <c r="D201" s="138"/>
      <c r="E201" s="138"/>
      <c r="F201" s="138"/>
      <c r="G201" s="138"/>
      <c r="H201" s="31"/>
      <c r="I201" s="31"/>
      <c r="J201" s="31"/>
      <c r="K201" s="349"/>
      <c r="L201" s="349"/>
      <c r="M201" s="349"/>
      <c r="N201" s="421"/>
    </row>
    <row r="202" spans="2:14" ht="15" customHeight="1">
      <c r="B202" s="420"/>
      <c r="C202" s="1002" t="s">
        <v>280</v>
      </c>
      <c r="D202" s="1002"/>
      <c r="E202" s="541" t="s">
        <v>266</v>
      </c>
      <c r="F202" s="542" t="s">
        <v>263</v>
      </c>
      <c r="G202" s="541" t="s">
        <v>268</v>
      </c>
      <c r="H202" s="31"/>
      <c r="I202" s="31"/>
      <c r="J202" s="31"/>
      <c r="K202" s="349"/>
      <c r="L202" s="349"/>
      <c r="M202" s="349"/>
      <c r="N202" s="421"/>
    </row>
    <row r="203" spans="2:14" ht="15" customHeight="1">
      <c r="B203" s="420"/>
      <c r="C203" s="1002"/>
      <c r="D203" s="1002"/>
      <c r="E203" s="541" t="s">
        <v>47</v>
      </c>
      <c r="F203" s="543" t="s">
        <v>267</v>
      </c>
      <c r="G203" s="541" t="s">
        <v>47</v>
      </c>
      <c r="H203" s="31"/>
      <c r="I203" s="31"/>
      <c r="J203" s="31"/>
      <c r="K203" s="349"/>
      <c r="L203" s="349"/>
      <c r="M203" s="349"/>
      <c r="N203" s="421"/>
    </row>
    <row r="204" spans="2:14" ht="15" customHeight="1">
      <c r="B204" s="420"/>
      <c r="C204" s="1027" t="s">
        <v>466</v>
      </c>
      <c r="D204" s="548" t="s">
        <v>49</v>
      </c>
      <c r="E204" s="549">
        <f>$K$137</f>
        <v>2.4500000000000002</v>
      </c>
      <c r="F204" s="549"/>
      <c r="G204" s="549"/>
      <c r="H204" s="31"/>
      <c r="I204" s="31"/>
      <c r="J204" s="31"/>
      <c r="K204" s="349"/>
      <c r="L204" s="349"/>
      <c r="M204" s="349"/>
      <c r="N204" s="421"/>
    </row>
    <row r="205" spans="2:14" ht="15" customHeight="1">
      <c r="B205" s="420"/>
      <c r="C205" s="1027"/>
      <c r="D205" s="548" t="s">
        <v>48</v>
      </c>
      <c r="E205" s="549">
        <f>$L$137</f>
        <v>0.15</v>
      </c>
      <c r="F205" s="549"/>
      <c r="G205" s="549"/>
      <c r="H205" s="112"/>
      <c r="I205" s="112"/>
      <c r="J205" s="112"/>
      <c r="K205" s="349"/>
      <c r="L205" s="349"/>
      <c r="M205" s="349"/>
      <c r="N205" s="421"/>
    </row>
    <row r="206" spans="2:14" ht="15" customHeight="1">
      <c r="B206" s="420"/>
      <c r="C206" s="1027"/>
      <c r="D206" s="550" t="s">
        <v>276</v>
      </c>
      <c r="E206" s="549">
        <f>E204+E205</f>
        <v>2.6</v>
      </c>
      <c r="F206" s="549">
        <v>1.35</v>
      </c>
      <c r="G206" s="549">
        <f>E206*F206</f>
        <v>3.5100000000000002</v>
      </c>
      <c r="H206" s="31"/>
      <c r="I206" s="31"/>
      <c r="J206" s="31"/>
      <c r="K206" s="349"/>
      <c r="L206" s="349"/>
      <c r="M206" s="349"/>
      <c r="N206" s="421"/>
    </row>
    <row r="207" spans="2:14" ht="15" customHeight="1">
      <c r="B207" s="420"/>
      <c r="C207" s="1054" t="s">
        <v>277</v>
      </c>
      <c r="D207" s="1054"/>
      <c r="E207" s="549">
        <f>$D$63</f>
        <v>2</v>
      </c>
      <c r="F207" s="549">
        <v>1.35</v>
      </c>
      <c r="G207" s="549">
        <f>E207*F207</f>
        <v>2.7</v>
      </c>
      <c r="H207" s="31"/>
      <c r="I207" s="31"/>
      <c r="J207" s="31"/>
      <c r="K207" s="349"/>
      <c r="L207" s="349"/>
      <c r="M207" s="349"/>
      <c r="N207" s="421"/>
    </row>
    <row r="208" spans="2:14" ht="15" customHeight="1">
      <c r="B208" s="420"/>
      <c r="C208" s="1054" t="s">
        <v>278</v>
      </c>
      <c r="D208" s="1054"/>
      <c r="E208" s="549">
        <f>$D$64</f>
        <v>1.9</v>
      </c>
      <c r="F208" s="137">
        <v>1.35</v>
      </c>
      <c r="G208" s="137">
        <f>E208*F208</f>
        <v>2.5649999999999999</v>
      </c>
      <c r="H208" s="31"/>
      <c r="I208" s="31"/>
      <c r="J208" s="31"/>
      <c r="K208" s="349"/>
      <c r="L208" s="349"/>
      <c r="M208" s="349"/>
      <c r="N208" s="421"/>
    </row>
    <row r="209" spans="2:37" ht="15" customHeight="1">
      <c r="B209" s="430"/>
      <c r="C209" s="1055" t="s">
        <v>2</v>
      </c>
      <c r="D209" s="1055"/>
      <c r="E209" s="137">
        <f>SUM(E206:E208)</f>
        <v>6.5</v>
      </c>
      <c r="F209" s="137">
        <v>1.35</v>
      </c>
      <c r="G209" s="137">
        <f>E209*F209</f>
        <v>8.7750000000000004</v>
      </c>
      <c r="H209" s="31"/>
      <c r="I209" s="31"/>
      <c r="J209" s="31"/>
      <c r="K209" s="349"/>
      <c r="L209" s="349"/>
      <c r="M209" s="349"/>
      <c r="N209" s="421"/>
    </row>
    <row r="210" spans="2:37" ht="15" customHeight="1">
      <c r="B210" s="420"/>
      <c r="C210" s="551"/>
      <c r="D210" s="552"/>
      <c r="E210" s="553"/>
      <c r="F210" s="554"/>
      <c r="G210" s="553"/>
      <c r="H210" s="31"/>
      <c r="I210" s="31"/>
      <c r="J210" s="31"/>
      <c r="K210" s="349"/>
      <c r="L210" s="349"/>
      <c r="M210" s="349"/>
      <c r="N210" s="421"/>
    </row>
    <row r="211" spans="2:37" ht="15" customHeight="1">
      <c r="B211" s="430"/>
      <c r="C211" s="1056" t="s">
        <v>279</v>
      </c>
      <c r="D211" s="1056"/>
      <c r="E211" s="137">
        <f>E160*10*D60/100-E206</f>
        <v>4.1500000000000004</v>
      </c>
      <c r="F211" s="137">
        <v>1.35</v>
      </c>
      <c r="G211" s="137">
        <f>E211*F211</f>
        <v>5.6025000000000009</v>
      </c>
      <c r="H211" s="31"/>
      <c r="I211" s="31"/>
      <c r="J211" s="31"/>
      <c r="K211" s="349"/>
      <c r="L211" s="349"/>
      <c r="M211" s="349"/>
      <c r="N211" s="421"/>
    </row>
    <row r="212" spans="2:37" ht="15" customHeight="1">
      <c r="B212" s="430"/>
      <c r="C212" s="180"/>
      <c r="D212" s="31"/>
      <c r="E212" s="19"/>
      <c r="F212" s="31"/>
      <c r="G212" s="19"/>
      <c r="H212" s="31"/>
      <c r="I212" s="31"/>
      <c r="J212" s="31"/>
      <c r="K212" s="349"/>
      <c r="L212" s="349"/>
      <c r="M212" s="349"/>
      <c r="N212" s="421"/>
    </row>
    <row r="213" spans="2:37" ht="15" customHeight="1">
      <c r="B213" s="420"/>
      <c r="C213" s="31"/>
      <c r="D213" s="128"/>
      <c r="E213" s="31"/>
      <c r="F213" s="31"/>
      <c r="G213" s="31"/>
      <c r="H213" s="31"/>
      <c r="I213" s="31"/>
      <c r="J213" s="31"/>
      <c r="K213" s="349"/>
      <c r="L213" s="349"/>
      <c r="M213" s="349"/>
      <c r="N213" s="421"/>
    </row>
    <row r="214" spans="2:37" s="9" customFormat="1" ht="15" customHeight="1">
      <c r="B214" s="416"/>
      <c r="C214" s="431" t="s">
        <v>282</v>
      </c>
      <c r="D214" s="112"/>
      <c r="E214" s="546" t="s">
        <v>1</v>
      </c>
      <c r="F214" s="542" t="s">
        <v>263</v>
      </c>
      <c r="G214" s="546" t="s">
        <v>1</v>
      </c>
      <c r="H214" s="432"/>
      <c r="I214" s="112"/>
      <c r="J214" s="112"/>
      <c r="K214" s="267"/>
      <c r="L214" s="267"/>
      <c r="M214" s="267"/>
      <c r="N214" s="419"/>
      <c r="O214" s="258"/>
      <c r="P214" s="258"/>
      <c r="Q214" s="258"/>
      <c r="R214" s="258"/>
      <c r="S214" s="258"/>
      <c r="T214" s="258"/>
      <c r="U214" s="258"/>
      <c r="V214" s="258"/>
      <c r="W214" s="258"/>
      <c r="X214" s="258"/>
      <c r="Y214" s="258"/>
      <c r="Z214" s="258"/>
      <c r="AA214" s="258"/>
      <c r="AB214" s="258"/>
      <c r="AC214" s="258"/>
      <c r="AD214" s="258"/>
      <c r="AE214" s="258"/>
      <c r="AF214" s="258"/>
      <c r="AG214" s="258"/>
      <c r="AH214" s="258"/>
      <c r="AI214" s="258"/>
      <c r="AJ214" s="258"/>
      <c r="AK214" s="258"/>
    </row>
    <row r="215" spans="2:37" ht="15" customHeight="1">
      <c r="B215" s="420"/>
      <c r="C215" s="31"/>
      <c r="D215" s="128" t="s">
        <v>50</v>
      </c>
      <c r="E215" s="137">
        <f>E206*(E54-E121/1000)/2+E211*F200</f>
        <v>11.2675</v>
      </c>
      <c r="F215" s="137">
        <v>1.35</v>
      </c>
      <c r="G215" s="137">
        <f>E215*F215</f>
        <v>15.211125000000001</v>
      </c>
      <c r="H215" s="31"/>
      <c r="I215" s="31"/>
      <c r="J215" s="31"/>
      <c r="K215" s="349"/>
      <c r="L215" s="349"/>
      <c r="M215" s="349"/>
      <c r="N215" s="421"/>
    </row>
    <row r="216" spans="2:37" ht="15" customHeight="1">
      <c r="B216" s="420"/>
      <c r="C216" s="31"/>
      <c r="D216" s="128"/>
      <c r="E216" s="24"/>
      <c r="F216" s="24"/>
      <c r="G216" s="24"/>
      <c r="H216" s="31"/>
      <c r="I216" s="31"/>
      <c r="J216" s="31"/>
      <c r="K216" s="349"/>
      <c r="L216" s="349"/>
      <c r="M216" s="349"/>
      <c r="N216" s="421"/>
    </row>
    <row r="217" spans="2:37" ht="15" customHeight="1">
      <c r="B217" s="420"/>
      <c r="C217" s="31"/>
      <c r="D217" s="19"/>
      <c r="E217" s="19"/>
      <c r="F217" s="31"/>
      <c r="G217" s="31"/>
      <c r="H217" s="31"/>
      <c r="I217" s="31"/>
      <c r="J217" s="31"/>
      <c r="K217" s="349"/>
      <c r="L217" s="349"/>
      <c r="M217" s="349"/>
      <c r="N217" s="421"/>
    </row>
    <row r="218" spans="2:37" ht="15" customHeight="1">
      <c r="B218" s="420"/>
      <c r="C218" s="431" t="s">
        <v>283</v>
      </c>
      <c r="D218" s="31"/>
      <c r="E218" s="546" t="s">
        <v>1</v>
      </c>
      <c r="F218" s="542" t="s">
        <v>263</v>
      </c>
      <c r="G218" s="546" t="s">
        <v>1</v>
      </c>
      <c r="H218" s="433"/>
      <c r="I218" s="31"/>
      <c r="J218" s="31"/>
      <c r="K218" s="349"/>
      <c r="L218" s="349"/>
      <c r="M218" s="349"/>
      <c r="N218" s="421"/>
    </row>
    <row r="219" spans="2:37" ht="15" customHeight="1">
      <c r="B219" s="420"/>
      <c r="C219" s="31"/>
      <c r="D219" s="128" t="s">
        <v>50</v>
      </c>
      <c r="E219" s="137">
        <f>E209*(E54-E121/1000)/2+E211*F200</f>
        <v>25.99</v>
      </c>
      <c r="F219" s="137">
        <v>1.35</v>
      </c>
      <c r="G219" s="137">
        <f>E219*F219</f>
        <v>35.086500000000001</v>
      </c>
      <c r="H219" s="31"/>
      <c r="I219" s="31"/>
      <c r="J219" s="31"/>
      <c r="K219" s="349"/>
      <c r="L219" s="349"/>
      <c r="M219" s="349"/>
      <c r="N219" s="421"/>
    </row>
    <row r="220" spans="2:37" ht="15" customHeight="1">
      <c r="B220" s="434"/>
      <c r="C220" s="31"/>
      <c r="D220" s="435" t="s">
        <v>61</v>
      </c>
      <c r="E220" s="137">
        <f>2*E219+E197+E208*E121/1000</f>
        <v>57.704344999999996</v>
      </c>
      <c r="F220" s="137">
        <v>1.35</v>
      </c>
      <c r="G220" s="137">
        <f>E220*F220</f>
        <v>77.900865749999994</v>
      </c>
      <c r="H220" s="31"/>
      <c r="I220" s="31"/>
      <c r="J220" s="31"/>
      <c r="K220" s="349"/>
      <c r="L220" s="349"/>
      <c r="M220" s="349"/>
      <c r="N220" s="421"/>
    </row>
    <row r="221" spans="2:37" ht="15" customHeight="1">
      <c r="B221" s="434"/>
      <c r="C221" s="31"/>
      <c r="D221" s="31"/>
      <c r="E221" s="31"/>
      <c r="F221" s="31"/>
      <c r="G221" s="31"/>
      <c r="H221" s="31"/>
      <c r="I221" s="31"/>
      <c r="J221" s="31"/>
      <c r="K221" s="349"/>
      <c r="L221" s="349"/>
      <c r="M221" s="349"/>
      <c r="N221" s="421"/>
    </row>
    <row r="222" spans="2:37" ht="15" customHeight="1">
      <c r="B222" s="434"/>
      <c r="C222" s="31"/>
      <c r="D222" s="31"/>
      <c r="E222" s="24"/>
      <c r="F222" s="24"/>
      <c r="G222" s="24"/>
      <c r="H222" s="31"/>
      <c r="I222" s="31"/>
      <c r="J222" s="31"/>
      <c r="K222" s="349"/>
      <c r="L222" s="349"/>
      <c r="M222" s="349"/>
      <c r="N222" s="421"/>
    </row>
    <row r="223" spans="2:37" ht="30" customHeight="1">
      <c r="B223" s="434"/>
      <c r="C223" s="7" t="s">
        <v>285</v>
      </c>
      <c r="D223" s="8"/>
      <c r="E223" s="8"/>
      <c r="F223" s="8"/>
      <c r="G223" s="8"/>
      <c r="H223" s="8"/>
      <c r="I223" s="8"/>
      <c r="J223" s="8"/>
      <c r="K223" s="349"/>
      <c r="L223" s="349"/>
      <c r="M223" s="349"/>
      <c r="N223" s="421"/>
    </row>
    <row r="224" spans="2:37" ht="15" customHeight="1">
      <c r="B224" s="434"/>
      <c r="C224" s="31"/>
      <c r="D224" s="31"/>
      <c r="E224" s="24"/>
      <c r="F224" s="24"/>
      <c r="G224" s="24"/>
      <c r="H224" s="31"/>
      <c r="I224" s="31"/>
      <c r="J224" s="31"/>
      <c r="K224" s="349"/>
      <c r="L224" s="349"/>
      <c r="M224" s="349"/>
      <c r="N224" s="421"/>
    </row>
    <row r="225" spans="2:14" ht="15" customHeight="1">
      <c r="B225" s="434"/>
      <c r="C225" s="431" t="s">
        <v>282</v>
      </c>
      <c r="D225" s="112"/>
      <c r="E225" s="541" t="s">
        <v>47</v>
      </c>
      <c r="F225" s="542" t="s">
        <v>263</v>
      </c>
      <c r="G225" s="541" t="s">
        <v>47</v>
      </c>
      <c r="H225" s="31"/>
      <c r="I225" s="31"/>
      <c r="J225" s="31"/>
      <c r="K225" s="349"/>
      <c r="L225" s="349"/>
      <c r="M225" s="349"/>
      <c r="N225" s="421"/>
    </row>
    <row r="226" spans="2:14" ht="15" customHeight="1">
      <c r="B226" s="434"/>
      <c r="C226" s="31"/>
      <c r="D226" s="128"/>
      <c r="E226" s="549">
        <f>$D$67</f>
        <v>1</v>
      </c>
      <c r="F226" s="544">
        <v>1.5</v>
      </c>
      <c r="G226" s="544">
        <f>E226*F226</f>
        <v>1.5</v>
      </c>
      <c r="H226" s="31"/>
      <c r="I226" s="31"/>
      <c r="J226" s="31"/>
      <c r="K226" s="349"/>
      <c r="L226" s="349"/>
      <c r="M226" s="349"/>
      <c r="N226" s="421"/>
    </row>
    <row r="227" spans="2:14" ht="15" customHeight="1">
      <c r="B227" s="434"/>
      <c r="C227" s="31"/>
      <c r="D227" s="31"/>
      <c r="E227" s="24"/>
      <c r="F227" s="24"/>
      <c r="G227" s="24"/>
      <c r="H227" s="31"/>
      <c r="I227" s="31"/>
      <c r="J227" s="31"/>
      <c r="K227" s="349"/>
      <c r="L227" s="349"/>
      <c r="M227" s="349"/>
      <c r="N227" s="421"/>
    </row>
    <row r="228" spans="2:14" ht="15" customHeight="1">
      <c r="B228" s="434"/>
      <c r="C228" s="31"/>
      <c r="D228" s="31"/>
      <c r="E228" s="546" t="s">
        <v>1</v>
      </c>
      <c r="F228" s="542" t="s">
        <v>263</v>
      </c>
      <c r="G228" s="546" t="s">
        <v>1</v>
      </c>
      <c r="H228" s="31"/>
      <c r="I228" s="31"/>
      <c r="J228" s="31"/>
      <c r="K228" s="349"/>
      <c r="L228" s="349"/>
      <c r="M228" s="349"/>
      <c r="N228" s="421"/>
    </row>
    <row r="229" spans="2:14" ht="15" customHeight="1">
      <c r="B229" s="434"/>
      <c r="C229" s="31"/>
      <c r="D229" s="128" t="s">
        <v>51</v>
      </c>
      <c r="E229" s="137">
        <f>E226*(E54-E121/1000)/2</f>
        <v>3.7749999999999999</v>
      </c>
      <c r="F229" s="137">
        <v>1.5</v>
      </c>
      <c r="G229" s="137">
        <f>E229*F229</f>
        <v>5.6624999999999996</v>
      </c>
      <c r="H229" s="31"/>
      <c r="I229" s="31"/>
      <c r="J229" s="31"/>
      <c r="K229" s="349"/>
      <c r="L229" s="349"/>
      <c r="M229" s="349"/>
      <c r="N229" s="421"/>
    </row>
    <row r="230" spans="2:14" ht="15" customHeight="1">
      <c r="B230" s="434"/>
      <c r="C230" s="31"/>
      <c r="D230" s="128" t="s">
        <v>52</v>
      </c>
      <c r="E230" s="137">
        <f>E226*E121/1000</f>
        <v>0.45</v>
      </c>
      <c r="F230" s="137">
        <v>1.5</v>
      </c>
      <c r="G230" s="137">
        <f>E230*F230</f>
        <v>0.67500000000000004</v>
      </c>
      <c r="H230" s="31"/>
      <c r="I230" s="31"/>
      <c r="J230" s="31"/>
      <c r="K230" s="349"/>
      <c r="L230" s="349"/>
      <c r="M230" s="349"/>
      <c r="N230" s="421"/>
    </row>
    <row r="231" spans="2:14" ht="15" customHeight="1">
      <c r="B231" s="434"/>
      <c r="C231" s="31"/>
      <c r="D231" s="31"/>
      <c r="E231" s="24"/>
      <c r="F231" s="24"/>
      <c r="G231" s="24"/>
      <c r="H231" s="31"/>
      <c r="I231" s="31"/>
      <c r="J231" s="31"/>
      <c r="K231" s="349"/>
      <c r="L231" s="349"/>
      <c r="M231" s="349"/>
      <c r="N231" s="421"/>
    </row>
    <row r="232" spans="2:14" ht="15" customHeight="1">
      <c r="B232" s="434"/>
      <c r="C232" s="31"/>
      <c r="D232" s="31"/>
      <c r="E232" s="24"/>
      <c r="F232" s="24"/>
      <c r="G232" s="24"/>
      <c r="H232" s="31"/>
      <c r="I232" s="31"/>
      <c r="J232" s="31"/>
      <c r="K232" s="349"/>
      <c r="L232" s="349"/>
      <c r="M232" s="349"/>
      <c r="N232" s="421"/>
    </row>
    <row r="233" spans="2:14" ht="15" customHeight="1">
      <c r="B233" s="420"/>
      <c r="C233" s="431" t="s">
        <v>283</v>
      </c>
      <c r="D233" s="31"/>
      <c r="E233" s="541" t="s">
        <v>47</v>
      </c>
      <c r="F233" s="542" t="s">
        <v>263</v>
      </c>
      <c r="G233" s="541" t="s">
        <v>47</v>
      </c>
      <c r="H233" s="31"/>
      <c r="I233" s="31"/>
      <c r="J233" s="31"/>
      <c r="K233" s="349"/>
      <c r="L233" s="349"/>
      <c r="M233" s="349"/>
      <c r="N233" s="421"/>
    </row>
    <row r="234" spans="2:14" ht="15" customHeight="1">
      <c r="B234" s="434"/>
      <c r="C234" s="436"/>
      <c r="D234" s="31"/>
      <c r="E234" s="549">
        <f>$D$68</f>
        <v>7.9</v>
      </c>
      <c r="F234" s="544">
        <v>1.5</v>
      </c>
      <c r="G234" s="544">
        <f>E234*F234</f>
        <v>11.850000000000001</v>
      </c>
      <c r="H234" s="31"/>
      <c r="I234" s="31"/>
      <c r="J234" s="31"/>
      <c r="K234" s="349"/>
      <c r="L234" s="349"/>
      <c r="M234" s="349"/>
      <c r="N234" s="421"/>
    </row>
    <row r="235" spans="2:14" ht="15" customHeight="1">
      <c r="B235" s="434"/>
      <c r="C235" s="436"/>
      <c r="D235" s="31"/>
      <c r="E235" s="19"/>
      <c r="F235" s="19"/>
      <c r="G235" s="25"/>
      <c r="H235" s="31"/>
      <c r="I235" s="31"/>
      <c r="J235" s="31"/>
      <c r="K235" s="349"/>
      <c r="L235" s="349"/>
      <c r="M235" s="349"/>
      <c r="N235" s="421"/>
    </row>
    <row r="236" spans="2:14" ht="15" customHeight="1">
      <c r="B236" s="434"/>
      <c r="C236" s="436"/>
      <c r="D236" s="31"/>
      <c r="E236" s="546" t="s">
        <v>1</v>
      </c>
      <c r="F236" s="542" t="s">
        <v>263</v>
      </c>
      <c r="G236" s="546" t="s">
        <v>1</v>
      </c>
      <c r="H236" s="31"/>
      <c r="I236" s="31"/>
      <c r="J236" s="31"/>
      <c r="K236" s="349"/>
      <c r="L236" s="349"/>
      <c r="M236" s="349"/>
      <c r="N236" s="421"/>
    </row>
    <row r="237" spans="2:14" ht="15" customHeight="1">
      <c r="B237" s="434"/>
      <c r="C237" s="436"/>
      <c r="D237" s="128" t="s">
        <v>51</v>
      </c>
      <c r="E237" s="137">
        <f>E234*(E54-E121/1000)/2</f>
        <v>29.822500000000002</v>
      </c>
      <c r="F237" s="137">
        <v>1.5</v>
      </c>
      <c r="G237" s="137">
        <f>E237*F237</f>
        <v>44.733750000000001</v>
      </c>
      <c r="H237" s="31"/>
      <c r="I237" s="31"/>
      <c r="J237" s="31"/>
      <c r="K237" s="349"/>
      <c r="L237" s="349"/>
      <c r="M237" s="349"/>
      <c r="N237" s="421"/>
    </row>
    <row r="238" spans="2:14" ht="15" customHeight="1">
      <c r="B238" s="434"/>
      <c r="C238" s="436"/>
      <c r="D238" s="128" t="s">
        <v>52</v>
      </c>
      <c r="E238" s="137">
        <f>E234*E121/1000</f>
        <v>3.5550000000000002</v>
      </c>
      <c r="F238" s="137">
        <v>1.5</v>
      </c>
      <c r="G238" s="137">
        <f>E238*F238</f>
        <v>5.3325000000000005</v>
      </c>
      <c r="H238" s="31"/>
      <c r="I238" s="31"/>
      <c r="J238" s="31"/>
      <c r="K238" s="349"/>
      <c r="L238" s="349"/>
      <c r="M238" s="349"/>
      <c r="N238" s="421"/>
    </row>
    <row r="239" spans="2:14" ht="15" customHeight="1">
      <c r="B239" s="434"/>
      <c r="C239" s="436"/>
      <c r="D239" s="435" t="s">
        <v>62</v>
      </c>
      <c r="E239" s="137">
        <f>2*E237+E238</f>
        <v>63.2</v>
      </c>
      <c r="F239" s="137">
        <v>1.5</v>
      </c>
      <c r="G239" s="137">
        <f>E239*F239</f>
        <v>94.800000000000011</v>
      </c>
      <c r="H239" s="31"/>
      <c r="I239" s="31"/>
      <c r="J239" s="31"/>
      <c r="K239" s="349"/>
      <c r="L239" s="349"/>
      <c r="M239" s="349"/>
      <c r="N239" s="421"/>
    </row>
    <row r="240" spans="2:14" ht="15" customHeight="1">
      <c r="B240" s="434"/>
      <c r="C240" s="436"/>
      <c r="D240" s="31"/>
      <c r="E240" s="31"/>
      <c r="F240" s="31"/>
      <c r="G240" s="31"/>
      <c r="H240" s="31"/>
      <c r="I240" s="31"/>
      <c r="J240" s="31"/>
      <c r="K240" s="349"/>
      <c r="L240" s="349"/>
      <c r="M240" s="349"/>
      <c r="N240" s="421"/>
    </row>
    <row r="241" spans="2:14">
      <c r="B241" s="434"/>
      <c r="C241" s="436"/>
      <c r="D241" s="31"/>
      <c r="E241" s="31"/>
      <c r="F241" s="31"/>
      <c r="G241" s="31"/>
      <c r="H241" s="31"/>
      <c r="I241" s="31"/>
      <c r="J241" s="31"/>
      <c r="K241" s="349"/>
      <c r="L241" s="349"/>
      <c r="M241" s="349"/>
      <c r="N241" s="421"/>
    </row>
    <row r="242" spans="2:14" ht="30" customHeight="1">
      <c r="B242" s="434"/>
      <c r="C242" s="7" t="s">
        <v>307</v>
      </c>
      <c r="D242" s="8"/>
      <c r="E242" s="8"/>
      <c r="F242" s="8"/>
      <c r="G242" s="8"/>
      <c r="H242" s="8"/>
      <c r="I242" s="8"/>
      <c r="J242" s="8"/>
      <c r="K242" s="349"/>
      <c r="L242" s="349"/>
      <c r="M242" s="349"/>
      <c r="N242" s="421"/>
    </row>
    <row r="243" spans="2:14">
      <c r="B243" s="434"/>
      <c r="C243" s="436"/>
      <c r="D243" s="31"/>
      <c r="E243" s="31"/>
      <c r="F243" s="31"/>
      <c r="G243" s="31"/>
      <c r="H243" s="31"/>
      <c r="I243" s="31"/>
      <c r="J243" s="31"/>
      <c r="K243" s="349"/>
      <c r="L243" s="349"/>
      <c r="M243" s="349"/>
      <c r="N243" s="421"/>
    </row>
    <row r="244" spans="2:14" ht="15">
      <c r="B244" s="434"/>
      <c r="C244" s="130" t="s">
        <v>286</v>
      </c>
      <c r="D244" s="31"/>
      <c r="E244" s="31"/>
      <c r="F244" s="31"/>
      <c r="G244" s="31"/>
      <c r="H244" s="31"/>
      <c r="I244" s="31"/>
      <c r="J244" s="31"/>
      <c r="K244" s="349"/>
      <c r="L244" s="349"/>
      <c r="M244" s="349"/>
      <c r="N244" s="421"/>
    </row>
    <row r="245" spans="2:14">
      <c r="B245" s="434"/>
      <c r="C245" s="436"/>
      <c r="D245" s="31"/>
      <c r="E245" s="31"/>
      <c r="F245" s="31"/>
      <c r="G245" s="31"/>
      <c r="H245" s="31"/>
      <c r="I245" s="31"/>
      <c r="J245" s="31"/>
      <c r="K245" s="349"/>
      <c r="L245" s="349"/>
      <c r="M245" s="349"/>
      <c r="N245" s="421"/>
    </row>
    <row r="246" spans="2:14">
      <c r="B246" s="434"/>
      <c r="C246" s="436"/>
      <c r="D246" s="31"/>
      <c r="E246" s="31"/>
      <c r="F246" s="31"/>
      <c r="G246" s="31"/>
      <c r="H246" s="31"/>
      <c r="I246" s="31"/>
      <c r="J246" s="31"/>
      <c r="K246" s="349"/>
      <c r="L246" s="349"/>
      <c r="M246" s="349"/>
      <c r="N246" s="421"/>
    </row>
    <row r="247" spans="2:14">
      <c r="B247" s="434"/>
      <c r="C247" s="436"/>
      <c r="D247" s="31"/>
      <c r="E247" s="31"/>
      <c r="F247" s="31"/>
      <c r="G247" s="31"/>
      <c r="H247" s="31"/>
      <c r="I247" s="31"/>
      <c r="J247" s="31"/>
      <c r="K247" s="349"/>
      <c r="L247" s="349"/>
      <c r="M247" s="349"/>
      <c r="N247" s="421"/>
    </row>
    <row r="248" spans="2:14">
      <c r="B248" s="434"/>
      <c r="C248" s="436"/>
      <c r="D248" s="31"/>
      <c r="E248" s="31"/>
      <c r="F248" s="31"/>
      <c r="G248" s="31"/>
      <c r="H248" s="31"/>
      <c r="I248" s="31"/>
      <c r="J248" s="31"/>
      <c r="K248" s="349"/>
      <c r="L248" s="349"/>
      <c r="M248" s="349"/>
      <c r="N248" s="421"/>
    </row>
    <row r="249" spans="2:14">
      <c r="B249" s="434"/>
      <c r="C249" s="436"/>
      <c r="D249" s="31"/>
      <c r="E249" s="31"/>
      <c r="F249" s="31"/>
      <c r="G249" s="31"/>
      <c r="H249" s="31"/>
      <c r="I249" s="31"/>
      <c r="J249" s="31"/>
      <c r="K249" s="349"/>
      <c r="L249" s="349"/>
      <c r="M249" s="349"/>
      <c r="N249" s="421"/>
    </row>
    <row r="250" spans="2:14">
      <c r="B250" s="434"/>
      <c r="C250" s="436"/>
      <c r="D250" s="31"/>
      <c r="E250" s="31"/>
      <c r="F250" s="31"/>
      <c r="G250" s="31"/>
      <c r="H250" s="31"/>
      <c r="I250" s="31"/>
      <c r="J250" s="31"/>
      <c r="K250" s="349"/>
      <c r="L250" s="349"/>
      <c r="M250" s="349"/>
      <c r="N250" s="421"/>
    </row>
    <row r="251" spans="2:14">
      <c r="B251" s="434"/>
      <c r="C251" s="436"/>
      <c r="D251" s="31"/>
      <c r="E251" s="31"/>
      <c r="F251" s="31"/>
      <c r="G251" s="31"/>
      <c r="H251" s="31"/>
      <c r="I251" s="31"/>
      <c r="J251" s="31"/>
      <c r="K251" s="349"/>
      <c r="L251" s="349"/>
      <c r="M251" s="349"/>
      <c r="N251" s="421"/>
    </row>
    <row r="252" spans="2:14">
      <c r="B252" s="434"/>
      <c r="C252" s="436"/>
      <c r="D252" s="31"/>
      <c r="E252" s="31"/>
      <c r="F252" s="31"/>
      <c r="G252" s="31"/>
      <c r="H252" s="31"/>
      <c r="I252" s="31"/>
      <c r="J252" s="31"/>
      <c r="K252" s="349"/>
      <c r="L252" s="349"/>
      <c r="M252" s="349"/>
      <c r="N252" s="421"/>
    </row>
    <row r="253" spans="2:14">
      <c r="B253" s="434"/>
      <c r="C253" s="436"/>
      <c r="D253" s="31"/>
      <c r="E253" s="31"/>
      <c r="F253" s="31"/>
      <c r="G253" s="31"/>
      <c r="H253" s="31"/>
      <c r="I253" s="31"/>
      <c r="J253" s="31"/>
      <c r="K253" s="349"/>
      <c r="L253" s="349"/>
      <c r="M253" s="349"/>
      <c r="N253" s="421"/>
    </row>
    <row r="254" spans="2:14">
      <c r="B254" s="434"/>
      <c r="C254" s="436"/>
      <c r="D254" s="31"/>
      <c r="E254" s="31"/>
      <c r="F254" s="31"/>
      <c r="G254" s="31"/>
      <c r="H254" s="31"/>
      <c r="I254" s="31"/>
      <c r="J254" s="31"/>
      <c r="K254" s="349"/>
      <c r="L254" s="349"/>
      <c r="M254" s="349"/>
      <c r="N254" s="421"/>
    </row>
    <row r="255" spans="2:14">
      <c r="B255" s="434"/>
      <c r="C255" s="436"/>
      <c r="D255" s="31"/>
      <c r="E255" s="31"/>
      <c r="F255" s="31"/>
      <c r="G255" s="31"/>
      <c r="H255" s="31"/>
      <c r="I255" s="31"/>
      <c r="J255" s="31"/>
      <c r="K255" s="349"/>
      <c r="L255" s="349"/>
      <c r="M255" s="349"/>
      <c r="N255" s="421"/>
    </row>
    <row r="256" spans="2:14">
      <c r="B256" s="434"/>
      <c r="C256" s="436"/>
      <c r="D256" s="31"/>
      <c r="E256" s="31"/>
      <c r="F256" s="31"/>
      <c r="G256" s="31"/>
      <c r="H256" s="31"/>
      <c r="I256" s="31"/>
      <c r="J256" s="31"/>
      <c r="K256" s="349"/>
      <c r="L256" s="349"/>
      <c r="M256" s="349"/>
      <c r="N256" s="421"/>
    </row>
    <row r="257" spans="2:14">
      <c r="B257" s="434"/>
      <c r="C257" s="436"/>
      <c r="D257" s="31"/>
      <c r="E257" s="31"/>
      <c r="F257" s="31"/>
      <c r="G257" s="31"/>
      <c r="H257" s="31"/>
      <c r="I257" s="31"/>
      <c r="J257" s="31"/>
      <c r="K257" s="349"/>
      <c r="L257" s="349"/>
      <c r="M257" s="349"/>
      <c r="N257" s="421"/>
    </row>
    <row r="258" spans="2:14">
      <c r="B258" s="434"/>
      <c r="C258" s="436"/>
      <c r="D258" s="31"/>
      <c r="E258" s="31"/>
      <c r="F258" s="31"/>
      <c r="G258" s="31"/>
      <c r="H258" s="31"/>
      <c r="I258" s="31"/>
      <c r="J258" s="31"/>
      <c r="K258" s="349"/>
      <c r="L258" s="349"/>
      <c r="M258" s="349"/>
      <c r="N258" s="421"/>
    </row>
    <row r="259" spans="2:14">
      <c r="B259" s="434"/>
      <c r="C259" s="436"/>
      <c r="D259" s="31"/>
      <c r="E259" s="31"/>
      <c r="F259" s="31"/>
      <c r="G259" s="31"/>
      <c r="H259" s="31"/>
      <c r="I259" s="31"/>
      <c r="J259" s="31"/>
      <c r="K259" s="349"/>
      <c r="L259" s="349"/>
      <c r="M259" s="349"/>
      <c r="N259" s="421"/>
    </row>
    <row r="260" spans="2:14">
      <c r="B260" s="434"/>
      <c r="C260" s="436"/>
      <c r="D260" s="31"/>
      <c r="E260" s="31"/>
      <c r="F260" s="31"/>
      <c r="G260" s="31"/>
      <c r="H260" s="31"/>
      <c r="I260" s="31"/>
      <c r="J260" s="31"/>
      <c r="K260" s="349"/>
      <c r="L260" s="349"/>
      <c r="M260" s="349"/>
      <c r="N260" s="421"/>
    </row>
    <row r="261" spans="2:14">
      <c r="B261" s="434"/>
      <c r="C261" s="436"/>
      <c r="D261" s="31"/>
      <c r="E261" s="31"/>
      <c r="F261" s="31"/>
      <c r="G261" s="31"/>
      <c r="H261" s="31"/>
      <c r="I261" s="31"/>
      <c r="J261" s="31"/>
      <c r="K261" s="349"/>
      <c r="L261" s="349"/>
      <c r="M261" s="349"/>
      <c r="N261" s="421"/>
    </row>
    <row r="262" spans="2:14">
      <c r="B262" s="434"/>
      <c r="C262" s="436"/>
      <c r="D262" s="31"/>
      <c r="E262" s="31"/>
      <c r="F262" s="31"/>
      <c r="G262" s="31"/>
      <c r="H262" s="31"/>
      <c r="I262" s="31"/>
      <c r="J262" s="31"/>
      <c r="K262" s="349"/>
      <c r="L262" s="349"/>
      <c r="M262" s="349"/>
      <c r="N262" s="421"/>
    </row>
    <row r="263" spans="2:14">
      <c r="B263" s="434"/>
      <c r="C263" s="436"/>
      <c r="D263" s="31"/>
      <c r="E263" s="31"/>
      <c r="F263" s="31"/>
      <c r="G263" s="31"/>
      <c r="H263" s="31"/>
      <c r="I263" s="31"/>
      <c r="J263" s="31"/>
      <c r="K263" s="349"/>
      <c r="L263" s="349"/>
      <c r="M263" s="349"/>
      <c r="N263" s="421"/>
    </row>
    <row r="264" spans="2:14">
      <c r="B264" s="434"/>
      <c r="C264" s="436"/>
      <c r="D264" s="31"/>
      <c r="E264" s="31"/>
      <c r="F264" s="31"/>
      <c r="G264" s="31"/>
      <c r="H264" s="31"/>
      <c r="I264" s="31"/>
      <c r="J264" s="31"/>
      <c r="K264" s="349"/>
      <c r="L264" s="349"/>
      <c r="M264" s="349"/>
      <c r="N264" s="421"/>
    </row>
    <row r="265" spans="2:14">
      <c r="B265" s="434"/>
      <c r="C265" s="436"/>
      <c r="D265" s="31"/>
      <c r="E265" s="31"/>
      <c r="F265" s="31"/>
      <c r="G265" s="31"/>
      <c r="H265" s="31"/>
      <c r="I265" s="31"/>
      <c r="J265" s="31"/>
      <c r="K265" s="349"/>
      <c r="L265" s="349"/>
      <c r="M265" s="349"/>
      <c r="N265" s="421"/>
    </row>
    <row r="266" spans="2:14">
      <c r="B266" s="434"/>
      <c r="C266" s="436"/>
      <c r="D266" s="31"/>
      <c r="E266" s="31"/>
      <c r="F266" s="31"/>
      <c r="G266" s="31"/>
      <c r="H266" s="31"/>
      <c r="I266" s="31"/>
      <c r="J266" s="31"/>
      <c r="K266" s="349"/>
      <c r="L266" s="349"/>
      <c r="M266" s="349"/>
      <c r="N266" s="421"/>
    </row>
    <row r="267" spans="2:14">
      <c r="B267" s="434"/>
      <c r="C267" s="436"/>
      <c r="D267" s="31"/>
      <c r="E267" s="31"/>
      <c r="F267" s="31"/>
      <c r="G267" s="31"/>
      <c r="H267" s="31"/>
      <c r="I267" s="31"/>
      <c r="J267" s="31"/>
      <c r="K267" s="349"/>
      <c r="L267" s="349"/>
      <c r="M267" s="349"/>
      <c r="N267" s="421"/>
    </row>
    <row r="268" spans="2:14">
      <c r="B268" s="434"/>
      <c r="C268" s="436"/>
      <c r="D268" s="31"/>
      <c r="E268" s="31"/>
      <c r="F268" s="31"/>
      <c r="G268" s="31"/>
      <c r="H268" s="31"/>
      <c r="I268" s="31"/>
      <c r="J268" s="31"/>
      <c r="K268" s="349"/>
      <c r="L268" s="349"/>
      <c r="M268" s="349"/>
      <c r="N268" s="421"/>
    </row>
    <row r="269" spans="2:14">
      <c r="B269" s="434"/>
      <c r="C269" s="436"/>
      <c r="D269" s="31"/>
      <c r="E269" s="31"/>
      <c r="F269" s="31"/>
      <c r="G269" s="31"/>
      <c r="H269" s="31"/>
      <c r="I269" s="31"/>
      <c r="J269" s="31"/>
      <c r="K269" s="349"/>
      <c r="L269" s="349"/>
      <c r="M269" s="349"/>
      <c r="N269" s="421"/>
    </row>
    <row r="270" spans="2:14">
      <c r="B270" s="434"/>
      <c r="C270" s="436"/>
      <c r="D270" s="31"/>
      <c r="E270" s="31"/>
      <c r="F270" s="31"/>
      <c r="G270" s="31"/>
      <c r="H270" s="31"/>
      <c r="I270" s="31"/>
      <c r="J270" s="31"/>
      <c r="K270" s="349"/>
      <c r="L270" s="349"/>
      <c r="M270" s="349"/>
      <c r="N270" s="421"/>
    </row>
    <row r="271" spans="2:14">
      <c r="B271" s="434"/>
      <c r="C271" s="436"/>
      <c r="D271" s="31"/>
      <c r="E271" s="31"/>
      <c r="F271" s="31"/>
      <c r="G271" s="31"/>
      <c r="H271" s="31"/>
      <c r="I271" s="31"/>
      <c r="J271" s="31"/>
      <c r="K271" s="349"/>
      <c r="L271" s="349"/>
      <c r="M271" s="349"/>
      <c r="N271" s="421"/>
    </row>
    <row r="272" spans="2:14" ht="15" thickBot="1">
      <c r="B272" s="434"/>
      <c r="C272" s="436"/>
      <c r="D272" s="31"/>
      <c r="E272" s="31"/>
      <c r="F272" s="31"/>
      <c r="G272" s="31"/>
      <c r="H272" s="31"/>
      <c r="I272" s="31"/>
      <c r="J272" s="31"/>
      <c r="K272" s="349"/>
      <c r="L272" s="349"/>
      <c r="M272" s="349"/>
      <c r="N272" s="421"/>
    </row>
    <row r="273" spans="2:14" ht="15.75" thickBot="1">
      <c r="B273" s="420"/>
      <c r="C273" s="76" t="s">
        <v>287</v>
      </c>
      <c r="D273" s="77"/>
      <c r="E273" s="77"/>
      <c r="F273" s="77"/>
      <c r="G273" s="81"/>
      <c r="H273" s="31"/>
      <c r="I273" s="31"/>
      <c r="J273" s="31"/>
      <c r="K273" s="349"/>
      <c r="L273" s="349"/>
      <c r="M273" s="349"/>
      <c r="N273" s="421"/>
    </row>
    <row r="274" spans="2:14" ht="15">
      <c r="B274" s="420"/>
      <c r="C274" s="69"/>
      <c r="D274" s="31"/>
      <c r="E274" s="35" t="s">
        <v>301</v>
      </c>
      <c r="F274" s="37"/>
      <c r="G274" s="63" t="s">
        <v>0</v>
      </c>
      <c r="H274" s="31"/>
      <c r="I274" s="31"/>
      <c r="J274" s="31"/>
      <c r="K274" s="349"/>
      <c r="L274" s="349"/>
      <c r="M274" s="349"/>
      <c r="N274" s="421"/>
    </row>
    <row r="275" spans="2:14" ht="18.75">
      <c r="B275" s="420"/>
      <c r="C275" s="55" t="s">
        <v>288</v>
      </c>
      <c r="D275" s="34"/>
      <c r="E275" s="45" t="s">
        <v>46</v>
      </c>
      <c r="F275" s="36" t="s">
        <v>263</v>
      </c>
      <c r="G275" s="63" t="s">
        <v>46</v>
      </c>
      <c r="H275" s="31"/>
      <c r="I275" s="31"/>
      <c r="J275" s="31"/>
      <c r="K275" s="349"/>
      <c r="L275" s="349"/>
      <c r="M275" s="349"/>
      <c r="N275" s="421"/>
    </row>
    <row r="276" spans="2:14" ht="18.75">
      <c r="B276" s="420"/>
      <c r="C276" s="50" t="s">
        <v>289</v>
      </c>
      <c r="D276" s="46" t="s">
        <v>55</v>
      </c>
      <c r="E276" s="38">
        <f>0.5*(E197)*F186</f>
        <v>18.260043749999998</v>
      </c>
      <c r="F276" s="11">
        <v>1.35</v>
      </c>
      <c r="G276" s="12">
        <f>E276*F276</f>
        <v>24.6510590625</v>
      </c>
      <c r="H276" s="31"/>
      <c r="I276" s="31"/>
      <c r="J276" s="31"/>
      <c r="K276" s="349"/>
      <c r="L276" s="349"/>
      <c r="M276" s="349"/>
      <c r="N276" s="421"/>
    </row>
    <row r="277" spans="2:14" ht="18.75">
      <c r="B277" s="420"/>
      <c r="C277" s="51" t="s">
        <v>290</v>
      </c>
      <c r="D277" s="40" t="s">
        <v>54</v>
      </c>
      <c r="E277" s="38">
        <f>0.5*(E215)*F186</f>
        <v>42.253124999999997</v>
      </c>
      <c r="F277" s="11">
        <v>1.35</v>
      </c>
      <c r="G277" s="12">
        <f>E277*F277</f>
        <v>57.041718750000001</v>
      </c>
      <c r="H277" s="31"/>
      <c r="I277" s="31"/>
      <c r="J277" s="31"/>
      <c r="K277" s="349"/>
      <c r="L277" s="349"/>
      <c r="M277" s="349"/>
      <c r="N277" s="421"/>
    </row>
    <row r="278" spans="2:14" ht="16.5">
      <c r="B278" s="420"/>
      <c r="C278" s="51" t="s">
        <v>291</v>
      </c>
      <c r="D278" s="40" t="s">
        <v>53</v>
      </c>
      <c r="E278" s="38">
        <f>E276+2*E277</f>
        <v>102.76629374999999</v>
      </c>
      <c r="F278" s="11">
        <v>1.35</v>
      </c>
      <c r="G278" s="12">
        <f>E278*F278</f>
        <v>138.7344965625</v>
      </c>
      <c r="H278" s="31"/>
      <c r="I278" s="31"/>
      <c r="J278" s="31"/>
      <c r="K278" s="349"/>
      <c r="L278" s="349"/>
      <c r="M278" s="349"/>
      <c r="N278" s="421"/>
    </row>
    <row r="279" spans="2:14" ht="18.75">
      <c r="B279" s="420"/>
      <c r="C279" s="62" t="s">
        <v>292</v>
      </c>
      <c r="D279" s="47"/>
      <c r="E279" s="45" t="s">
        <v>59</v>
      </c>
      <c r="F279" s="36" t="s">
        <v>263</v>
      </c>
      <c r="G279" s="63" t="s">
        <v>59</v>
      </c>
      <c r="H279" s="31"/>
      <c r="I279" s="31"/>
      <c r="J279" s="31"/>
      <c r="K279" s="349"/>
      <c r="L279" s="349"/>
      <c r="M279" s="349"/>
      <c r="N279" s="421"/>
    </row>
    <row r="280" spans="2:14" ht="18.75">
      <c r="B280" s="420"/>
      <c r="C280" s="50" t="s">
        <v>289</v>
      </c>
      <c r="D280" s="46" t="s">
        <v>57</v>
      </c>
      <c r="E280" s="38">
        <f>(E197)*F186*F186/8</f>
        <v>34.237582031249993</v>
      </c>
      <c r="F280" s="11">
        <v>1.35</v>
      </c>
      <c r="G280" s="12">
        <f>E280*F280</f>
        <v>46.220735742187493</v>
      </c>
      <c r="H280" s="31"/>
      <c r="I280" s="31"/>
      <c r="J280" s="31"/>
      <c r="K280" s="349"/>
      <c r="L280" s="349"/>
      <c r="M280" s="349"/>
      <c r="N280" s="421"/>
    </row>
    <row r="281" spans="2:14" ht="18.75">
      <c r="B281" s="420"/>
      <c r="C281" s="51" t="s">
        <v>290</v>
      </c>
      <c r="D281" s="40" t="s">
        <v>58</v>
      </c>
      <c r="E281" s="38">
        <f>(E215)*F186*F186/8</f>
        <v>79.224609375</v>
      </c>
      <c r="F281" s="11">
        <v>1.35</v>
      </c>
      <c r="G281" s="12">
        <f>E281*F281</f>
        <v>106.95322265625001</v>
      </c>
      <c r="H281" s="31"/>
      <c r="I281" s="31"/>
      <c r="J281" s="31"/>
      <c r="K281" s="349"/>
      <c r="L281" s="349"/>
      <c r="M281" s="349"/>
      <c r="N281" s="421"/>
    </row>
    <row r="282" spans="2:14" ht="16.5">
      <c r="B282" s="420"/>
      <c r="C282" s="52" t="s">
        <v>291</v>
      </c>
      <c r="D282" s="41" t="s">
        <v>56</v>
      </c>
      <c r="E282" s="39">
        <f>E280+2*E281</f>
        <v>192.68680078124999</v>
      </c>
      <c r="F282" s="30">
        <v>1.35</v>
      </c>
      <c r="G282" s="53">
        <f>E282*F282</f>
        <v>260.12718105468753</v>
      </c>
      <c r="H282" s="31"/>
      <c r="I282" s="31"/>
      <c r="J282" s="31"/>
      <c r="K282" s="349"/>
      <c r="L282" s="349"/>
      <c r="M282" s="349"/>
      <c r="N282" s="421"/>
    </row>
    <row r="283" spans="2:14" ht="15">
      <c r="B283" s="420"/>
      <c r="C283" s="54" t="s">
        <v>293</v>
      </c>
      <c r="D283" s="42"/>
      <c r="E283" s="74" t="s">
        <v>298</v>
      </c>
      <c r="F283" s="33">
        <f xml:space="preserve"> F129/2-80/2</f>
        <v>363</v>
      </c>
      <c r="G283" s="75" t="s">
        <v>6</v>
      </c>
      <c r="H283" s="31"/>
      <c r="I283" s="31"/>
      <c r="J283" s="31"/>
      <c r="K283" s="349"/>
      <c r="L283" s="349"/>
      <c r="M283" s="349"/>
      <c r="N283" s="421"/>
    </row>
    <row r="284" spans="2:14" ht="18.75">
      <c r="B284" s="420"/>
      <c r="C284" s="51"/>
      <c r="D284" s="34"/>
      <c r="E284" s="45" t="s">
        <v>59</v>
      </c>
      <c r="F284" s="36" t="s">
        <v>263</v>
      </c>
      <c r="G284" s="63" t="s">
        <v>59</v>
      </c>
      <c r="H284" s="19"/>
      <c r="I284" s="31"/>
      <c r="J284" s="31"/>
      <c r="K284" s="349"/>
      <c r="L284" s="349"/>
      <c r="M284" s="349"/>
      <c r="N284" s="421"/>
    </row>
    <row r="285" spans="2:14" ht="19.5" thickBot="1">
      <c r="B285" s="420"/>
      <c r="C285" s="57" t="s">
        <v>290</v>
      </c>
      <c r="D285" s="68" t="s">
        <v>60</v>
      </c>
      <c r="E285" s="66">
        <f>0.5*(E215)*F186*F283/1000</f>
        <v>15.337884375</v>
      </c>
      <c r="F285" s="13">
        <v>1.35</v>
      </c>
      <c r="G285" s="14">
        <f>E285*F285</f>
        <v>20.706143906250002</v>
      </c>
      <c r="H285" s="31"/>
      <c r="I285" s="31"/>
      <c r="J285" s="31"/>
      <c r="K285" s="349"/>
      <c r="L285" s="349"/>
      <c r="M285" s="349"/>
      <c r="N285" s="421"/>
    </row>
    <row r="286" spans="2:14" ht="8.1" customHeight="1" thickBot="1">
      <c r="B286" s="420"/>
      <c r="C286" s="72"/>
      <c r="D286" s="31"/>
      <c r="E286" s="31"/>
      <c r="F286" s="31"/>
      <c r="G286" s="73"/>
      <c r="H286" s="31"/>
      <c r="I286" s="31"/>
      <c r="J286" s="31"/>
      <c r="K286" s="349"/>
      <c r="L286" s="349"/>
      <c r="M286" s="349"/>
      <c r="N286" s="421"/>
    </row>
    <row r="287" spans="2:14" ht="15.75" thickBot="1">
      <c r="B287" s="420"/>
      <c r="C287" s="76" t="s">
        <v>294</v>
      </c>
      <c r="D287" s="77"/>
      <c r="E287" s="77"/>
      <c r="F287" s="77"/>
      <c r="G287" s="81"/>
      <c r="H287" s="31"/>
      <c r="I287" s="31"/>
      <c r="J287" s="31"/>
      <c r="K287" s="349"/>
      <c r="L287" s="349"/>
      <c r="M287" s="349"/>
      <c r="N287" s="421"/>
    </row>
    <row r="288" spans="2:14" ht="15">
      <c r="B288" s="420"/>
      <c r="C288" s="69"/>
      <c r="D288" s="31"/>
      <c r="E288" s="70" t="s">
        <v>301</v>
      </c>
      <c r="F288" s="31"/>
      <c r="G288" s="71" t="s">
        <v>0</v>
      </c>
      <c r="H288" s="31"/>
      <c r="I288" s="31"/>
      <c r="J288" s="31"/>
      <c r="K288" s="349"/>
      <c r="L288" s="349"/>
      <c r="M288" s="349"/>
      <c r="N288" s="421"/>
    </row>
    <row r="289" spans="2:14" ht="18.75">
      <c r="B289" s="420"/>
      <c r="C289" s="55" t="s">
        <v>288</v>
      </c>
      <c r="D289" s="34"/>
      <c r="E289" s="353" t="s">
        <v>46</v>
      </c>
      <c r="F289" s="27" t="s">
        <v>263</v>
      </c>
      <c r="G289" s="56" t="s">
        <v>46</v>
      </c>
      <c r="H289" s="31"/>
      <c r="I289" s="31"/>
      <c r="J289" s="31"/>
      <c r="K289" s="349"/>
      <c r="L289" s="349"/>
      <c r="M289" s="349"/>
      <c r="N289" s="421"/>
    </row>
    <row r="290" spans="2:14" ht="18.75">
      <c r="B290" s="420"/>
      <c r="C290" s="50" t="s">
        <v>295</v>
      </c>
      <c r="D290" s="46" t="s">
        <v>55</v>
      </c>
      <c r="E290" s="38">
        <f>0.5*(E230)*F186</f>
        <v>1.6875</v>
      </c>
      <c r="F290" s="11">
        <v>1.5</v>
      </c>
      <c r="G290" s="12">
        <f>E290*F290</f>
        <v>2.53125</v>
      </c>
      <c r="H290" s="31"/>
      <c r="I290" s="31"/>
      <c r="J290" s="31"/>
      <c r="K290" s="349"/>
      <c r="L290" s="349"/>
      <c r="M290" s="349"/>
      <c r="N290" s="421"/>
    </row>
    <row r="291" spans="2:14" ht="18.75">
      <c r="B291" s="420"/>
      <c r="C291" s="51" t="s">
        <v>296</v>
      </c>
      <c r="D291" s="40" t="s">
        <v>54</v>
      </c>
      <c r="E291" s="38">
        <f>0.5*(E229)*F186</f>
        <v>14.15625</v>
      </c>
      <c r="F291" s="11">
        <v>1.5</v>
      </c>
      <c r="G291" s="12">
        <f>E291*F291</f>
        <v>21.234375</v>
      </c>
      <c r="H291" s="31"/>
      <c r="I291" s="31"/>
      <c r="J291" s="31"/>
      <c r="K291" s="349"/>
      <c r="L291" s="349"/>
      <c r="M291" s="349"/>
      <c r="N291" s="421"/>
    </row>
    <row r="292" spans="2:14" ht="16.5">
      <c r="B292" s="420"/>
      <c r="C292" s="51" t="s">
        <v>297</v>
      </c>
      <c r="D292" s="40" t="s">
        <v>53</v>
      </c>
      <c r="E292" s="38">
        <f>E290+2*E291</f>
        <v>30</v>
      </c>
      <c r="F292" s="11">
        <v>1.5</v>
      </c>
      <c r="G292" s="12">
        <f>E292*F292</f>
        <v>45</v>
      </c>
      <c r="H292" s="31"/>
      <c r="I292" s="31"/>
      <c r="J292" s="31"/>
      <c r="K292" s="349"/>
      <c r="L292" s="349"/>
      <c r="M292" s="349"/>
      <c r="N292" s="421"/>
    </row>
    <row r="293" spans="2:14" ht="18.75">
      <c r="B293" s="420"/>
      <c r="C293" s="62" t="s">
        <v>292</v>
      </c>
      <c r="D293" s="46"/>
      <c r="E293" s="45" t="s">
        <v>59</v>
      </c>
      <c r="F293" s="36" t="s">
        <v>263</v>
      </c>
      <c r="G293" s="63" t="s">
        <v>59</v>
      </c>
      <c r="H293" s="31"/>
      <c r="I293" s="31"/>
      <c r="J293" s="31"/>
      <c r="K293" s="349"/>
      <c r="L293" s="349"/>
      <c r="M293" s="349"/>
      <c r="N293" s="421"/>
    </row>
    <row r="294" spans="2:14" ht="18.75">
      <c r="B294" s="420"/>
      <c r="C294" s="50" t="s">
        <v>295</v>
      </c>
      <c r="D294" s="46" t="s">
        <v>57</v>
      </c>
      <c r="E294" s="38">
        <f>(E230)*F186*F186/8</f>
        <v>3.1640625</v>
      </c>
      <c r="F294" s="11">
        <v>1.5</v>
      </c>
      <c r="G294" s="12">
        <f>E294*F294</f>
        <v>4.74609375</v>
      </c>
      <c r="H294" s="31"/>
      <c r="I294" s="31"/>
      <c r="J294" s="31"/>
      <c r="K294" s="349"/>
      <c r="L294" s="349"/>
      <c r="M294" s="349"/>
      <c r="N294" s="421"/>
    </row>
    <row r="295" spans="2:14" ht="18.75">
      <c r="B295" s="420"/>
      <c r="C295" s="51" t="s">
        <v>296</v>
      </c>
      <c r="D295" s="40" t="s">
        <v>58</v>
      </c>
      <c r="E295" s="38">
        <f>(E229)*F186*F186/8</f>
        <v>26.54296875</v>
      </c>
      <c r="F295" s="11">
        <v>1.5</v>
      </c>
      <c r="G295" s="12">
        <f>E295*F295</f>
        <v>39.814453125</v>
      </c>
      <c r="H295" s="31"/>
      <c r="I295" s="31"/>
      <c r="J295" s="31"/>
      <c r="K295" s="349"/>
      <c r="L295" s="349"/>
      <c r="M295" s="349"/>
      <c r="N295" s="421"/>
    </row>
    <row r="296" spans="2:14" ht="16.5">
      <c r="B296" s="437"/>
      <c r="C296" s="52" t="s">
        <v>297</v>
      </c>
      <c r="D296" s="41" t="s">
        <v>56</v>
      </c>
      <c r="E296" s="39">
        <f>E294+2*E295</f>
        <v>56.25</v>
      </c>
      <c r="F296" s="30">
        <v>1.5</v>
      </c>
      <c r="G296" s="53">
        <f>E296*F296</f>
        <v>84.375</v>
      </c>
      <c r="H296" s="131"/>
      <c r="I296" s="31"/>
      <c r="J296" s="31"/>
      <c r="K296" s="349"/>
      <c r="L296" s="349"/>
      <c r="M296" s="349"/>
      <c r="N296" s="421"/>
    </row>
    <row r="297" spans="2:14" ht="15">
      <c r="B297" s="420"/>
      <c r="C297" s="55" t="s">
        <v>293</v>
      </c>
      <c r="D297" s="32"/>
      <c r="E297" s="74" t="s">
        <v>298</v>
      </c>
      <c r="F297" s="33">
        <f xml:space="preserve"> F129/2-80/2</f>
        <v>363</v>
      </c>
      <c r="G297" s="75" t="s">
        <v>6</v>
      </c>
      <c r="H297" s="31"/>
      <c r="I297" s="31"/>
      <c r="J297" s="31"/>
      <c r="K297" s="349"/>
      <c r="L297" s="349"/>
      <c r="M297" s="349"/>
      <c r="N297" s="421"/>
    </row>
    <row r="298" spans="2:14" ht="18.75">
      <c r="B298" s="420"/>
      <c r="C298" s="55"/>
      <c r="D298" s="34"/>
      <c r="E298" s="45" t="s">
        <v>59</v>
      </c>
      <c r="F298" s="36" t="s">
        <v>263</v>
      </c>
      <c r="G298" s="63" t="s">
        <v>59</v>
      </c>
      <c r="H298" s="31"/>
      <c r="I298" s="31"/>
      <c r="J298" s="31"/>
      <c r="K298" s="349"/>
      <c r="L298" s="349"/>
      <c r="M298" s="349"/>
      <c r="N298" s="421"/>
    </row>
    <row r="299" spans="2:14" ht="19.5" thickBot="1">
      <c r="B299" s="420"/>
      <c r="C299" s="57" t="s">
        <v>296</v>
      </c>
      <c r="D299" s="58" t="s">
        <v>60</v>
      </c>
      <c r="E299" s="13">
        <f>0.5*(E229)*F186*F297/1000</f>
        <v>5.1387187499999998</v>
      </c>
      <c r="F299" s="13">
        <v>1.5</v>
      </c>
      <c r="G299" s="14">
        <f>E299*F299</f>
        <v>7.7080781250000001</v>
      </c>
      <c r="H299" s="31"/>
      <c r="I299" s="31"/>
      <c r="J299" s="31"/>
      <c r="K299" s="349"/>
      <c r="L299" s="349"/>
      <c r="M299" s="349"/>
      <c r="N299" s="421"/>
    </row>
    <row r="300" spans="2:14" ht="8.1" customHeight="1" thickBot="1">
      <c r="B300" s="420"/>
      <c r="C300" s="59"/>
      <c r="D300" s="15"/>
      <c r="E300" s="60"/>
      <c r="F300" s="17"/>
      <c r="G300" s="61"/>
      <c r="H300" s="31"/>
      <c r="I300" s="31"/>
      <c r="J300" s="31"/>
      <c r="K300" s="349"/>
      <c r="L300" s="349"/>
      <c r="M300" s="349"/>
      <c r="N300" s="421"/>
    </row>
    <row r="301" spans="2:14" ht="15.75" thickBot="1">
      <c r="B301" s="420"/>
      <c r="C301" s="76" t="s">
        <v>305</v>
      </c>
      <c r="D301" s="77"/>
      <c r="E301" s="78"/>
      <c r="F301" s="79"/>
      <c r="G301" s="80"/>
      <c r="H301" s="31"/>
      <c r="I301" s="31"/>
      <c r="J301" s="31"/>
      <c r="K301" s="349"/>
      <c r="L301" s="349"/>
      <c r="M301" s="349"/>
      <c r="N301" s="421"/>
    </row>
    <row r="302" spans="2:14" ht="15" customHeight="1">
      <c r="B302" s="420"/>
      <c r="C302" s="1052" t="s">
        <v>299</v>
      </c>
      <c r="D302" s="43"/>
      <c r="E302" s="44" t="s">
        <v>46</v>
      </c>
      <c r="F302" s="44"/>
      <c r="G302" s="4" t="s">
        <v>46</v>
      </c>
      <c r="H302" s="31"/>
      <c r="I302" s="31"/>
      <c r="J302" s="31"/>
      <c r="K302" s="349"/>
      <c r="L302" s="349"/>
      <c r="M302" s="349"/>
      <c r="N302" s="421"/>
    </row>
    <row r="303" spans="2:14" ht="16.5">
      <c r="B303" s="420"/>
      <c r="C303" s="1050"/>
      <c r="D303" s="354" t="s">
        <v>53</v>
      </c>
      <c r="E303" s="20">
        <f>E278+E292</f>
        <v>132.76629374999999</v>
      </c>
      <c r="F303" s="29"/>
      <c r="G303" s="21">
        <f>G278+G292</f>
        <v>183.7344965625</v>
      </c>
      <c r="H303" s="31"/>
      <c r="I303" s="31"/>
      <c r="J303" s="31"/>
      <c r="K303" s="349"/>
      <c r="L303" s="349"/>
      <c r="M303" s="349"/>
      <c r="N303" s="421"/>
    </row>
    <row r="304" spans="2:14" ht="15" customHeight="1">
      <c r="B304" s="420"/>
      <c r="C304" s="1050" t="s">
        <v>300</v>
      </c>
      <c r="D304" s="28"/>
      <c r="E304" s="354" t="s">
        <v>59</v>
      </c>
      <c r="F304" s="354"/>
      <c r="G304" s="3" t="s">
        <v>59</v>
      </c>
      <c r="H304" s="31"/>
      <c r="I304" s="31"/>
      <c r="J304" s="31"/>
      <c r="K304" s="349"/>
      <c r="L304" s="349"/>
      <c r="M304" s="349"/>
      <c r="N304" s="421"/>
    </row>
    <row r="305" spans="2:14" ht="16.5">
      <c r="B305" s="420"/>
      <c r="C305" s="1050"/>
      <c r="D305" s="354" t="s">
        <v>56</v>
      </c>
      <c r="E305" s="20">
        <f>E282+E296</f>
        <v>248.93680078124999</v>
      </c>
      <c r="F305" s="29"/>
      <c r="G305" s="21">
        <f>G282+G296</f>
        <v>344.50218105468753</v>
      </c>
      <c r="H305" s="31"/>
      <c r="I305" s="19"/>
      <c r="J305" s="31"/>
      <c r="K305" s="349"/>
      <c r="L305" s="349"/>
      <c r="M305" s="349"/>
      <c r="N305" s="421"/>
    </row>
    <row r="306" spans="2:14">
      <c r="B306" s="420"/>
      <c r="C306" s="1050" t="s">
        <v>302</v>
      </c>
      <c r="D306" s="354"/>
      <c r="E306" s="354" t="s">
        <v>59</v>
      </c>
      <c r="F306" s="354"/>
      <c r="G306" s="3" t="s">
        <v>59</v>
      </c>
      <c r="H306" s="31"/>
      <c r="I306" s="19"/>
      <c r="J306" s="31"/>
      <c r="K306" s="349"/>
      <c r="L306" s="349"/>
      <c r="M306" s="349"/>
      <c r="N306" s="421"/>
    </row>
    <row r="307" spans="2:14" ht="19.5" thickBot="1">
      <c r="B307" s="420"/>
      <c r="C307" s="1051"/>
      <c r="D307" s="5" t="s">
        <v>130</v>
      </c>
      <c r="E307" s="48">
        <f>E285+E299</f>
        <v>20.476603125</v>
      </c>
      <c r="F307" s="48"/>
      <c r="G307" s="49">
        <f>G285+G299</f>
        <v>28.414222031250002</v>
      </c>
      <c r="H307" s="31"/>
      <c r="I307" s="19"/>
      <c r="J307" s="31"/>
      <c r="K307" s="349"/>
      <c r="L307" s="349"/>
      <c r="M307" s="349"/>
      <c r="N307" s="421"/>
    </row>
    <row r="308" spans="2:14">
      <c r="B308" s="420"/>
      <c r="C308" s="31"/>
      <c r="D308" s="31"/>
      <c r="E308" s="31"/>
      <c r="F308" s="31"/>
      <c r="G308" s="31"/>
      <c r="H308" s="31"/>
      <c r="I308" s="31"/>
      <c r="J308" s="31"/>
      <c r="K308" s="349"/>
      <c r="L308" s="349"/>
      <c r="M308" s="349"/>
      <c r="N308" s="421"/>
    </row>
    <row r="309" spans="2:14">
      <c r="B309" s="420"/>
      <c r="C309" s="31"/>
      <c r="D309" s="31"/>
      <c r="E309" s="31"/>
      <c r="F309" s="31"/>
      <c r="G309" s="31"/>
      <c r="H309" s="31"/>
      <c r="I309" s="31"/>
      <c r="J309" s="31"/>
      <c r="K309" s="349"/>
      <c r="L309" s="349"/>
      <c r="M309" s="349"/>
      <c r="N309" s="421"/>
    </row>
    <row r="310" spans="2:14" ht="15" thickBot="1">
      <c r="B310" s="420"/>
      <c r="C310" s="31"/>
      <c r="D310" s="31"/>
      <c r="E310" s="31"/>
      <c r="F310" s="31"/>
      <c r="G310" s="31"/>
      <c r="H310" s="31"/>
      <c r="I310" s="31"/>
      <c r="J310" s="31"/>
      <c r="K310" s="349"/>
      <c r="L310" s="349"/>
      <c r="M310" s="349"/>
      <c r="N310" s="421"/>
    </row>
    <row r="311" spans="2:14" ht="15.75" thickBot="1">
      <c r="B311" s="420"/>
      <c r="C311" s="76" t="s">
        <v>303</v>
      </c>
      <c r="D311" s="77"/>
      <c r="E311" s="77"/>
      <c r="F311" s="77"/>
      <c r="G311" s="81"/>
      <c r="H311" s="31"/>
      <c r="I311" s="31"/>
      <c r="J311" s="31"/>
      <c r="K311" s="349"/>
      <c r="L311" s="349"/>
      <c r="M311" s="349"/>
      <c r="N311" s="421"/>
    </row>
    <row r="312" spans="2:14" ht="15">
      <c r="B312" s="420"/>
      <c r="C312" s="69"/>
      <c r="D312" s="31"/>
      <c r="E312" s="35" t="s">
        <v>301</v>
      </c>
      <c r="F312" s="37"/>
      <c r="G312" s="63" t="s">
        <v>0</v>
      </c>
      <c r="H312" s="31"/>
      <c r="I312" s="31"/>
      <c r="J312" s="31"/>
      <c r="K312" s="349"/>
      <c r="L312" s="349"/>
      <c r="M312" s="349"/>
      <c r="N312" s="421"/>
    </row>
    <row r="313" spans="2:14" ht="18.75">
      <c r="B313" s="420"/>
      <c r="C313" s="55" t="s">
        <v>288</v>
      </c>
      <c r="D313" s="34"/>
      <c r="E313" s="45" t="s">
        <v>46</v>
      </c>
      <c r="F313" s="36" t="s">
        <v>263</v>
      </c>
      <c r="G313" s="63" t="s">
        <v>46</v>
      </c>
      <c r="H313" s="31"/>
      <c r="I313" s="31"/>
      <c r="J313" s="31"/>
      <c r="K313" s="349"/>
      <c r="L313" s="349"/>
      <c r="M313" s="349"/>
      <c r="N313" s="421"/>
    </row>
    <row r="314" spans="2:14" ht="18.75">
      <c r="B314" s="420"/>
      <c r="C314" s="50" t="s">
        <v>289</v>
      </c>
      <c r="D314" s="46" t="s">
        <v>55</v>
      </c>
      <c r="E314" s="11">
        <f>0.5*(E197)*F186</f>
        <v>18.260043749999998</v>
      </c>
      <c r="F314" s="11">
        <v>1.35</v>
      </c>
      <c r="G314" s="12">
        <f>E314*F314</f>
        <v>24.6510590625</v>
      </c>
      <c r="H314" s="31"/>
      <c r="I314" s="31"/>
      <c r="J314" s="31"/>
      <c r="K314" s="349"/>
      <c r="L314" s="349"/>
      <c r="M314" s="349"/>
      <c r="N314" s="421"/>
    </row>
    <row r="315" spans="2:14" ht="18.75">
      <c r="B315" s="420"/>
      <c r="C315" s="51" t="s">
        <v>290</v>
      </c>
      <c r="D315" s="40" t="s">
        <v>54</v>
      </c>
      <c r="E315" s="11">
        <f>0.5*(E219)*F186</f>
        <v>97.462499999999991</v>
      </c>
      <c r="F315" s="11">
        <v>1.35</v>
      </c>
      <c r="G315" s="12">
        <f>E315*F315</f>
        <v>131.574375</v>
      </c>
      <c r="H315" s="31"/>
      <c r="I315" s="31"/>
      <c r="J315" s="31"/>
      <c r="K315" s="349"/>
      <c r="L315" s="349"/>
      <c r="M315" s="349"/>
      <c r="N315" s="421"/>
    </row>
    <row r="316" spans="2:14" ht="16.5">
      <c r="B316" s="420"/>
      <c r="C316" s="51" t="s">
        <v>291</v>
      </c>
      <c r="D316" s="40" t="s">
        <v>53</v>
      </c>
      <c r="E316" s="11">
        <f>E314+2*E315</f>
        <v>213.18504374999998</v>
      </c>
      <c r="F316" s="11">
        <v>1.35</v>
      </c>
      <c r="G316" s="12">
        <f>E316*F316</f>
        <v>287.7998090625</v>
      </c>
      <c r="H316" s="31"/>
      <c r="I316" s="31"/>
      <c r="J316" s="31"/>
      <c r="K316" s="349"/>
      <c r="L316" s="349"/>
      <c r="M316" s="349"/>
      <c r="N316" s="421"/>
    </row>
    <row r="317" spans="2:14" ht="18.75">
      <c r="B317" s="420"/>
      <c r="C317" s="62" t="s">
        <v>292</v>
      </c>
      <c r="D317" s="47"/>
      <c r="E317" s="45" t="s">
        <v>59</v>
      </c>
      <c r="F317" s="36" t="s">
        <v>263</v>
      </c>
      <c r="G317" s="63" t="s">
        <v>59</v>
      </c>
      <c r="H317" s="31"/>
      <c r="I317" s="31"/>
      <c r="J317" s="31"/>
      <c r="K317" s="349"/>
      <c r="L317" s="349"/>
      <c r="M317" s="349"/>
      <c r="N317" s="421"/>
    </row>
    <row r="318" spans="2:14" ht="18.75">
      <c r="B318" s="420"/>
      <c r="C318" s="50" t="s">
        <v>289</v>
      </c>
      <c r="D318" s="46" t="s">
        <v>57</v>
      </c>
      <c r="E318" s="11">
        <f>(E197)*F186*F186/8</f>
        <v>34.237582031249993</v>
      </c>
      <c r="F318" s="11">
        <v>1.35</v>
      </c>
      <c r="G318" s="12">
        <f>E318*F318</f>
        <v>46.220735742187493</v>
      </c>
      <c r="H318" s="31"/>
      <c r="I318" s="31"/>
      <c r="J318" s="31"/>
      <c r="K318" s="349"/>
      <c r="L318" s="349"/>
      <c r="M318" s="349"/>
      <c r="N318" s="421"/>
    </row>
    <row r="319" spans="2:14" ht="18.75">
      <c r="B319" s="420"/>
      <c r="C319" s="51" t="s">
        <v>290</v>
      </c>
      <c r="D319" s="40" t="s">
        <v>58</v>
      </c>
      <c r="E319" s="11">
        <f>(E219)*F186*F186/8</f>
        <v>182.74218749999997</v>
      </c>
      <c r="F319" s="11">
        <v>1.35</v>
      </c>
      <c r="G319" s="12">
        <f>E319*F319</f>
        <v>246.70195312499999</v>
      </c>
      <c r="H319" s="31"/>
      <c r="I319" s="31"/>
      <c r="J319" s="31"/>
      <c r="K319" s="349"/>
      <c r="L319" s="349"/>
      <c r="M319" s="349"/>
      <c r="N319" s="421"/>
    </row>
    <row r="320" spans="2:14" ht="17.25" thickBot="1">
      <c r="B320" s="420"/>
      <c r="C320" s="64" t="s">
        <v>291</v>
      </c>
      <c r="D320" s="65" t="s">
        <v>56</v>
      </c>
      <c r="E320" s="13">
        <f>E318+2*E319</f>
        <v>399.72195703124993</v>
      </c>
      <c r="F320" s="13">
        <v>1.35</v>
      </c>
      <c r="G320" s="14">
        <f>E320*F320</f>
        <v>539.62464199218743</v>
      </c>
      <c r="H320" s="31"/>
      <c r="I320" s="31"/>
      <c r="J320" s="31"/>
      <c r="K320" s="349"/>
      <c r="L320" s="349"/>
      <c r="M320" s="349"/>
      <c r="N320" s="421"/>
    </row>
    <row r="321" spans="2:14" ht="15.75" thickBot="1">
      <c r="B321" s="420"/>
      <c r="C321" s="76" t="s">
        <v>304</v>
      </c>
      <c r="D321" s="77"/>
      <c r="E321" s="77"/>
      <c r="F321" s="77"/>
      <c r="G321" s="81"/>
      <c r="H321" s="31"/>
      <c r="I321" s="31"/>
      <c r="J321" s="31"/>
      <c r="K321" s="349"/>
      <c r="L321" s="349"/>
      <c r="M321" s="349"/>
      <c r="N321" s="421"/>
    </row>
    <row r="322" spans="2:14" ht="15">
      <c r="B322" s="420"/>
      <c r="C322" s="67"/>
      <c r="D322" s="18"/>
      <c r="E322" s="89" t="s">
        <v>301</v>
      </c>
      <c r="F322" s="18"/>
      <c r="G322" s="16" t="s">
        <v>0</v>
      </c>
      <c r="H322" s="31"/>
      <c r="I322" s="31"/>
      <c r="J322" s="31"/>
      <c r="K322" s="349"/>
      <c r="L322" s="349"/>
      <c r="M322" s="349"/>
      <c r="N322" s="421"/>
    </row>
    <row r="323" spans="2:14" ht="18.75">
      <c r="B323" s="420"/>
      <c r="C323" s="55" t="s">
        <v>288</v>
      </c>
      <c r="D323" s="34"/>
      <c r="E323" s="353" t="s">
        <v>46</v>
      </c>
      <c r="F323" s="27" t="s">
        <v>263</v>
      </c>
      <c r="G323" s="56" t="s">
        <v>46</v>
      </c>
      <c r="H323" s="31"/>
      <c r="I323" s="31"/>
      <c r="J323" s="31"/>
      <c r="K323" s="349"/>
      <c r="L323" s="349"/>
      <c r="M323" s="349"/>
      <c r="N323" s="421"/>
    </row>
    <row r="324" spans="2:14" ht="18.75">
      <c r="B324" s="420"/>
      <c r="C324" s="50" t="s">
        <v>295</v>
      </c>
      <c r="D324" s="46" t="s">
        <v>55</v>
      </c>
      <c r="E324" s="11">
        <f>0.5*(E238)*F186</f>
        <v>13.331250000000001</v>
      </c>
      <c r="F324" s="11">
        <v>1.35</v>
      </c>
      <c r="G324" s="12">
        <f>E324*F324</f>
        <v>17.997187500000003</v>
      </c>
      <c r="H324" s="31"/>
      <c r="I324" s="31"/>
      <c r="J324" s="31"/>
      <c r="K324" s="349"/>
      <c r="L324" s="349"/>
      <c r="M324" s="349"/>
      <c r="N324" s="421"/>
    </row>
    <row r="325" spans="2:14" ht="18.75">
      <c r="B325" s="420"/>
      <c r="C325" s="51" t="s">
        <v>296</v>
      </c>
      <c r="D325" s="40" t="s">
        <v>54</v>
      </c>
      <c r="E325" s="11">
        <f>0.5*(E237)*F186</f>
        <v>111.83437500000001</v>
      </c>
      <c r="F325" s="11">
        <v>1.35</v>
      </c>
      <c r="G325" s="12">
        <f>E325*F325</f>
        <v>150.97640625000003</v>
      </c>
      <c r="H325" s="31"/>
      <c r="I325" s="31"/>
      <c r="J325" s="31"/>
      <c r="K325" s="349"/>
      <c r="L325" s="349"/>
      <c r="M325" s="349"/>
      <c r="N325" s="421"/>
    </row>
    <row r="326" spans="2:14" ht="16.5">
      <c r="B326" s="420"/>
      <c r="C326" s="51" t="s">
        <v>297</v>
      </c>
      <c r="D326" s="40" t="s">
        <v>53</v>
      </c>
      <c r="E326" s="11">
        <f>E324+2*E325</f>
        <v>237.00000000000003</v>
      </c>
      <c r="F326" s="11">
        <v>1.5</v>
      </c>
      <c r="G326" s="12">
        <f>E326*F326</f>
        <v>355.50000000000006</v>
      </c>
      <c r="H326" s="31"/>
      <c r="I326" s="31"/>
      <c r="J326" s="31"/>
      <c r="K326" s="349"/>
      <c r="L326" s="349"/>
      <c r="M326" s="349"/>
      <c r="N326" s="421"/>
    </row>
    <row r="327" spans="2:14" ht="18.75">
      <c r="B327" s="420"/>
      <c r="C327" s="62" t="s">
        <v>292</v>
      </c>
      <c r="D327" s="46"/>
      <c r="E327" s="26" t="s">
        <v>59</v>
      </c>
      <c r="F327" s="27" t="s">
        <v>263</v>
      </c>
      <c r="G327" s="56" t="s">
        <v>59</v>
      </c>
      <c r="H327" s="31"/>
      <c r="I327" s="31"/>
      <c r="J327" s="31"/>
      <c r="K327" s="349"/>
      <c r="L327" s="349"/>
      <c r="M327" s="349"/>
      <c r="N327" s="421"/>
    </row>
    <row r="328" spans="2:14" ht="18.75">
      <c r="B328" s="420"/>
      <c r="C328" s="50" t="s">
        <v>295</v>
      </c>
      <c r="D328" s="46" t="s">
        <v>57</v>
      </c>
      <c r="E328" s="11">
        <f>(E238)*F186*F186/8</f>
        <v>24.99609375</v>
      </c>
      <c r="F328" s="11">
        <v>1.5</v>
      </c>
      <c r="G328" s="12">
        <f>E328*F328</f>
        <v>37.494140625</v>
      </c>
      <c r="H328" s="31"/>
      <c r="I328" s="31"/>
      <c r="J328" s="31"/>
      <c r="K328" s="349"/>
      <c r="L328" s="349"/>
      <c r="M328" s="349"/>
      <c r="N328" s="421"/>
    </row>
    <row r="329" spans="2:14" ht="18.75">
      <c r="B329" s="420"/>
      <c r="C329" s="51" t="s">
        <v>296</v>
      </c>
      <c r="D329" s="40" t="s">
        <v>58</v>
      </c>
      <c r="E329" s="11">
        <f>(E237)*F186*F186/8</f>
        <v>209.68945312500003</v>
      </c>
      <c r="F329" s="11">
        <v>1.5</v>
      </c>
      <c r="G329" s="12">
        <f>E329*F329</f>
        <v>314.53417968750006</v>
      </c>
      <c r="H329" s="31"/>
      <c r="I329" s="31"/>
      <c r="J329" s="31"/>
      <c r="K329" s="349"/>
      <c r="L329" s="349"/>
      <c r="M329" s="349"/>
      <c r="N329" s="421"/>
    </row>
    <row r="330" spans="2:14" ht="16.5">
      <c r="B330" s="420"/>
      <c r="C330" s="52" t="s">
        <v>297</v>
      </c>
      <c r="D330" s="41" t="s">
        <v>56</v>
      </c>
      <c r="E330" s="11">
        <f>E328+2*E329</f>
        <v>444.37500000000006</v>
      </c>
      <c r="F330" s="11">
        <v>1.5</v>
      </c>
      <c r="G330" s="12">
        <f>E330*F330</f>
        <v>666.56250000000011</v>
      </c>
      <c r="H330" s="31"/>
      <c r="I330" s="31"/>
      <c r="J330" s="31"/>
      <c r="K330" s="349"/>
      <c r="L330" s="349"/>
      <c r="M330" s="349"/>
      <c r="N330" s="421"/>
    </row>
    <row r="331" spans="2:14" ht="15">
      <c r="B331" s="420"/>
      <c r="C331" s="55" t="s">
        <v>293</v>
      </c>
      <c r="D331" s="32"/>
      <c r="E331" s="85" t="s">
        <v>298</v>
      </c>
      <c r="F331" s="24">
        <f xml:space="preserve"> F129/2-80/2</f>
        <v>363</v>
      </c>
      <c r="G331" s="86" t="s">
        <v>6</v>
      </c>
      <c r="H331" s="31"/>
      <c r="I331" s="31"/>
      <c r="J331" s="31"/>
      <c r="K331" s="349"/>
      <c r="L331" s="349"/>
      <c r="M331" s="349"/>
      <c r="N331" s="421"/>
    </row>
    <row r="332" spans="2:14" ht="18.75">
      <c r="B332" s="420"/>
      <c r="C332" s="55"/>
      <c r="D332" s="34"/>
      <c r="E332" s="26" t="s">
        <v>59</v>
      </c>
      <c r="F332" s="27" t="s">
        <v>263</v>
      </c>
      <c r="G332" s="56" t="s">
        <v>59</v>
      </c>
      <c r="H332" s="31"/>
      <c r="I332" s="31"/>
      <c r="J332" s="31"/>
      <c r="K332" s="349"/>
      <c r="L332" s="349"/>
      <c r="M332" s="349"/>
      <c r="N332" s="421"/>
    </row>
    <row r="333" spans="2:14" ht="19.5" thickBot="1">
      <c r="B333" s="420"/>
      <c r="C333" s="57" t="s">
        <v>296</v>
      </c>
      <c r="D333" s="58" t="s">
        <v>60</v>
      </c>
      <c r="E333" s="13">
        <f>0.5*(E237)*F186*F331/1000</f>
        <v>40.595878125000006</v>
      </c>
      <c r="F333" s="13">
        <v>1.5</v>
      </c>
      <c r="G333" s="14">
        <f>E333*F333</f>
        <v>60.893817187500005</v>
      </c>
      <c r="H333" s="31"/>
      <c r="I333" s="31"/>
      <c r="J333" s="31"/>
      <c r="K333" s="349"/>
      <c r="L333" s="349"/>
      <c r="M333" s="349"/>
      <c r="N333" s="421"/>
    </row>
    <row r="334" spans="2:14" ht="8.1" customHeight="1" thickBot="1">
      <c r="B334" s="420"/>
      <c r="C334" s="87"/>
      <c r="D334" s="88"/>
      <c r="E334" s="82"/>
      <c r="F334" s="83"/>
      <c r="G334" s="84"/>
      <c r="H334" s="31"/>
      <c r="I334" s="31"/>
      <c r="J334" s="31"/>
      <c r="K334" s="349"/>
      <c r="L334" s="349"/>
      <c r="M334" s="349"/>
      <c r="N334" s="421"/>
    </row>
    <row r="335" spans="2:14" ht="15.75" thickBot="1">
      <c r="B335" s="420"/>
      <c r="C335" s="76" t="s">
        <v>306</v>
      </c>
      <c r="D335" s="77"/>
      <c r="E335" s="78"/>
      <c r="F335" s="79"/>
      <c r="G335" s="80"/>
      <c r="H335" s="31"/>
      <c r="I335" s="31"/>
      <c r="J335" s="31"/>
      <c r="K335" s="349"/>
      <c r="L335" s="349"/>
      <c r="M335" s="349"/>
      <c r="N335" s="421"/>
    </row>
    <row r="336" spans="2:14">
      <c r="B336" s="420"/>
      <c r="C336" s="1053" t="s">
        <v>299</v>
      </c>
      <c r="D336" s="90"/>
      <c r="E336" s="22" t="s">
        <v>46</v>
      </c>
      <c r="F336" s="22"/>
      <c r="G336" s="23" t="s">
        <v>46</v>
      </c>
      <c r="H336" s="31"/>
      <c r="I336" s="31"/>
      <c r="J336" s="31"/>
      <c r="K336" s="349"/>
      <c r="L336" s="349"/>
      <c r="M336" s="349"/>
      <c r="N336" s="421"/>
    </row>
    <row r="337" spans="2:14" ht="16.5">
      <c r="B337" s="420"/>
      <c r="C337" s="1050"/>
      <c r="D337" s="354" t="s">
        <v>53</v>
      </c>
      <c r="E337" s="92">
        <f>E316+E326</f>
        <v>450.18504374999998</v>
      </c>
      <c r="F337" s="29"/>
      <c r="G337" s="94">
        <f>G316+G326</f>
        <v>643.29980906250012</v>
      </c>
      <c r="H337" s="31"/>
      <c r="I337" s="31"/>
      <c r="J337" s="31"/>
      <c r="K337" s="349"/>
      <c r="L337" s="349"/>
      <c r="M337" s="349"/>
      <c r="N337" s="421"/>
    </row>
    <row r="338" spans="2:14">
      <c r="B338" s="420"/>
      <c r="C338" s="1050" t="s">
        <v>300</v>
      </c>
      <c r="D338" s="28"/>
      <c r="E338" s="354" t="s">
        <v>59</v>
      </c>
      <c r="F338" s="354"/>
      <c r="G338" s="3" t="s">
        <v>59</v>
      </c>
      <c r="H338" s="31"/>
      <c r="I338" s="31"/>
      <c r="J338" s="31"/>
      <c r="K338" s="349"/>
      <c r="L338" s="349"/>
      <c r="M338" s="349"/>
      <c r="N338" s="421"/>
    </row>
    <row r="339" spans="2:14" ht="17.25" thickBot="1">
      <c r="B339" s="420"/>
      <c r="C339" s="1051"/>
      <c r="D339" s="5" t="s">
        <v>56</v>
      </c>
      <c r="E339" s="93">
        <f>E320+E330</f>
        <v>844.09695703124999</v>
      </c>
      <c r="F339" s="91"/>
      <c r="G339" s="95">
        <f>G320+G330</f>
        <v>1206.1871419921877</v>
      </c>
      <c r="H339" s="31"/>
      <c r="I339" s="31"/>
      <c r="J339" s="31"/>
      <c r="K339" s="349"/>
      <c r="L339" s="349"/>
      <c r="M339" s="349"/>
      <c r="N339" s="421"/>
    </row>
    <row r="340" spans="2:14">
      <c r="B340" s="420"/>
      <c r="C340" s="31"/>
      <c r="D340" s="31"/>
      <c r="E340" s="31"/>
      <c r="F340" s="31"/>
      <c r="G340" s="31"/>
      <c r="H340" s="31"/>
      <c r="I340" s="31"/>
      <c r="J340" s="31"/>
      <c r="K340" s="349"/>
      <c r="L340" s="349"/>
      <c r="M340" s="349"/>
      <c r="N340" s="421"/>
    </row>
    <row r="341" spans="2:14">
      <c r="B341" s="420"/>
      <c r="C341" s="31"/>
      <c r="D341" s="31"/>
      <c r="E341" s="31"/>
      <c r="F341" s="31"/>
      <c r="G341" s="31"/>
      <c r="H341" s="31"/>
      <c r="I341" s="31"/>
      <c r="J341" s="31"/>
      <c r="K341" s="349"/>
      <c r="L341" s="349"/>
      <c r="M341" s="349"/>
      <c r="N341" s="421"/>
    </row>
    <row r="342" spans="2:14" ht="30" customHeight="1">
      <c r="B342" s="420"/>
      <c r="C342" s="7" t="s">
        <v>308</v>
      </c>
      <c r="D342" s="8"/>
      <c r="E342" s="8"/>
      <c r="F342" s="8"/>
      <c r="G342" s="8"/>
      <c r="H342" s="8"/>
      <c r="I342" s="8"/>
      <c r="J342" s="8"/>
      <c r="K342" s="349"/>
      <c r="L342" s="349"/>
      <c r="M342" s="349"/>
      <c r="N342" s="421"/>
    </row>
    <row r="343" spans="2:14">
      <c r="B343" s="420"/>
      <c r="C343" s="31"/>
      <c r="D343" s="31"/>
      <c r="E343" s="31"/>
      <c r="F343" s="31"/>
      <c r="G343" s="31"/>
      <c r="H343" s="31"/>
      <c r="I343" s="31"/>
      <c r="J343" s="31"/>
      <c r="K343" s="349"/>
      <c r="L343" s="349"/>
      <c r="M343" s="349"/>
      <c r="N343" s="421"/>
    </row>
    <row r="344" spans="2:14">
      <c r="B344" s="420"/>
      <c r="C344" s="31"/>
      <c r="D344" s="31"/>
      <c r="E344" s="31"/>
      <c r="F344" s="31"/>
      <c r="G344" s="31"/>
      <c r="H344" s="31"/>
      <c r="I344" s="31"/>
      <c r="J344" s="31"/>
      <c r="K344" s="349"/>
      <c r="L344" s="349"/>
      <c r="M344" s="349"/>
      <c r="N344" s="421"/>
    </row>
    <row r="345" spans="2:14">
      <c r="B345" s="420"/>
      <c r="C345" s="31"/>
      <c r="D345" s="31"/>
      <c r="E345" s="31"/>
      <c r="F345" s="31"/>
      <c r="G345" s="31"/>
      <c r="H345" s="31"/>
      <c r="I345" s="31"/>
      <c r="J345" s="31"/>
      <c r="K345" s="349"/>
      <c r="L345" s="349"/>
      <c r="M345" s="349"/>
      <c r="N345" s="421"/>
    </row>
    <row r="346" spans="2:14">
      <c r="B346" s="420"/>
      <c r="C346" s="31"/>
      <c r="D346" s="31"/>
      <c r="E346" s="31"/>
      <c r="F346" s="31"/>
      <c r="G346" s="31"/>
      <c r="H346" s="31"/>
      <c r="I346" s="31"/>
      <c r="J346" s="31"/>
      <c r="K346" s="349"/>
      <c r="L346" s="349"/>
      <c r="M346" s="349"/>
      <c r="N346" s="421"/>
    </row>
    <row r="347" spans="2:14">
      <c r="B347" s="420"/>
      <c r="C347" s="31"/>
      <c r="D347" s="31"/>
      <c r="E347" s="31"/>
      <c r="F347" s="31"/>
      <c r="G347" s="31"/>
      <c r="H347" s="31"/>
      <c r="I347" s="31"/>
      <c r="J347" s="31"/>
      <c r="K347" s="349"/>
      <c r="L347" s="349"/>
      <c r="M347" s="349"/>
      <c r="N347" s="421"/>
    </row>
    <row r="348" spans="2:14">
      <c r="B348" s="420"/>
      <c r="C348" s="31"/>
      <c r="D348" s="31"/>
      <c r="E348" s="31"/>
      <c r="F348" s="31"/>
      <c r="G348" s="31"/>
      <c r="H348" s="31"/>
      <c r="I348" s="31"/>
      <c r="J348" s="31"/>
      <c r="K348" s="349"/>
      <c r="L348" s="349"/>
      <c r="M348" s="349"/>
      <c r="N348" s="421"/>
    </row>
    <row r="349" spans="2:14">
      <c r="B349" s="420"/>
      <c r="C349" s="31"/>
      <c r="D349" s="31"/>
      <c r="E349" s="31"/>
      <c r="F349" s="31"/>
      <c r="G349" s="31"/>
      <c r="H349" s="31"/>
      <c r="I349" s="31"/>
      <c r="J349" s="31"/>
      <c r="K349" s="349"/>
      <c r="L349" s="349"/>
      <c r="M349" s="349"/>
      <c r="N349" s="421"/>
    </row>
    <row r="350" spans="2:14">
      <c r="B350" s="420"/>
      <c r="C350" s="31"/>
      <c r="D350" s="31"/>
      <c r="E350" s="31"/>
      <c r="F350" s="31"/>
      <c r="G350" s="31"/>
      <c r="H350" s="31"/>
      <c r="I350" s="31"/>
      <c r="J350" s="31"/>
      <c r="K350" s="349"/>
      <c r="L350" s="349"/>
      <c r="M350" s="349"/>
      <c r="N350" s="421"/>
    </row>
    <row r="351" spans="2:14">
      <c r="B351" s="420"/>
      <c r="C351" s="31"/>
      <c r="D351" s="31"/>
      <c r="E351" s="31"/>
      <c r="F351" s="31"/>
      <c r="G351" s="31"/>
      <c r="H351" s="31"/>
      <c r="I351" s="31"/>
      <c r="J351" s="31"/>
      <c r="K351" s="349"/>
      <c r="L351" s="349"/>
      <c r="M351" s="349"/>
      <c r="N351" s="421"/>
    </row>
    <row r="352" spans="2:14">
      <c r="B352" s="420"/>
      <c r="C352" s="31"/>
      <c r="D352" s="31"/>
      <c r="E352" s="31"/>
      <c r="F352" s="31"/>
      <c r="G352" s="31"/>
      <c r="H352" s="31"/>
      <c r="I352" s="31"/>
      <c r="J352" s="31"/>
      <c r="K352" s="349"/>
      <c r="L352" s="349"/>
      <c r="M352" s="349"/>
      <c r="N352" s="421"/>
    </row>
    <row r="353" spans="2:14">
      <c r="B353" s="420"/>
      <c r="C353" s="31"/>
      <c r="D353" s="31"/>
      <c r="E353" s="31"/>
      <c r="F353" s="31"/>
      <c r="G353" s="31"/>
      <c r="H353" s="31"/>
      <c r="I353" s="31"/>
      <c r="J353" s="31"/>
      <c r="K353" s="349"/>
      <c r="L353" s="349"/>
      <c r="M353" s="349"/>
      <c r="N353" s="421"/>
    </row>
    <row r="354" spans="2:14">
      <c r="B354" s="420"/>
      <c r="C354" s="31"/>
      <c r="D354" s="31"/>
      <c r="E354" s="31"/>
      <c r="F354" s="31"/>
      <c r="G354" s="31"/>
      <c r="H354" s="31"/>
      <c r="I354" s="31"/>
      <c r="J354" s="31"/>
      <c r="K354" s="349"/>
      <c r="L354" s="349"/>
      <c r="M354" s="349"/>
      <c r="N354" s="421"/>
    </row>
    <row r="355" spans="2:14">
      <c r="B355" s="420"/>
      <c r="C355" s="31"/>
      <c r="D355" s="31"/>
      <c r="E355" s="31"/>
      <c r="F355" s="31"/>
      <c r="G355" s="31"/>
      <c r="H355" s="31"/>
      <c r="I355" s="31"/>
      <c r="J355" s="31"/>
      <c r="K355" s="349"/>
      <c r="L355" s="349"/>
      <c r="M355" s="349"/>
      <c r="N355" s="421"/>
    </row>
    <row r="356" spans="2:14">
      <c r="B356" s="420"/>
      <c r="C356" s="31"/>
      <c r="D356" s="31"/>
      <c r="E356" s="31"/>
      <c r="F356" s="31"/>
      <c r="G356" s="31"/>
      <c r="H356" s="31"/>
      <c r="I356" s="31"/>
      <c r="J356" s="31"/>
      <c r="K356" s="349"/>
      <c r="L356" s="349"/>
      <c r="M356" s="349"/>
      <c r="N356" s="421"/>
    </row>
    <row r="357" spans="2:14">
      <c r="B357" s="420"/>
      <c r="C357" s="31"/>
      <c r="D357" s="31"/>
      <c r="E357" s="31"/>
      <c r="F357" s="31"/>
      <c r="G357" s="31"/>
      <c r="H357" s="31"/>
      <c r="I357" s="31"/>
      <c r="J357" s="31"/>
      <c r="K357" s="349"/>
      <c r="L357" s="349"/>
      <c r="M357" s="349"/>
      <c r="N357" s="421"/>
    </row>
    <row r="358" spans="2:14">
      <c r="B358" s="420"/>
      <c r="C358" s="31"/>
      <c r="D358" s="31"/>
      <c r="E358" s="31"/>
      <c r="F358" s="31"/>
      <c r="G358" s="31"/>
      <c r="H358" s="31"/>
      <c r="I358" s="31"/>
      <c r="J358" s="31"/>
      <c r="K358" s="349"/>
      <c r="L358" s="349"/>
      <c r="M358" s="349"/>
      <c r="N358" s="421"/>
    </row>
    <row r="359" spans="2:14">
      <c r="B359" s="420"/>
      <c r="C359" s="31"/>
      <c r="D359" s="31"/>
      <c r="E359" s="31"/>
      <c r="F359" s="31"/>
      <c r="G359" s="31"/>
      <c r="H359" s="31"/>
      <c r="I359" s="31"/>
      <c r="J359" s="31"/>
      <c r="K359" s="349"/>
      <c r="L359" s="349"/>
      <c r="M359" s="349"/>
      <c r="N359" s="421"/>
    </row>
    <row r="360" spans="2:14">
      <c r="B360" s="420"/>
      <c r="C360" s="31"/>
      <c r="D360" s="31"/>
      <c r="E360" s="31"/>
      <c r="F360" s="31"/>
      <c r="G360" s="31"/>
      <c r="H360" s="31"/>
      <c r="I360" s="31"/>
      <c r="J360" s="31"/>
      <c r="K360" s="349"/>
      <c r="L360" s="349"/>
      <c r="M360" s="349"/>
      <c r="N360" s="421"/>
    </row>
    <row r="361" spans="2:14">
      <c r="B361" s="420"/>
      <c r="C361" s="31"/>
      <c r="D361" s="31"/>
      <c r="E361" s="31"/>
      <c r="F361" s="31"/>
      <c r="G361" s="31"/>
      <c r="H361" s="31"/>
      <c r="I361" s="31"/>
      <c r="J361" s="31"/>
      <c r="K361" s="349"/>
      <c r="L361" s="349"/>
      <c r="M361" s="349"/>
      <c r="N361" s="421"/>
    </row>
    <row r="362" spans="2:14">
      <c r="B362" s="420"/>
      <c r="C362" s="31"/>
      <c r="D362" s="31"/>
      <c r="E362" s="31"/>
      <c r="F362" s="31"/>
      <c r="G362" s="31"/>
      <c r="H362" s="31"/>
      <c r="I362" s="31"/>
      <c r="J362" s="31"/>
      <c r="K362" s="349"/>
      <c r="L362" s="349"/>
      <c r="M362" s="349"/>
      <c r="N362" s="421"/>
    </row>
    <row r="363" spans="2:14">
      <c r="B363" s="420"/>
      <c r="C363" s="31"/>
      <c r="D363" s="31"/>
      <c r="E363" s="31"/>
      <c r="F363" s="31"/>
      <c r="G363" s="31"/>
      <c r="H363" s="31"/>
      <c r="I363" s="31"/>
      <c r="J363" s="31"/>
      <c r="K363" s="349"/>
      <c r="L363" s="349"/>
      <c r="M363" s="349"/>
      <c r="N363" s="421"/>
    </row>
    <row r="364" spans="2:14">
      <c r="B364" s="437"/>
      <c r="C364" s="31"/>
      <c r="D364" s="31"/>
      <c r="E364" s="31"/>
      <c r="F364" s="131"/>
      <c r="G364" s="131"/>
      <c r="H364" s="131"/>
      <c r="I364" s="31"/>
      <c r="J364" s="31"/>
      <c r="K364" s="349"/>
      <c r="L364" s="349"/>
      <c r="M364" s="349"/>
      <c r="N364" s="421"/>
    </row>
    <row r="365" spans="2:14">
      <c r="B365" s="438"/>
      <c r="C365" s="31"/>
      <c r="D365" s="31"/>
      <c r="E365" s="31"/>
      <c r="F365" s="31"/>
      <c r="G365" s="131"/>
      <c r="H365" s="131"/>
      <c r="I365" s="31"/>
      <c r="J365" s="31"/>
      <c r="K365" s="349"/>
      <c r="L365" s="349"/>
      <c r="M365" s="349"/>
      <c r="N365" s="421"/>
    </row>
    <row r="366" spans="2:14">
      <c r="B366" s="437"/>
      <c r="C366" s="31"/>
      <c r="D366" s="31"/>
      <c r="E366" s="31"/>
      <c r="F366" s="31"/>
      <c r="G366" s="31"/>
      <c r="H366" s="31"/>
      <c r="I366" s="31"/>
      <c r="J366" s="31"/>
      <c r="K366" s="349"/>
      <c r="L366" s="349"/>
      <c r="M366" s="349"/>
      <c r="N366" s="421"/>
    </row>
    <row r="367" spans="2:14">
      <c r="B367" s="425"/>
      <c r="C367" s="31"/>
      <c r="D367" s="31"/>
      <c r="E367" s="31"/>
      <c r="F367" s="31"/>
      <c r="G367" s="31"/>
      <c r="H367" s="31"/>
      <c r="I367" s="31"/>
      <c r="J367" s="31"/>
      <c r="K367" s="349"/>
      <c r="L367" s="349"/>
      <c r="M367" s="349"/>
      <c r="N367" s="421"/>
    </row>
    <row r="368" spans="2:14">
      <c r="B368" s="420"/>
      <c r="C368" s="31"/>
      <c r="D368" s="31"/>
      <c r="E368" s="31"/>
      <c r="F368" s="31"/>
      <c r="G368" s="31"/>
      <c r="H368" s="31"/>
      <c r="I368" s="31"/>
      <c r="J368" s="31"/>
      <c r="K368" s="349"/>
      <c r="L368" s="349"/>
      <c r="M368" s="349"/>
      <c r="N368" s="421"/>
    </row>
    <row r="369" spans="2:14">
      <c r="B369" s="420"/>
      <c r="C369" s="31"/>
      <c r="D369" s="31"/>
      <c r="E369" s="31"/>
      <c r="F369" s="31"/>
      <c r="G369" s="31"/>
      <c r="H369" s="31"/>
      <c r="I369" s="31"/>
      <c r="J369" s="31"/>
      <c r="K369" s="349"/>
      <c r="L369" s="349"/>
      <c r="M369" s="349"/>
      <c r="N369" s="421"/>
    </row>
    <row r="370" spans="2:14">
      <c r="B370" s="420"/>
      <c r="C370" s="31"/>
      <c r="D370" s="31"/>
      <c r="E370" s="31"/>
      <c r="F370" s="31"/>
      <c r="G370" s="31"/>
      <c r="H370" s="31"/>
      <c r="I370" s="31"/>
      <c r="J370" s="31"/>
      <c r="K370" s="349"/>
      <c r="L370" s="349"/>
      <c r="M370" s="349"/>
      <c r="N370" s="421"/>
    </row>
    <row r="371" spans="2:14">
      <c r="B371" s="420"/>
      <c r="C371" s="31"/>
      <c r="D371" s="31"/>
      <c r="E371" s="31"/>
      <c r="F371" s="31"/>
      <c r="G371" s="31"/>
      <c r="H371" s="31"/>
      <c r="I371" s="31"/>
      <c r="J371" s="31"/>
      <c r="K371" s="349"/>
      <c r="L371" s="349"/>
      <c r="M371" s="349"/>
      <c r="N371" s="421"/>
    </row>
    <row r="372" spans="2:14">
      <c r="B372" s="420"/>
      <c r="C372" s="31"/>
      <c r="D372" s="31"/>
      <c r="E372" s="31"/>
      <c r="F372" s="31"/>
      <c r="G372" s="31"/>
      <c r="H372" s="31"/>
      <c r="I372" s="31"/>
      <c r="J372" s="31"/>
      <c r="K372" s="349"/>
      <c r="L372" s="349"/>
      <c r="M372" s="349"/>
      <c r="N372" s="421"/>
    </row>
    <row r="373" spans="2:14">
      <c r="B373" s="420"/>
      <c r="C373" s="31"/>
      <c r="D373" s="31"/>
      <c r="E373" s="31"/>
      <c r="F373" s="31"/>
      <c r="G373" s="31"/>
      <c r="H373" s="31"/>
      <c r="I373" s="31"/>
      <c r="J373" s="31"/>
      <c r="K373" s="349"/>
      <c r="L373" s="349"/>
      <c r="M373" s="349"/>
      <c r="N373" s="421"/>
    </row>
    <row r="374" spans="2:14">
      <c r="B374" s="420"/>
      <c r="C374" s="31"/>
      <c r="D374" s="31"/>
      <c r="E374" s="31"/>
      <c r="F374" s="31"/>
      <c r="G374" s="31"/>
      <c r="H374" s="31"/>
      <c r="I374" s="31"/>
      <c r="J374" s="31"/>
      <c r="K374" s="349"/>
      <c r="L374" s="349"/>
      <c r="M374" s="349"/>
      <c r="N374" s="421"/>
    </row>
    <row r="375" spans="2:14">
      <c r="B375" s="420"/>
      <c r="C375" s="31"/>
      <c r="D375" s="31"/>
      <c r="E375" s="31"/>
      <c r="F375" s="31"/>
      <c r="G375" s="31"/>
      <c r="H375" s="31"/>
      <c r="I375" s="31"/>
      <c r="J375" s="31"/>
      <c r="K375" s="349"/>
      <c r="L375" s="349"/>
      <c r="M375" s="349"/>
      <c r="N375" s="421"/>
    </row>
    <row r="376" spans="2:14">
      <c r="B376" s="420"/>
      <c r="C376" s="31"/>
      <c r="D376" s="31"/>
      <c r="E376" s="31"/>
      <c r="F376" s="31"/>
      <c r="G376" s="31"/>
      <c r="H376" s="31"/>
      <c r="I376" s="31"/>
      <c r="J376" s="31"/>
      <c r="K376" s="349"/>
      <c r="L376" s="349"/>
      <c r="M376" s="349"/>
      <c r="N376" s="421"/>
    </row>
    <row r="377" spans="2:14">
      <c r="B377" s="420"/>
      <c r="C377" s="31"/>
      <c r="D377" s="31"/>
      <c r="E377" s="31"/>
      <c r="F377" s="31"/>
      <c r="G377" s="31"/>
      <c r="H377" s="31"/>
      <c r="I377" s="31"/>
      <c r="J377" s="31"/>
      <c r="K377" s="349"/>
      <c r="L377" s="349"/>
      <c r="M377" s="349"/>
      <c r="N377" s="421"/>
    </row>
    <row r="378" spans="2:14">
      <c r="B378" s="420"/>
      <c r="C378" s="31"/>
      <c r="D378" s="31"/>
      <c r="E378" s="31"/>
      <c r="F378" s="31"/>
      <c r="G378" s="31"/>
      <c r="H378" s="31"/>
      <c r="I378" s="31"/>
      <c r="J378" s="31"/>
      <c r="K378" s="349"/>
      <c r="L378" s="349"/>
      <c r="M378" s="349"/>
      <c r="N378" s="421"/>
    </row>
    <row r="379" spans="2:14">
      <c r="B379" s="420"/>
      <c r="C379" s="31"/>
      <c r="D379" s="31"/>
      <c r="E379" s="31"/>
      <c r="F379" s="31"/>
      <c r="G379" s="31"/>
      <c r="H379" s="31"/>
      <c r="I379" s="31"/>
      <c r="J379" s="31"/>
      <c r="K379" s="349"/>
      <c r="L379" s="349"/>
      <c r="M379" s="349"/>
      <c r="N379" s="421"/>
    </row>
    <row r="380" spans="2:14">
      <c r="B380" s="420"/>
      <c r="C380" s="31"/>
      <c r="D380" s="31"/>
      <c r="E380" s="31"/>
      <c r="F380" s="31"/>
      <c r="G380" s="31"/>
      <c r="H380" s="31"/>
      <c r="I380" s="31"/>
      <c r="J380" s="31"/>
      <c r="K380" s="349"/>
      <c r="L380" s="349"/>
      <c r="M380" s="349"/>
      <c r="N380" s="421"/>
    </row>
    <row r="381" spans="2:14">
      <c r="B381" s="420"/>
      <c r="C381" s="31"/>
      <c r="D381" s="31"/>
      <c r="E381" s="31"/>
      <c r="F381" s="31"/>
      <c r="G381" s="31"/>
      <c r="H381" s="31"/>
      <c r="I381" s="31"/>
      <c r="J381" s="31"/>
      <c r="K381" s="349"/>
      <c r="L381" s="349"/>
      <c r="M381" s="349"/>
      <c r="N381" s="421"/>
    </row>
    <row r="382" spans="2:14">
      <c r="B382" s="420"/>
      <c r="C382" s="31"/>
      <c r="D382" s="31"/>
      <c r="E382" s="31"/>
      <c r="F382" s="31"/>
      <c r="G382" s="31"/>
      <c r="H382" s="31"/>
      <c r="I382" s="31"/>
      <c r="J382" s="31"/>
      <c r="K382" s="349"/>
      <c r="L382" s="349"/>
      <c r="M382" s="349"/>
      <c r="N382" s="421"/>
    </row>
    <row r="383" spans="2:14">
      <c r="B383" s="420"/>
      <c r="C383" s="31"/>
      <c r="D383" s="31"/>
      <c r="E383" s="31"/>
      <c r="F383" s="31"/>
      <c r="G383" s="31"/>
      <c r="H383" s="31"/>
      <c r="I383" s="31"/>
      <c r="J383" s="31"/>
      <c r="K383" s="349"/>
      <c r="L383" s="349"/>
      <c r="M383" s="349"/>
      <c r="N383" s="421"/>
    </row>
    <row r="384" spans="2:14">
      <c r="B384" s="420"/>
      <c r="C384" s="31"/>
      <c r="D384" s="31"/>
      <c r="E384" s="31"/>
      <c r="F384" s="31"/>
      <c r="G384" s="31"/>
      <c r="H384" s="31"/>
      <c r="I384" s="31"/>
      <c r="J384" s="31"/>
      <c r="K384" s="349"/>
      <c r="L384" s="349"/>
      <c r="M384" s="349"/>
      <c r="N384" s="421"/>
    </row>
    <row r="385" spans="2:14">
      <c r="B385" s="420"/>
      <c r="C385" s="31"/>
      <c r="D385" s="31"/>
      <c r="E385" s="31"/>
      <c r="F385" s="31"/>
      <c r="G385" s="31"/>
      <c r="H385" s="31"/>
      <c r="I385" s="31"/>
      <c r="J385" s="31"/>
      <c r="K385" s="349"/>
      <c r="L385" s="349"/>
      <c r="M385" s="349"/>
      <c r="N385" s="421"/>
    </row>
    <row r="386" spans="2:14">
      <c r="B386" s="420"/>
      <c r="C386" s="31"/>
      <c r="D386" s="31"/>
      <c r="E386" s="31"/>
      <c r="F386" s="31"/>
      <c r="G386" s="31"/>
      <c r="H386" s="31"/>
      <c r="I386" s="31"/>
      <c r="J386" s="31"/>
      <c r="K386" s="349"/>
      <c r="L386" s="349"/>
      <c r="M386" s="349"/>
      <c r="N386" s="421"/>
    </row>
    <row r="387" spans="2:14">
      <c r="B387" s="420"/>
      <c r="C387" s="31"/>
      <c r="D387" s="31"/>
      <c r="E387" s="31"/>
      <c r="F387" s="31"/>
      <c r="G387" s="31"/>
      <c r="H387" s="31"/>
      <c r="I387" s="31"/>
      <c r="J387" s="31"/>
      <c r="K387" s="349"/>
      <c r="L387" s="349"/>
      <c r="M387" s="349"/>
      <c r="N387" s="421"/>
    </row>
    <row r="388" spans="2:14">
      <c r="B388" s="420"/>
      <c r="C388" s="31"/>
      <c r="D388" s="31"/>
      <c r="E388" s="31"/>
      <c r="F388" s="31"/>
      <c r="G388" s="31"/>
      <c r="H388" s="31"/>
      <c r="I388" s="31"/>
      <c r="J388" s="31"/>
      <c r="K388" s="349"/>
      <c r="L388" s="349"/>
      <c r="M388" s="349"/>
      <c r="N388" s="421"/>
    </row>
    <row r="389" spans="2:14">
      <c r="B389" s="420"/>
      <c r="C389" s="31"/>
      <c r="D389" s="31"/>
      <c r="E389" s="31"/>
      <c r="F389" s="31"/>
      <c r="G389" s="31"/>
      <c r="H389" s="31"/>
      <c r="I389" s="31"/>
      <c r="J389" s="31"/>
      <c r="K389" s="349"/>
      <c r="L389" s="349"/>
      <c r="M389" s="349"/>
      <c r="N389" s="421"/>
    </row>
    <row r="390" spans="2:14">
      <c r="B390" s="420"/>
      <c r="C390" s="31"/>
      <c r="D390" s="31"/>
      <c r="E390" s="31"/>
      <c r="F390" s="31"/>
      <c r="G390" s="31"/>
      <c r="H390" s="31"/>
      <c r="I390" s="31"/>
      <c r="J390" s="31"/>
      <c r="K390" s="349"/>
      <c r="L390" s="349"/>
      <c r="M390" s="349"/>
      <c r="N390" s="421"/>
    </row>
    <row r="391" spans="2:14">
      <c r="B391" s="420"/>
      <c r="C391" s="31"/>
      <c r="D391" s="31"/>
      <c r="E391" s="31"/>
      <c r="F391" s="31"/>
      <c r="G391" s="31"/>
      <c r="H391" s="31"/>
      <c r="I391" s="31"/>
      <c r="J391" s="31"/>
      <c r="K391" s="349"/>
      <c r="L391" s="349"/>
      <c r="M391" s="349"/>
      <c r="N391" s="421"/>
    </row>
    <row r="392" spans="2:14">
      <c r="B392" s="420"/>
      <c r="C392" s="31"/>
      <c r="D392" s="31"/>
      <c r="E392" s="31"/>
      <c r="F392" s="31"/>
      <c r="G392" s="31"/>
      <c r="H392" s="31"/>
      <c r="I392" s="31"/>
      <c r="J392" s="31"/>
      <c r="K392" s="349"/>
      <c r="L392" s="349"/>
      <c r="M392" s="349"/>
      <c r="N392" s="421"/>
    </row>
    <row r="393" spans="2:14">
      <c r="B393" s="420"/>
      <c r="C393" s="31"/>
      <c r="D393" s="31"/>
      <c r="E393" s="31"/>
      <c r="F393" s="31"/>
      <c r="G393" s="31"/>
      <c r="H393" s="31"/>
      <c r="I393" s="31"/>
      <c r="J393" s="31"/>
      <c r="K393" s="349"/>
      <c r="L393" s="349"/>
      <c r="M393" s="349"/>
      <c r="N393" s="421"/>
    </row>
    <row r="394" spans="2:14">
      <c r="B394" s="420"/>
      <c r="C394" s="31"/>
      <c r="D394" s="31"/>
      <c r="E394" s="31"/>
      <c r="F394" s="31"/>
      <c r="G394" s="31"/>
      <c r="H394" s="31"/>
      <c r="I394" s="31"/>
      <c r="J394" s="31"/>
      <c r="K394" s="349"/>
      <c r="L394" s="349"/>
      <c r="M394" s="349"/>
      <c r="N394" s="421"/>
    </row>
    <row r="395" spans="2:14">
      <c r="B395" s="420"/>
      <c r="C395" s="31"/>
      <c r="D395" s="31"/>
      <c r="E395" s="31"/>
      <c r="F395" s="31"/>
      <c r="G395" s="31"/>
      <c r="H395" s="31"/>
      <c r="I395" s="31"/>
      <c r="J395" s="31"/>
      <c r="K395" s="349"/>
      <c r="L395" s="349"/>
      <c r="M395" s="349"/>
      <c r="N395" s="421"/>
    </row>
    <row r="396" spans="2:14">
      <c r="B396" s="420"/>
      <c r="C396" s="31"/>
      <c r="D396" s="31"/>
      <c r="E396" s="31"/>
      <c r="F396" s="31"/>
      <c r="G396" s="31"/>
      <c r="H396" s="31"/>
      <c r="I396" s="31"/>
      <c r="J396" s="31"/>
      <c r="K396" s="349"/>
      <c r="L396" s="349"/>
      <c r="M396" s="349"/>
      <c r="N396" s="421"/>
    </row>
    <row r="397" spans="2:14">
      <c r="B397" s="420"/>
      <c r="C397" s="31"/>
      <c r="D397" s="31"/>
      <c r="E397" s="31"/>
      <c r="F397" s="31"/>
      <c r="G397" s="31"/>
      <c r="H397" s="31"/>
      <c r="I397" s="31"/>
      <c r="J397" s="31"/>
      <c r="K397" s="349"/>
      <c r="L397" s="349"/>
      <c r="M397" s="349"/>
      <c r="N397" s="421"/>
    </row>
    <row r="398" spans="2:14">
      <c r="B398" s="420"/>
      <c r="C398" s="31"/>
      <c r="D398" s="31"/>
      <c r="E398" s="31"/>
      <c r="F398" s="31"/>
      <c r="G398" s="31"/>
      <c r="H398" s="31"/>
      <c r="I398" s="31"/>
      <c r="J398" s="31"/>
      <c r="K398" s="349"/>
      <c r="L398" s="349"/>
      <c r="M398" s="349"/>
      <c r="N398" s="421"/>
    </row>
    <row r="399" spans="2:14">
      <c r="B399" s="420"/>
      <c r="C399" s="31"/>
      <c r="D399" s="31"/>
      <c r="E399" s="31"/>
      <c r="F399" s="31"/>
      <c r="G399" s="31"/>
      <c r="H399" s="31"/>
      <c r="I399" s="31"/>
      <c r="J399" s="31"/>
      <c r="K399" s="349"/>
      <c r="L399" s="349"/>
      <c r="M399" s="349"/>
      <c r="N399" s="421"/>
    </row>
    <row r="400" spans="2:14">
      <c r="B400" s="420"/>
      <c r="C400" s="31"/>
      <c r="D400" s="31"/>
      <c r="E400" s="31"/>
      <c r="F400" s="31"/>
      <c r="G400" s="31"/>
      <c r="H400" s="31"/>
      <c r="I400" s="31"/>
      <c r="J400" s="31"/>
      <c r="K400" s="349"/>
      <c r="L400" s="349"/>
      <c r="M400" s="349"/>
      <c r="N400" s="421"/>
    </row>
    <row r="401" spans="2:37">
      <c r="B401" s="420"/>
      <c r="C401" s="31"/>
      <c r="D401" s="31"/>
      <c r="E401" s="31"/>
      <c r="F401" s="31"/>
      <c r="G401" s="31"/>
      <c r="H401" s="31"/>
      <c r="I401" s="31"/>
      <c r="J401" s="31"/>
      <c r="K401" s="349"/>
      <c r="L401" s="349"/>
      <c r="M401" s="349"/>
      <c r="N401" s="421"/>
    </row>
    <row r="402" spans="2:37">
      <c r="B402" s="420"/>
      <c r="C402" s="31" t="s">
        <v>309</v>
      </c>
      <c r="D402" s="31"/>
      <c r="E402" s="31"/>
      <c r="F402" s="31"/>
      <c r="G402" s="31"/>
      <c r="H402" s="31"/>
      <c r="I402" s="31"/>
      <c r="J402" s="31"/>
      <c r="K402" s="349"/>
      <c r="L402" s="349"/>
      <c r="M402" s="349"/>
      <c r="N402" s="421"/>
    </row>
    <row r="403" spans="2:37">
      <c r="B403" s="420"/>
      <c r="C403" s="31"/>
      <c r="D403" s="31"/>
      <c r="E403" s="31"/>
      <c r="F403" s="31"/>
      <c r="G403" s="31"/>
      <c r="H403" s="31"/>
      <c r="I403" s="31"/>
      <c r="J403" s="31"/>
      <c r="K403" s="349"/>
      <c r="L403" s="349"/>
      <c r="M403" s="349"/>
      <c r="N403" s="421"/>
    </row>
    <row r="404" spans="2:37" ht="30" customHeight="1">
      <c r="B404" s="437"/>
      <c r="C404" s="608" t="s">
        <v>282</v>
      </c>
      <c r="D404" s="8"/>
      <c r="E404" s="8"/>
      <c r="F404" s="609"/>
      <c r="G404" s="609"/>
      <c r="H404" s="609"/>
      <c r="I404" s="8"/>
      <c r="J404" s="8"/>
      <c r="K404" s="349"/>
      <c r="L404" s="349"/>
      <c r="M404" s="349"/>
      <c r="N404" s="421"/>
    </row>
    <row r="405" spans="2:37" s="9" customFormat="1">
      <c r="B405" s="439"/>
      <c r="C405" s="112"/>
      <c r="D405" s="112"/>
      <c r="E405" s="112"/>
      <c r="F405" s="108"/>
      <c r="G405" s="108"/>
      <c r="H405" s="108"/>
      <c r="I405" s="112"/>
      <c r="J405" s="112"/>
      <c r="K405" s="267"/>
      <c r="L405" s="267"/>
      <c r="M405" s="267"/>
      <c r="N405" s="419"/>
      <c r="O405" s="258"/>
      <c r="P405" s="258"/>
      <c r="Q405" s="258"/>
      <c r="R405" s="258"/>
      <c r="S405" s="258"/>
      <c r="T405" s="258"/>
      <c r="U405" s="258"/>
      <c r="V405" s="258"/>
      <c r="W405" s="258"/>
      <c r="X405" s="258"/>
      <c r="Y405" s="258"/>
      <c r="Z405" s="258"/>
      <c r="AA405" s="258"/>
      <c r="AB405" s="258"/>
      <c r="AC405" s="258"/>
      <c r="AD405" s="258"/>
      <c r="AE405" s="258"/>
      <c r="AF405" s="258"/>
      <c r="AG405" s="258"/>
      <c r="AH405" s="258"/>
      <c r="AI405" s="258"/>
      <c r="AJ405" s="258"/>
      <c r="AK405" s="258"/>
    </row>
    <row r="406" spans="2:37" s="9" customFormat="1">
      <c r="B406" s="439"/>
      <c r="C406" s="112" t="s">
        <v>310</v>
      </c>
      <c r="D406" s="112"/>
      <c r="E406" s="112"/>
      <c r="F406" s="108"/>
      <c r="G406" s="108"/>
      <c r="H406" s="108"/>
      <c r="I406" s="112"/>
      <c r="J406" s="112"/>
      <c r="K406" s="267"/>
      <c r="L406" s="267"/>
      <c r="M406" s="267"/>
      <c r="N406" s="419"/>
      <c r="O406" s="258"/>
      <c r="P406" s="258"/>
      <c r="Q406" s="258"/>
      <c r="R406" s="258"/>
      <c r="S406" s="258"/>
      <c r="T406" s="258"/>
      <c r="U406" s="258"/>
      <c r="V406" s="258"/>
      <c r="W406" s="258"/>
      <c r="X406" s="258"/>
      <c r="Y406" s="258"/>
      <c r="Z406" s="258"/>
      <c r="AA406" s="258"/>
      <c r="AB406" s="258"/>
      <c r="AC406" s="258"/>
      <c r="AD406" s="258"/>
      <c r="AE406" s="258"/>
      <c r="AF406" s="258"/>
      <c r="AG406" s="258"/>
      <c r="AH406" s="258"/>
      <c r="AI406" s="258"/>
      <c r="AJ406" s="258"/>
      <c r="AK406" s="258"/>
    </row>
    <row r="407" spans="2:37" s="9" customFormat="1" ht="18.75">
      <c r="B407" s="439"/>
      <c r="C407" s="112"/>
      <c r="D407" s="96" t="s">
        <v>69</v>
      </c>
      <c r="E407" s="635">
        <f>$S$10*F125*PI()*G125*G125/400</f>
        <v>12.063715789784805</v>
      </c>
      <c r="F407" s="97" t="s">
        <v>39</v>
      </c>
      <c r="G407" s="108"/>
      <c r="H407" s="440"/>
      <c r="I407" s="440"/>
      <c r="J407" s="112"/>
      <c r="K407" s="267"/>
      <c r="L407" s="267"/>
      <c r="M407" s="267"/>
      <c r="N407" s="419"/>
      <c r="O407" s="258"/>
      <c r="P407" s="258"/>
      <c r="Q407" s="258"/>
      <c r="R407" s="258"/>
      <c r="S407" s="258"/>
      <c r="T407" s="258"/>
      <c r="U407" s="258"/>
      <c r="V407" s="258"/>
      <c r="W407" s="258"/>
      <c r="X407" s="258"/>
      <c r="Y407" s="258"/>
      <c r="Z407" s="258"/>
      <c r="AA407" s="258"/>
      <c r="AB407" s="258"/>
      <c r="AC407" s="258"/>
      <c r="AD407" s="258"/>
      <c r="AE407" s="258"/>
      <c r="AF407" s="258"/>
      <c r="AG407" s="258"/>
      <c r="AH407" s="258"/>
      <c r="AI407" s="258"/>
      <c r="AJ407" s="258"/>
      <c r="AK407" s="258"/>
    </row>
    <row r="408" spans="2:37" s="9" customFormat="1" ht="18.75">
      <c r="B408" s="439"/>
      <c r="C408" s="112"/>
      <c r="D408" s="96" t="s">
        <v>70</v>
      </c>
      <c r="E408" s="11">
        <f>D125*PI()*E125*E125/400</f>
        <v>48.254863159139219</v>
      </c>
      <c r="F408" s="97" t="s">
        <v>39</v>
      </c>
      <c r="G408" s="108"/>
      <c r="H408" s="108"/>
      <c r="I408" s="112"/>
      <c r="J408" s="112"/>
      <c r="K408" s="267"/>
      <c r="L408" s="267"/>
      <c r="M408" s="267"/>
      <c r="N408" s="419"/>
      <c r="O408" s="258"/>
      <c r="P408" s="258"/>
      <c r="Q408" s="258"/>
      <c r="R408" s="258"/>
      <c r="S408" s="258"/>
      <c r="T408" s="258"/>
      <c r="U408" s="258"/>
      <c r="V408" s="258"/>
      <c r="W408" s="258"/>
      <c r="X408" s="258"/>
      <c r="Y408" s="258"/>
      <c r="Z408" s="258"/>
      <c r="AA408" s="258"/>
      <c r="AB408" s="258"/>
      <c r="AC408" s="258"/>
      <c r="AD408" s="258"/>
      <c r="AE408" s="258"/>
      <c r="AF408" s="258"/>
      <c r="AG408" s="258"/>
      <c r="AH408" s="258"/>
      <c r="AI408" s="258"/>
      <c r="AJ408" s="258"/>
      <c r="AK408" s="258"/>
    </row>
    <row r="409" spans="2:37" s="9" customFormat="1" ht="18.75">
      <c r="B409" s="439"/>
      <c r="C409" s="112"/>
      <c r="D409" s="96" t="s">
        <v>151</v>
      </c>
      <c r="E409" s="11">
        <f>F125*PI()*G125*G125/400</f>
        <v>12.063715789784805</v>
      </c>
      <c r="F409" s="97" t="s">
        <v>39</v>
      </c>
      <c r="G409" s="108"/>
      <c r="H409" s="709"/>
      <c r="I409" s="710"/>
      <c r="J409" s="710"/>
      <c r="K409" s="267"/>
      <c r="L409" s="267"/>
      <c r="M409" s="267"/>
      <c r="N409" s="419"/>
      <c r="O409" s="258"/>
      <c r="P409" s="258"/>
      <c r="Q409" s="258"/>
      <c r="R409" s="258"/>
      <c r="S409" s="258"/>
      <c r="T409" s="258"/>
      <c r="U409" s="258"/>
      <c r="V409" s="258"/>
      <c r="W409" s="258"/>
      <c r="X409" s="258"/>
      <c r="Y409" s="258"/>
      <c r="Z409" s="258"/>
      <c r="AA409" s="258"/>
      <c r="AB409" s="258"/>
      <c r="AC409" s="258"/>
      <c r="AD409" s="258"/>
      <c r="AE409" s="258"/>
      <c r="AF409" s="258"/>
      <c r="AG409" s="258"/>
      <c r="AH409" s="258"/>
      <c r="AI409" s="258"/>
      <c r="AJ409" s="258"/>
      <c r="AK409" s="258"/>
    </row>
    <row r="410" spans="2:37" s="9" customFormat="1">
      <c r="B410" s="439"/>
      <c r="C410" s="112"/>
      <c r="D410" s="112"/>
      <c r="E410" s="112"/>
      <c r="F410" s="108"/>
      <c r="G410" s="108"/>
      <c r="H410" s="108"/>
      <c r="I410" s="112"/>
      <c r="J410" s="112"/>
      <c r="K410" s="267"/>
      <c r="L410" s="267"/>
      <c r="M410" s="267"/>
      <c r="N410" s="419"/>
      <c r="O410" s="258"/>
      <c r="P410" s="258"/>
      <c r="Q410" s="258"/>
      <c r="R410" s="258"/>
      <c r="S410" s="258"/>
      <c r="T410" s="258"/>
      <c r="U410" s="258"/>
      <c r="V410" s="258"/>
      <c r="W410" s="258"/>
      <c r="X410" s="258"/>
      <c r="Y410" s="258"/>
      <c r="Z410" s="258"/>
      <c r="AA410" s="258"/>
      <c r="AB410" s="258"/>
      <c r="AC410" s="258"/>
      <c r="AD410" s="258"/>
      <c r="AE410" s="258"/>
      <c r="AF410" s="258"/>
      <c r="AG410" s="258"/>
      <c r="AH410" s="258"/>
      <c r="AI410" s="258"/>
      <c r="AJ410" s="258"/>
      <c r="AK410" s="258"/>
    </row>
    <row r="411" spans="2:37" s="708" customFormat="1">
      <c r="B411" s="439"/>
      <c r="C411" s="710"/>
      <c r="D411" s="710"/>
      <c r="E411" s="710"/>
      <c r="F411" s="709"/>
      <c r="G411" s="709"/>
      <c r="H411" s="709"/>
      <c r="I411" s="710"/>
      <c r="J411" s="710"/>
      <c r="K411" s="712"/>
      <c r="L411" s="712"/>
      <c r="M411" s="712"/>
      <c r="N411" s="419"/>
      <c r="O411" s="711"/>
      <c r="P411" s="711"/>
      <c r="Q411" s="711"/>
      <c r="R411" s="711"/>
      <c r="S411" s="711"/>
      <c r="T411" s="711"/>
      <c r="U411" s="711"/>
      <c r="V411" s="711"/>
      <c r="W411" s="711"/>
      <c r="X411" s="711"/>
      <c r="Y411" s="711"/>
      <c r="Z411" s="711"/>
      <c r="AA411" s="711"/>
      <c r="AB411" s="711"/>
      <c r="AC411" s="711"/>
      <c r="AD411" s="711"/>
      <c r="AE411" s="711"/>
      <c r="AF411" s="711"/>
      <c r="AG411" s="711"/>
      <c r="AH411" s="711"/>
      <c r="AI411" s="711"/>
      <c r="AJ411" s="711"/>
      <c r="AK411" s="711"/>
    </row>
    <row r="412" spans="2:37" s="708" customFormat="1" ht="15">
      <c r="B412" s="439"/>
      <c r="C412" s="529" t="s">
        <v>784</v>
      </c>
      <c r="D412" s="530"/>
      <c r="E412" s="530"/>
      <c r="F412" s="530"/>
      <c r="G412" s="709"/>
      <c r="H412" s="709"/>
      <c r="I412" s="710"/>
      <c r="J412" s="710"/>
      <c r="K412" s="712"/>
      <c r="L412" s="712"/>
      <c r="M412" s="712"/>
      <c r="N412" s="419"/>
      <c r="O412" s="711"/>
      <c r="P412" s="711"/>
      <c r="Q412" s="711"/>
      <c r="R412" s="711"/>
      <c r="S412" s="711"/>
      <c r="T412" s="711"/>
      <c r="U412" s="711"/>
      <c r="V412" s="711"/>
      <c r="W412" s="711"/>
      <c r="X412" s="711"/>
      <c r="Y412" s="711"/>
      <c r="Z412" s="711"/>
      <c r="AA412" s="711"/>
      <c r="AB412" s="711"/>
      <c r="AC412" s="711"/>
      <c r="AD412" s="711"/>
      <c r="AE412" s="711"/>
      <c r="AF412" s="711"/>
      <c r="AG412" s="711"/>
      <c r="AH412" s="711"/>
      <c r="AI412" s="711"/>
      <c r="AJ412" s="711"/>
      <c r="AK412" s="711"/>
    </row>
    <row r="413" spans="2:37" s="708" customFormat="1">
      <c r="B413" s="439"/>
      <c r="C413" s="710"/>
      <c r="D413" s="710"/>
      <c r="E413" s="710"/>
      <c r="F413" s="709"/>
      <c r="G413" s="709"/>
      <c r="H413" s="709"/>
      <c r="I413" s="710"/>
      <c r="J413" s="710"/>
      <c r="K413" s="712"/>
      <c r="L413" s="712"/>
      <c r="M413" s="712"/>
      <c r="N413" s="419"/>
      <c r="O413" s="711"/>
      <c r="P413" s="711"/>
      <c r="Q413" s="711"/>
      <c r="R413" s="711"/>
      <c r="S413" s="711"/>
      <c r="T413" s="711"/>
      <c r="U413" s="711"/>
      <c r="V413" s="711"/>
      <c r="W413" s="711"/>
      <c r="X413" s="711"/>
      <c r="Y413" s="711"/>
      <c r="Z413" s="711"/>
      <c r="AA413" s="711"/>
      <c r="AB413" s="711"/>
      <c r="AC413" s="711"/>
      <c r="AD413" s="711"/>
      <c r="AE413" s="711"/>
      <c r="AF413" s="711"/>
      <c r="AG413" s="711"/>
      <c r="AH413" s="711"/>
      <c r="AI413" s="711"/>
      <c r="AJ413" s="711"/>
      <c r="AK413" s="711"/>
    </row>
    <row r="414" spans="2:37" s="708" customFormat="1">
      <c r="B414" s="439"/>
      <c r="C414" s="717"/>
      <c r="D414" s="637"/>
      <c r="E414" s="637"/>
      <c r="F414" s="718"/>
      <c r="G414" s="718"/>
      <c r="H414" s="718"/>
      <c r="I414" s="637"/>
      <c r="J414" s="639"/>
      <c r="K414" s="712"/>
      <c r="L414" s="712"/>
      <c r="M414" s="712"/>
      <c r="N414" s="419"/>
      <c r="O414" s="711"/>
      <c r="P414" s="711"/>
      <c r="Q414" s="711"/>
      <c r="R414" s="711"/>
      <c r="S414" s="711"/>
      <c r="T414" s="711"/>
      <c r="U414" s="711"/>
      <c r="V414" s="711"/>
      <c r="W414" s="711"/>
      <c r="X414" s="711"/>
      <c r="Y414" s="711"/>
      <c r="Z414" s="711"/>
      <c r="AA414" s="711"/>
      <c r="AB414" s="711"/>
      <c r="AC414" s="711"/>
      <c r="AD414" s="711"/>
      <c r="AE414" s="711"/>
      <c r="AF414" s="711"/>
      <c r="AG414" s="711"/>
      <c r="AH414" s="711"/>
      <c r="AI414" s="711"/>
      <c r="AJ414" s="711"/>
      <c r="AK414" s="711"/>
    </row>
    <row r="415" spans="2:37" s="708" customFormat="1" ht="15">
      <c r="B415" s="439"/>
      <c r="C415" s="724" t="s">
        <v>785</v>
      </c>
      <c r="D415" s="716">
        <f>($E$409+$E$408)/($D$121*$E$121*0.01)</f>
        <v>4.1887902047863905E-2</v>
      </c>
      <c r="E415" s="531" t="s">
        <v>706</v>
      </c>
      <c r="F415" s="716">
        <v>0.04</v>
      </c>
      <c r="G415" s="709"/>
      <c r="H415" s="710"/>
      <c r="I415" s="710"/>
      <c r="J415" s="675"/>
      <c r="K415" s="712"/>
      <c r="L415" s="712"/>
      <c r="M415" s="712"/>
      <c r="N415" s="419"/>
      <c r="O415" s="711"/>
      <c r="P415" s="711"/>
      <c r="Q415" s="711"/>
      <c r="R415" s="711"/>
      <c r="S415" s="711"/>
      <c r="T415" s="711"/>
      <c r="U415" s="711"/>
      <c r="V415" s="711"/>
      <c r="W415" s="711"/>
      <c r="X415" s="711"/>
      <c r="Y415" s="711"/>
      <c r="Z415" s="711"/>
      <c r="AA415" s="711"/>
      <c r="AB415" s="711"/>
      <c r="AC415" s="711"/>
      <c r="AD415" s="711"/>
      <c r="AE415" s="711"/>
      <c r="AF415" s="711"/>
      <c r="AG415" s="711"/>
      <c r="AH415" s="711"/>
      <c r="AI415" s="711"/>
      <c r="AJ415" s="711"/>
      <c r="AK415" s="711"/>
    </row>
    <row r="416" spans="2:37" s="708" customFormat="1">
      <c r="B416" s="439"/>
      <c r="C416" s="719"/>
      <c r="D416" s="677"/>
      <c r="E416" s="677"/>
      <c r="F416" s="720">
        <f>D415/F415</f>
        <v>1.0471975511965976</v>
      </c>
      <c r="G416" s="721" t="str">
        <f>IF(D415&lt;=F415,"OK","niespełniony")</f>
        <v>niespełniony</v>
      </c>
      <c r="H416" s="722"/>
      <c r="I416" s="677"/>
      <c r="J416" s="678"/>
      <c r="K416" s="712"/>
      <c r="L416" s="712"/>
      <c r="M416" s="712"/>
      <c r="N416" s="419"/>
      <c r="O416" s="711"/>
      <c r="P416" s="711"/>
      <c r="Q416" s="711"/>
      <c r="R416" s="711"/>
      <c r="S416" s="711"/>
      <c r="T416" s="711"/>
      <c r="U416" s="711"/>
      <c r="V416" s="711"/>
      <c r="W416" s="711"/>
      <c r="X416" s="711"/>
      <c r="Y416" s="711"/>
      <c r="Z416" s="711"/>
      <c r="AA416" s="711"/>
      <c r="AB416" s="711"/>
      <c r="AC416" s="711"/>
      <c r="AD416" s="711"/>
      <c r="AE416" s="711"/>
      <c r="AF416" s="711"/>
      <c r="AG416" s="711"/>
      <c r="AH416" s="711"/>
      <c r="AI416" s="711"/>
      <c r="AJ416" s="711"/>
      <c r="AK416" s="711"/>
    </row>
    <row r="417" spans="2:37" s="708" customFormat="1">
      <c r="B417" s="439"/>
      <c r="C417" s="710"/>
      <c r="D417" s="710"/>
      <c r="E417" s="710"/>
      <c r="F417" s="709"/>
      <c r="G417" s="709"/>
      <c r="H417" s="709"/>
      <c r="I417" s="710"/>
      <c r="J417" s="710"/>
      <c r="K417" s="712"/>
      <c r="L417" s="712"/>
      <c r="M417" s="712"/>
      <c r="N417" s="419"/>
      <c r="O417" s="711"/>
      <c r="P417" s="711"/>
      <c r="Q417" s="711"/>
      <c r="R417" s="711"/>
      <c r="S417" s="711"/>
      <c r="T417" s="711"/>
      <c r="U417" s="711"/>
      <c r="V417" s="711"/>
      <c r="W417" s="711"/>
      <c r="X417" s="711"/>
      <c r="Y417" s="711"/>
      <c r="Z417" s="711"/>
      <c r="AA417" s="711"/>
      <c r="AB417" s="711"/>
      <c r="AC417" s="711"/>
      <c r="AD417" s="711"/>
      <c r="AE417" s="711"/>
      <c r="AF417" s="711"/>
      <c r="AG417" s="711"/>
      <c r="AH417" s="711"/>
      <c r="AI417" s="711"/>
      <c r="AJ417" s="711"/>
      <c r="AK417" s="711"/>
    </row>
    <row r="418" spans="2:37" s="9" customFormat="1">
      <c r="B418" s="439"/>
      <c r="C418" s="112"/>
      <c r="D418" s="112"/>
      <c r="E418" s="112"/>
      <c r="F418" s="108"/>
      <c r="G418" s="108"/>
      <c r="H418" s="108"/>
      <c r="I418" s="112"/>
      <c r="J418" s="112"/>
      <c r="K418" s="267"/>
      <c r="L418" s="267"/>
      <c r="M418" s="267"/>
      <c r="N418" s="419"/>
      <c r="O418" s="258"/>
      <c r="P418" s="258"/>
      <c r="Q418" s="258"/>
      <c r="R418" s="258"/>
      <c r="S418" s="258"/>
      <c r="T418" s="258"/>
      <c r="U418" s="258"/>
      <c r="V418" s="258"/>
      <c r="W418" s="258"/>
      <c r="X418" s="258"/>
      <c r="Y418" s="258"/>
      <c r="Z418" s="258"/>
      <c r="AA418" s="258"/>
      <c r="AB418" s="258"/>
      <c r="AC418" s="258"/>
      <c r="AD418" s="258"/>
      <c r="AE418" s="258"/>
      <c r="AF418" s="258"/>
      <c r="AG418" s="258"/>
      <c r="AH418" s="258"/>
      <c r="AI418" s="258"/>
      <c r="AJ418" s="258"/>
      <c r="AK418" s="258"/>
    </row>
    <row r="419" spans="2:37" s="9" customFormat="1">
      <c r="B419" s="439"/>
      <c r="C419" s="112" t="s">
        <v>311</v>
      </c>
      <c r="D419" s="112"/>
      <c r="E419" s="112"/>
      <c r="F419" s="108"/>
      <c r="G419" s="108"/>
      <c r="H419" s="108"/>
      <c r="I419" s="112"/>
      <c r="J419" s="112"/>
      <c r="K419" s="267"/>
      <c r="L419" s="267"/>
      <c r="M419" s="267"/>
      <c r="N419" s="419"/>
      <c r="O419" s="258"/>
      <c r="P419" s="258"/>
      <c r="Q419" s="258"/>
      <c r="R419" s="258"/>
      <c r="S419" s="258"/>
      <c r="T419" s="258"/>
      <c r="U419" s="258"/>
      <c r="V419" s="258"/>
      <c r="W419" s="258"/>
      <c r="X419" s="258"/>
      <c r="Y419" s="258"/>
      <c r="Z419" s="258"/>
      <c r="AA419" s="258"/>
      <c r="AB419" s="258"/>
      <c r="AC419" s="258"/>
      <c r="AD419" s="258"/>
      <c r="AE419" s="258"/>
      <c r="AF419" s="258"/>
      <c r="AG419" s="258"/>
      <c r="AH419" s="258"/>
      <c r="AI419" s="258"/>
      <c r="AJ419" s="258"/>
      <c r="AK419" s="258"/>
    </row>
    <row r="420" spans="2:37" s="9" customFormat="1">
      <c r="B420" s="439"/>
      <c r="C420" s="112"/>
      <c r="D420" s="112"/>
      <c r="E420" s="112"/>
      <c r="F420" s="108"/>
      <c r="G420" s="108"/>
      <c r="H420" s="108"/>
      <c r="I420" s="112"/>
      <c r="J420" s="112"/>
      <c r="K420" s="267"/>
      <c r="L420" s="267"/>
      <c r="M420" s="267"/>
      <c r="N420" s="419"/>
      <c r="O420" s="258"/>
      <c r="P420" s="258"/>
      <c r="Q420" s="258"/>
      <c r="R420" s="258"/>
      <c r="S420" s="258"/>
      <c r="T420" s="258"/>
      <c r="U420" s="258"/>
      <c r="V420" s="258"/>
      <c r="W420" s="258"/>
      <c r="X420" s="258"/>
      <c r="Y420" s="258"/>
      <c r="Z420" s="258"/>
      <c r="AA420" s="258"/>
      <c r="AB420" s="258"/>
      <c r="AC420" s="258"/>
      <c r="AD420" s="258"/>
      <c r="AE420" s="258"/>
      <c r="AF420" s="258"/>
      <c r="AG420" s="258"/>
      <c r="AH420" s="258"/>
      <c r="AI420" s="258"/>
      <c r="AJ420" s="258"/>
      <c r="AK420" s="258"/>
    </row>
    <row r="421" spans="2:37" s="9" customFormat="1" ht="15">
      <c r="B421" s="439"/>
      <c r="C421" s="123" t="s">
        <v>312</v>
      </c>
      <c r="D421" s="122" t="s">
        <v>313</v>
      </c>
      <c r="E421" s="100"/>
      <c r="F421" s="101"/>
      <c r="G421" s="101"/>
      <c r="H421" s="102" t="s">
        <v>319</v>
      </c>
      <c r="I421" s="103">
        <f>E407*G177-E408*(G177-0.85*G155)+(2*E129*G172*(2*D121-D129)+E121*F121*0.85*G155+2*E129*F121*G172+G172*H129*F129)/100</f>
        <v>8422.428855014623</v>
      </c>
      <c r="J421" s="104" t="s">
        <v>46</v>
      </c>
      <c r="K421" s="267"/>
      <c r="L421" s="267"/>
      <c r="M421" s="267"/>
      <c r="N421" s="419"/>
      <c r="O421" s="258"/>
      <c r="P421" s="258"/>
      <c r="Q421" s="258"/>
      <c r="R421" s="258"/>
      <c r="S421" s="258"/>
      <c r="T421" s="258"/>
      <c r="U421" s="258"/>
      <c r="V421" s="258"/>
      <c r="W421" s="258"/>
      <c r="X421" s="258"/>
      <c r="Y421" s="258"/>
      <c r="Z421" s="258"/>
      <c r="AA421" s="258"/>
      <c r="AB421" s="258"/>
      <c r="AC421" s="258"/>
      <c r="AD421" s="258"/>
      <c r="AE421" s="258"/>
      <c r="AF421" s="258"/>
      <c r="AG421" s="258"/>
      <c r="AH421" s="258"/>
      <c r="AI421" s="258"/>
      <c r="AJ421" s="258"/>
      <c r="AK421" s="258"/>
    </row>
    <row r="422" spans="2:37" s="9" customFormat="1" ht="17.25">
      <c r="B422" s="439"/>
      <c r="C422" s="105"/>
      <c r="D422" s="106" t="s">
        <v>314</v>
      </c>
      <c r="E422" s="107" t="s">
        <v>315</v>
      </c>
      <c r="F422" s="108"/>
      <c r="G422" s="108"/>
      <c r="H422" s="109" t="s">
        <v>318</v>
      </c>
      <c r="I422" s="19">
        <f>(E121*0.85*G155+4*E129*G172)/10</f>
        <v>311.12857142857149</v>
      </c>
      <c r="J422" s="110" t="s">
        <v>73</v>
      </c>
      <c r="K422" s="267"/>
      <c r="L422" s="267"/>
      <c r="M422" s="267"/>
      <c r="N422" s="419"/>
      <c r="O422" s="258"/>
      <c r="P422" s="258"/>
      <c r="Q422" s="258"/>
      <c r="R422" s="258"/>
      <c r="S422" s="258"/>
      <c r="T422" s="258"/>
      <c r="U422" s="258"/>
      <c r="V422" s="258"/>
      <c r="W422" s="258"/>
      <c r="X422" s="258"/>
      <c r="Y422" s="258"/>
      <c r="Z422" s="258"/>
      <c r="AA422" s="258"/>
      <c r="AB422" s="258"/>
      <c r="AC422" s="258"/>
      <c r="AD422" s="258"/>
      <c r="AE422" s="258"/>
      <c r="AF422" s="258"/>
      <c r="AG422" s="258"/>
      <c r="AH422" s="258"/>
      <c r="AI422" s="258"/>
      <c r="AJ422" s="258"/>
      <c r="AK422" s="258"/>
    </row>
    <row r="423" spans="2:37" s="9" customFormat="1" ht="18" thickBot="1">
      <c r="B423" s="439"/>
      <c r="C423" s="105"/>
      <c r="D423" s="106" t="s">
        <v>314</v>
      </c>
      <c r="E423" s="111" t="s">
        <v>316</v>
      </c>
      <c r="F423" s="108"/>
      <c r="G423" s="108"/>
      <c r="H423" s="108"/>
      <c r="I423" s="112"/>
      <c r="J423" s="113"/>
      <c r="K423" s="267"/>
      <c r="L423" s="267"/>
      <c r="M423" s="267"/>
      <c r="N423" s="419"/>
      <c r="O423" s="258"/>
      <c r="P423" s="258"/>
      <c r="Q423" s="258"/>
      <c r="R423" s="258"/>
      <c r="S423" s="258"/>
      <c r="T423" s="258"/>
      <c r="U423" s="258"/>
      <c r="V423" s="258"/>
      <c r="W423" s="258"/>
      <c r="X423" s="258"/>
      <c r="Y423" s="258"/>
      <c r="Z423" s="258"/>
      <c r="AA423" s="258"/>
      <c r="AB423" s="258"/>
      <c r="AC423" s="258"/>
      <c r="AD423" s="258"/>
      <c r="AE423" s="258"/>
      <c r="AF423" s="258"/>
      <c r="AG423" s="258"/>
      <c r="AH423" s="258"/>
      <c r="AI423" s="258"/>
      <c r="AJ423" s="258"/>
      <c r="AK423" s="258"/>
    </row>
    <row r="424" spans="2:37" s="9" customFormat="1" ht="18" thickBot="1">
      <c r="B424" s="439"/>
      <c r="C424" s="114"/>
      <c r="D424" s="115" t="s">
        <v>314</v>
      </c>
      <c r="E424" s="116" t="s">
        <v>317</v>
      </c>
      <c r="F424" s="117"/>
      <c r="G424" s="117"/>
      <c r="H424" s="98" t="s">
        <v>320</v>
      </c>
      <c r="I424" s="17">
        <f>I421/I422</f>
        <v>27.070573481382226</v>
      </c>
      <c r="J424" s="99" t="s">
        <v>4</v>
      </c>
      <c r="K424" s="267"/>
      <c r="L424" s="267"/>
      <c r="M424" s="267"/>
      <c r="N424" s="419"/>
      <c r="O424" s="258"/>
      <c r="P424" s="258"/>
      <c r="Q424" s="258"/>
      <c r="R424" s="258"/>
      <c r="S424" s="258"/>
      <c r="T424" s="258"/>
      <c r="U424" s="258"/>
      <c r="V424" s="258"/>
      <c r="W424" s="258"/>
      <c r="X424" s="258"/>
      <c r="Y424" s="258"/>
      <c r="Z424" s="258"/>
      <c r="AA424" s="258"/>
      <c r="AB424" s="258"/>
      <c r="AC424" s="258"/>
      <c r="AD424" s="258"/>
      <c r="AE424" s="258"/>
      <c r="AF424" s="258"/>
      <c r="AG424" s="258"/>
      <c r="AH424" s="258"/>
      <c r="AI424" s="258"/>
      <c r="AJ424" s="258"/>
      <c r="AK424" s="258"/>
    </row>
    <row r="425" spans="2:37" s="9" customFormat="1">
      <c r="B425" s="439"/>
      <c r="C425" s="112"/>
      <c r="D425" s="106"/>
      <c r="E425" s="112"/>
      <c r="F425" s="108"/>
      <c r="G425" s="108"/>
      <c r="H425" s="108"/>
      <c r="I425" s="112"/>
      <c r="J425" s="112"/>
      <c r="K425" s="267"/>
      <c r="L425" s="267"/>
      <c r="M425" s="267"/>
      <c r="N425" s="419"/>
      <c r="O425" s="258"/>
      <c r="P425" s="258"/>
      <c r="Q425" s="258"/>
      <c r="R425" s="258"/>
      <c r="S425" s="258"/>
      <c r="T425" s="258"/>
      <c r="U425" s="258"/>
      <c r="V425" s="258"/>
      <c r="W425" s="258"/>
      <c r="X425" s="258"/>
      <c r="Y425" s="258"/>
      <c r="Z425" s="258"/>
      <c r="AA425" s="258"/>
      <c r="AB425" s="258"/>
      <c r="AC425" s="258"/>
      <c r="AD425" s="258"/>
      <c r="AE425" s="258"/>
      <c r="AF425" s="258"/>
      <c r="AG425" s="258"/>
      <c r="AH425" s="258"/>
      <c r="AI425" s="258"/>
      <c r="AJ425" s="258"/>
      <c r="AK425" s="258"/>
    </row>
    <row r="426" spans="2:37" s="9" customFormat="1" ht="15">
      <c r="B426" s="439"/>
      <c r="C426" s="123" t="s">
        <v>321</v>
      </c>
      <c r="D426" s="122" t="s">
        <v>313</v>
      </c>
      <c r="E426" s="100"/>
      <c r="F426" s="101"/>
      <c r="G426" s="101"/>
      <c r="H426" s="102" t="s">
        <v>319</v>
      </c>
      <c r="I426" s="101">
        <f>(-E408)*(G177-0.85*G155)+(2*E129*G172*(2*D121-D129)+E121*F121*0.85*G155+2*E129*F121*G172+G172*H129*F129)/100</f>
        <v>7897.9194728500652</v>
      </c>
      <c r="J426" s="104" t="s">
        <v>46</v>
      </c>
      <c r="K426" s="267"/>
      <c r="L426" s="267"/>
      <c r="M426" s="267"/>
      <c r="N426" s="419"/>
      <c r="O426" s="258"/>
      <c r="P426" s="258"/>
      <c r="Q426" s="258"/>
      <c r="R426" s="258"/>
      <c r="S426" s="258"/>
      <c r="T426" s="258"/>
      <c r="U426" s="258"/>
      <c r="V426" s="258"/>
      <c r="W426" s="258"/>
      <c r="X426" s="258"/>
      <c r="Y426" s="258"/>
      <c r="Z426" s="258"/>
      <c r="AA426" s="258"/>
      <c r="AB426" s="258"/>
      <c r="AC426" s="258"/>
      <c r="AD426" s="258"/>
      <c r="AE426" s="258"/>
      <c r="AF426" s="258"/>
      <c r="AG426" s="258"/>
      <c r="AH426" s="258"/>
      <c r="AI426" s="258"/>
      <c r="AJ426" s="258"/>
      <c r="AK426" s="258"/>
    </row>
    <row r="427" spans="2:37" s="9" customFormat="1" ht="17.25">
      <c r="B427" s="439"/>
      <c r="C427" s="105"/>
      <c r="D427" s="106" t="s">
        <v>314</v>
      </c>
      <c r="E427" s="107" t="s">
        <v>315</v>
      </c>
      <c r="F427" s="108"/>
      <c r="G427" s="108"/>
      <c r="H427" s="109" t="s">
        <v>318</v>
      </c>
      <c r="I427" s="121">
        <f>I422</f>
        <v>311.12857142857149</v>
      </c>
      <c r="J427" s="110" t="s">
        <v>73</v>
      </c>
      <c r="K427" s="267"/>
      <c r="L427" s="267"/>
      <c r="M427" s="267"/>
      <c r="N427" s="419"/>
      <c r="O427" s="258"/>
      <c r="P427" s="258"/>
      <c r="Q427" s="258"/>
      <c r="R427" s="258"/>
      <c r="S427" s="258"/>
      <c r="T427" s="258"/>
      <c r="U427" s="258"/>
      <c r="V427" s="258"/>
      <c r="W427" s="258"/>
      <c r="X427" s="258"/>
      <c r="Y427" s="258"/>
      <c r="Z427" s="258"/>
      <c r="AA427" s="258"/>
      <c r="AB427" s="258"/>
      <c r="AC427" s="258"/>
      <c r="AD427" s="258"/>
      <c r="AE427" s="258"/>
      <c r="AF427" s="258"/>
      <c r="AG427" s="258"/>
      <c r="AH427" s="258"/>
      <c r="AI427" s="258"/>
      <c r="AJ427" s="258"/>
      <c r="AK427" s="258"/>
    </row>
    <row r="428" spans="2:37" s="9" customFormat="1" ht="18" thickBot="1">
      <c r="B428" s="439"/>
      <c r="C428" s="105"/>
      <c r="D428" s="106" t="s">
        <v>314</v>
      </c>
      <c r="E428" s="111" t="s">
        <v>322</v>
      </c>
      <c r="F428" s="108"/>
      <c r="G428" s="108"/>
      <c r="H428" s="108"/>
      <c r="I428" s="112"/>
      <c r="J428" s="113"/>
      <c r="K428" s="267"/>
      <c r="L428" s="267"/>
      <c r="M428" s="267"/>
      <c r="N428" s="419"/>
      <c r="O428" s="258"/>
      <c r="P428" s="258"/>
      <c r="Q428" s="258"/>
      <c r="R428" s="258"/>
      <c r="S428" s="258"/>
      <c r="T428" s="258"/>
      <c r="U428" s="258"/>
      <c r="V428" s="258"/>
      <c r="W428" s="258"/>
      <c r="X428" s="258"/>
      <c r="Y428" s="258"/>
      <c r="Z428" s="258"/>
      <c r="AA428" s="258"/>
      <c r="AB428" s="258"/>
      <c r="AC428" s="258"/>
      <c r="AD428" s="258"/>
      <c r="AE428" s="258"/>
      <c r="AF428" s="258"/>
      <c r="AG428" s="258"/>
      <c r="AH428" s="258"/>
      <c r="AI428" s="258"/>
      <c r="AJ428" s="258"/>
      <c r="AK428" s="258"/>
    </row>
    <row r="429" spans="2:37" s="9" customFormat="1" ht="18" thickBot="1">
      <c r="B429" s="439"/>
      <c r="C429" s="114"/>
      <c r="D429" s="115" t="s">
        <v>314</v>
      </c>
      <c r="E429" s="116" t="s">
        <v>317</v>
      </c>
      <c r="F429" s="117"/>
      <c r="G429" s="117"/>
      <c r="H429" s="118" t="s">
        <v>320</v>
      </c>
      <c r="I429" s="120">
        <f>I426/I427</f>
        <v>25.384745080100302</v>
      </c>
      <c r="J429" s="119" t="s">
        <v>4</v>
      </c>
      <c r="K429" s="267"/>
      <c r="L429" s="267"/>
      <c r="M429" s="267"/>
      <c r="N429" s="419"/>
      <c r="O429" s="258"/>
      <c r="P429" s="258"/>
      <c r="Q429" s="258"/>
      <c r="R429" s="258"/>
      <c r="S429" s="258"/>
      <c r="T429" s="258"/>
      <c r="U429" s="258"/>
      <c r="V429" s="258"/>
      <c r="W429" s="258"/>
      <c r="X429" s="258"/>
      <c r="Y429" s="258"/>
      <c r="Z429" s="258"/>
      <c r="AA429" s="258"/>
      <c r="AB429" s="258"/>
      <c r="AC429" s="258"/>
      <c r="AD429" s="258"/>
      <c r="AE429" s="258"/>
      <c r="AF429" s="258"/>
      <c r="AG429" s="258"/>
      <c r="AH429" s="258"/>
      <c r="AI429" s="258"/>
      <c r="AJ429" s="258"/>
      <c r="AK429" s="258"/>
    </row>
    <row r="430" spans="2:37" s="9" customFormat="1">
      <c r="B430" s="439"/>
      <c r="C430" s="112"/>
      <c r="D430" s="106"/>
      <c r="E430" s="112"/>
      <c r="F430" s="108"/>
      <c r="G430" s="108"/>
      <c r="H430" s="108"/>
      <c r="I430" s="112"/>
      <c r="J430" s="112"/>
      <c r="K430" s="267"/>
      <c r="L430" s="267"/>
      <c r="M430" s="267"/>
      <c r="N430" s="419"/>
      <c r="O430" s="258"/>
      <c r="P430" s="258"/>
      <c r="Q430" s="258"/>
      <c r="R430" s="258"/>
      <c r="S430" s="258"/>
      <c r="T430" s="258"/>
      <c r="U430" s="258"/>
      <c r="V430" s="258"/>
      <c r="W430" s="258"/>
      <c r="X430" s="258"/>
      <c r="Y430" s="258"/>
      <c r="Z430" s="258"/>
      <c r="AA430" s="258"/>
      <c r="AB430" s="258"/>
      <c r="AC430" s="258"/>
      <c r="AD430" s="258"/>
      <c r="AE430" s="258"/>
      <c r="AF430" s="258"/>
      <c r="AG430" s="258"/>
      <c r="AH430" s="258"/>
      <c r="AI430" s="258"/>
      <c r="AJ430" s="258"/>
      <c r="AK430" s="258"/>
    </row>
    <row r="431" spans="2:37" s="9" customFormat="1" ht="15">
      <c r="B431" s="439"/>
      <c r="C431" s="123" t="s">
        <v>323</v>
      </c>
      <c r="D431" s="122" t="s">
        <v>313</v>
      </c>
      <c r="E431" s="100"/>
      <c r="F431" s="101"/>
      <c r="G431" s="101"/>
      <c r="H431" s="102" t="s">
        <v>319</v>
      </c>
      <c r="I431" s="101">
        <f>E407*G177-E408*(G177-G155)+(2*E129*G172*(2*D121-D129)+E121*F121*1*G155+2*E129*F121*G172+G172*H129*F129)/100</f>
        <v>8627.0212670454985</v>
      </c>
      <c r="J431" s="104" t="s">
        <v>46</v>
      </c>
      <c r="K431" s="267"/>
      <c r="L431" s="267"/>
      <c r="M431" s="267"/>
      <c r="N431" s="419"/>
      <c r="O431" s="258"/>
      <c r="P431" s="258"/>
      <c r="Q431" s="258"/>
      <c r="R431" s="258"/>
      <c r="S431" s="258"/>
      <c r="T431" s="258"/>
      <c r="U431" s="258"/>
      <c r="V431" s="258"/>
      <c r="W431" s="258"/>
      <c r="X431" s="258"/>
      <c r="Y431" s="258"/>
      <c r="Z431" s="258"/>
      <c r="AA431" s="258"/>
      <c r="AB431" s="258"/>
      <c r="AC431" s="258"/>
      <c r="AD431" s="258"/>
      <c r="AE431" s="258"/>
      <c r="AF431" s="258"/>
      <c r="AG431" s="258"/>
      <c r="AH431" s="258"/>
      <c r="AI431" s="258"/>
      <c r="AJ431" s="258"/>
      <c r="AK431" s="258"/>
    </row>
    <row r="432" spans="2:37" s="9" customFormat="1" ht="17.25">
      <c r="B432" s="439"/>
      <c r="C432" s="105"/>
      <c r="D432" s="106" t="s">
        <v>314</v>
      </c>
      <c r="E432" s="107" t="s">
        <v>315</v>
      </c>
      <c r="F432" s="108"/>
      <c r="G432" s="108"/>
      <c r="H432" s="109" t="s">
        <v>318</v>
      </c>
      <c r="I432" s="121">
        <f>(E121*1*G155+4*E129*G172)/10</f>
        <v>340.05714285714288</v>
      </c>
      <c r="J432" s="110" t="s">
        <v>73</v>
      </c>
      <c r="K432" s="267"/>
      <c r="L432" s="267"/>
      <c r="M432" s="267"/>
      <c r="N432" s="419"/>
      <c r="O432" s="258"/>
      <c r="P432" s="258"/>
      <c r="Q432" s="258"/>
      <c r="R432" s="258"/>
      <c r="S432" s="258"/>
      <c r="T432" s="258"/>
      <c r="U432" s="258"/>
      <c r="V432" s="258"/>
      <c r="W432" s="258"/>
      <c r="X432" s="258"/>
      <c r="Y432" s="258"/>
      <c r="Z432" s="258"/>
      <c r="AA432" s="258"/>
      <c r="AB432" s="258"/>
      <c r="AC432" s="258"/>
      <c r="AD432" s="258"/>
      <c r="AE432" s="258"/>
      <c r="AF432" s="258"/>
      <c r="AG432" s="258"/>
      <c r="AH432" s="258"/>
      <c r="AI432" s="258"/>
      <c r="AJ432" s="258"/>
      <c r="AK432" s="258"/>
    </row>
    <row r="433" spans="2:37" s="9" customFormat="1" ht="18" thickBot="1">
      <c r="B433" s="439"/>
      <c r="C433" s="105"/>
      <c r="D433" s="106" t="s">
        <v>314</v>
      </c>
      <c r="E433" s="111" t="s">
        <v>316</v>
      </c>
      <c r="F433" s="108"/>
      <c r="G433" s="108"/>
      <c r="H433" s="108"/>
      <c r="I433" s="112"/>
      <c r="J433" s="113"/>
      <c r="K433" s="267"/>
      <c r="L433" s="267"/>
      <c r="M433" s="267"/>
      <c r="N433" s="419"/>
      <c r="O433" s="258"/>
      <c r="P433" s="258"/>
      <c r="Q433" s="258"/>
      <c r="R433" s="258"/>
      <c r="S433" s="258"/>
      <c r="T433" s="258"/>
      <c r="U433" s="258"/>
      <c r="V433" s="258"/>
      <c r="W433" s="258"/>
      <c r="X433" s="258"/>
      <c r="Y433" s="258"/>
      <c r="Z433" s="258"/>
      <c r="AA433" s="258"/>
      <c r="AB433" s="258"/>
      <c r="AC433" s="258"/>
      <c r="AD433" s="258"/>
      <c r="AE433" s="258"/>
      <c r="AF433" s="258"/>
      <c r="AG433" s="258"/>
      <c r="AH433" s="258"/>
      <c r="AI433" s="258"/>
      <c r="AJ433" s="258"/>
      <c r="AK433" s="258"/>
    </row>
    <row r="434" spans="2:37" s="9" customFormat="1" ht="18" thickBot="1">
      <c r="B434" s="439"/>
      <c r="C434" s="114"/>
      <c r="D434" s="115" t="s">
        <v>314</v>
      </c>
      <c r="E434" s="116" t="s">
        <v>324</v>
      </c>
      <c r="F434" s="117"/>
      <c r="G434" s="117"/>
      <c r="H434" s="118" t="s">
        <v>320</v>
      </c>
      <c r="I434" s="120">
        <f>I431/I432</f>
        <v>25.369328209258313</v>
      </c>
      <c r="J434" s="119" t="s">
        <v>4</v>
      </c>
      <c r="K434" s="267"/>
      <c r="L434" s="267"/>
      <c r="M434" s="267"/>
      <c r="N434" s="419"/>
      <c r="O434" s="258"/>
      <c r="P434" s="258"/>
      <c r="Q434" s="258"/>
      <c r="R434" s="258"/>
      <c r="S434" s="258"/>
      <c r="T434" s="258"/>
      <c r="U434" s="258"/>
      <c r="V434" s="258"/>
      <c r="W434" s="258"/>
      <c r="X434" s="258"/>
      <c r="Y434" s="258"/>
      <c r="Z434" s="258"/>
      <c r="AA434" s="258"/>
      <c r="AB434" s="258"/>
      <c r="AC434" s="258"/>
      <c r="AD434" s="258"/>
      <c r="AE434" s="258"/>
      <c r="AF434" s="258"/>
      <c r="AG434" s="258"/>
      <c r="AH434" s="258"/>
      <c r="AI434" s="258"/>
      <c r="AJ434" s="258"/>
      <c r="AK434" s="258"/>
    </row>
    <row r="435" spans="2:37" s="9" customFormat="1">
      <c r="B435" s="439"/>
      <c r="C435" s="112"/>
      <c r="D435" s="106"/>
      <c r="E435" s="112"/>
      <c r="F435" s="108"/>
      <c r="G435" s="108"/>
      <c r="H435" s="108"/>
      <c r="I435" s="112"/>
      <c r="J435" s="112"/>
      <c r="K435" s="267"/>
      <c r="L435" s="267"/>
      <c r="M435" s="267"/>
      <c r="N435" s="419"/>
      <c r="O435" s="258"/>
      <c r="P435" s="258"/>
      <c r="Q435" s="258"/>
      <c r="R435" s="258"/>
      <c r="S435" s="258"/>
      <c r="T435" s="258"/>
      <c r="U435" s="258"/>
      <c r="V435" s="258"/>
      <c r="W435" s="258"/>
      <c r="X435" s="258"/>
      <c r="Y435" s="258"/>
      <c r="Z435" s="258"/>
      <c r="AA435" s="258"/>
      <c r="AB435" s="258"/>
      <c r="AC435" s="258"/>
      <c r="AD435" s="258"/>
      <c r="AE435" s="258"/>
      <c r="AF435" s="258"/>
      <c r="AG435" s="258"/>
      <c r="AH435" s="258"/>
      <c r="AI435" s="258"/>
      <c r="AJ435" s="258"/>
      <c r="AK435" s="258"/>
    </row>
    <row r="436" spans="2:37" s="9" customFormat="1" ht="15">
      <c r="B436" s="439"/>
      <c r="C436" s="123" t="s">
        <v>325</v>
      </c>
      <c r="D436" s="122" t="s">
        <v>313</v>
      </c>
      <c r="E436" s="100"/>
      <c r="F436" s="101"/>
      <c r="G436" s="101"/>
      <c r="H436" s="102" t="s">
        <v>319</v>
      </c>
      <c r="I436" s="101">
        <f>(-E408)*(G177-G155)+(2*E129*G172*(2*D121-D129)+E121*F121*1*G155+2*E129*F121*G172+G172*H129*F129)/100</f>
        <v>8102.5118848809416</v>
      </c>
      <c r="J436" s="104" t="s">
        <v>46</v>
      </c>
      <c r="K436" s="267"/>
      <c r="L436" s="267"/>
      <c r="M436" s="267"/>
      <c r="N436" s="419"/>
      <c r="O436" s="258"/>
      <c r="P436" s="258"/>
      <c r="Q436" s="258"/>
      <c r="R436" s="258"/>
      <c r="S436" s="258"/>
      <c r="T436" s="258"/>
      <c r="U436" s="258"/>
      <c r="V436" s="258"/>
      <c r="W436" s="258"/>
      <c r="X436" s="258"/>
      <c r="Y436" s="258"/>
      <c r="Z436" s="258"/>
      <c r="AA436" s="258"/>
      <c r="AB436" s="258"/>
      <c r="AC436" s="258"/>
      <c r="AD436" s="258"/>
      <c r="AE436" s="258"/>
      <c r="AF436" s="258"/>
      <c r="AG436" s="258"/>
      <c r="AH436" s="258"/>
      <c r="AI436" s="258"/>
      <c r="AJ436" s="258"/>
      <c r="AK436" s="258"/>
    </row>
    <row r="437" spans="2:37" s="9" customFormat="1" ht="17.25">
      <c r="B437" s="439"/>
      <c r="C437" s="105"/>
      <c r="D437" s="106" t="s">
        <v>314</v>
      </c>
      <c r="E437" s="107" t="s">
        <v>315</v>
      </c>
      <c r="F437" s="108"/>
      <c r="G437" s="108"/>
      <c r="H437" s="109" t="s">
        <v>318</v>
      </c>
      <c r="I437" s="121">
        <f>I432</f>
        <v>340.05714285714288</v>
      </c>
      <c r="J437" s="110" t="s">
        <v>73</v>
      </c>
      <c r="K437" s="267"/>
      <c r="L437" s="267"/>
      <c r="M437" s="267"/>
      <c r="N437" s="419"/>
      <c r="O437" s="258"/>
      <c r="P437" s="258"/>
      <c r="Q437" s="258"/>
      <c r="R437" s="258"/>
      <c r="S437" s="258"/>
      <c r="T437" s="258"/>
      <c r="U437" s="258"/>
      <c r="V437" s="258"/>
      <c r="W437" s="258"/>
      <c r="X437" s="258"/>
      <c r="Y437" s="258"/>
      <c r="Z437" s="258"/>
      <c r="AA437" s="258"/>
      <c r="AB437" s="258"/>
      <c r="AC437" s="258"/>
      <c r="AD437" s="258"/>
      <c r="AE437" s="258"/>
      <c r="AF437" s="258"/>
      <c r="AG437" s="258"/>
      <c r="AH437" s="258"/>
      <c r="AI437" s="258"/>
      <c r="AJ437" s="258"/>
      <c r="AK437" s="258"/>
    </row>
    <row r="438" spans="2:37" s="9" customFormat="1" ht="18" thickBot="1">
      <c r="B438" s="439"/>
      <c r="C438" s="105"/>
      <c r="D438" s="106" t="s">
        <v>314</v>
      </c>
      <c r="E438" s="111" t="s">
        <v>322</v>
      </c>
      <c r="F438" s="108"/>
      <c r="G438" s="108"/>
      <c r="H438" s="108"/>
      <c r="I438" s="112"/>
      <c r="J438" s="113"/>
      <c r="K438" s="267"/>
      <c r="L438" s="267"/>
      <c r="M438" s="267"/>
      <c r="N438" s="419"/>
      <c r="O438" s="258"/>
      <c r="P438" s="258"/>
      <c r="Q438" s="258"/>
      <c r="R438" s="258"/>
      <c r="S438" s="258"/>
      <c r="T438" s="258"/>
      <c r="U438" s="258"/>
      <c r="V438" s="258"/>
      <c r="W438" s="258"/>
      <c r="X438" s="258"/>
      <c r="Y438" s="258"/>
      <c r="Z438" s="258"/>
      <c r="AA438" s="258"/>
      <c r="AB438" s="258"/>
      <c r="AC438" s="258"/>
      <c r="AD438" s="258"/>
      <c r="AE438" s="258"/>
      <c r="AF438" s="258"/>
      <c r="AG438" s="258"/>
      <c r="AH438" s="258"/>
      <c r="AI438" s="258"/>
      <c r="AJ438" s="258"/>
      <c r="AK438" s="258"/>
    </row>
    <row r="439" spans="2:37" s="9" customFormat="1" ht="18" thickBot="1">
      <c r="B439" s="439"/>
      <c r="C439" s="114"/>
      <c r="D439" s="115" t="s">
        <v>314</v>
      </c>
      <c r="E439" s="116" t="s">
        <v>324</v>
      </c>
      <c r="F439" s="117"/>
      <c r="G439" s="117"/>
      <c r="H439" s="118" t="s">
        <v>320</v>
      </c>
      <c r="I439" s="120">
        <f>I436/I437</f>
        <v>23.826912785316161</v>
      </c>
      <c r="J439" s="119" t="s">
        <v>4</v>
      </c>
      <c r="K439" s="267"/>
      <c r="L439" s="267"/>
      <c r="M439" s="267"/>
      <c r="N439" s="419"/>
      <c r="O439" s="258"/>
      <c r="P439" s="258"/>
      <c r="Q439" s="258"/>
      <c r="R439" s="258"/>
      <c r="S439" s="258"/>
      <c r="T439" s="258"/>
      <c r="U439" s="258"/>
      <c r="V439" s="258"/>
      <c r="W439" s="258"/>
      <c r="X439" s="258"/>
      <c r="Y439" s="258"/>
      <c r="Z439" s="258"/>
      <c r="AA439" s="258"/>
      <c r="AB439" s="258"/>
      <c r="AC439" s="258"/>
      <c r="AD439" s="258"/>
      <c r="AE439" s="258"/>
      <c r="AF439" s="258"/>
      <c r="AG439" s="258"/>
      <c r="AH439" s="258"/>
      <c r="AI439" s="258"/>
      <c r="AJ439" s="258"/>
      <c r="AK439" s="258"/>
    </row>
    <row r="440" spans="2:37" s="9" customFormat="1">
      <c r="B440" s="439"/>
      <c r="C440" s="112"/>
      <c r="D440" s="106"/>
      <c r="E440" s="112"/>
      <c r="F440" s="108"/>
      <c r="G440" s="108"/>
      <c r="H440" s="108"/>
      <c r="I440" s="112"/>
      <c r="J440" s="112"/>
      <c r="K440" s="267"/>
      <c r="L440" s="267"/>
      <c r="M440" s="267"/>
      <c r="N440" s="419"/>
      <c r="O440" s="258"/>
      <c r="P440" s="258"/>
      <c r="Q440" s="258"/>
      <c r="R440" s="258"/>
      <c r="S440" s="258"/>
      <c r="T440" s="258"/>
      <c r="U440" s="258"/>
      <c r="V440" s="258"/>
      <c r="W440" s="258"/>
      <c r="X440" s="258"/>
      <c r="Y440" s="258"/>
      <c r="Z440" s="258"/>
      <c r="AA440" s="258"/>
      <c r="AB440" s="258"/>
      <c r="AC440" s="258"/>
      <c r="AD440" s="258"/>
      <c r="AE440" s="258"/>
      <c r="AF440" s="258"/>
      <c r="AG440" s="258"/>
      <c r="AH440" s="258"/>
      <c r="AI440" s="258"/>
      <c r="AJ440" s="258"/>
      <c r="AK440" s="258"/>
    </row>
    <row r="441" spans="2:37" s="9" customFormat="1" ht="15">
      <c r="B441" s="439"/>
      <c r="C441" s="123" t="s">
        <v>326</v>
      </c>
      <c r="D441" s="122" t="s">
        <v>313</v>
      </c>
      <c r="E441" s="100"/>
      <c r="F441" s="101"/>
      <c r="G441" s="101"/>
      <c r="H441" s="102" t="s">
        <v>319</v>
      </c>
      <c r="I441" s="103">
        <f>(-E407-E408)*(G177-0.85*G155)+(2*E129*G172*(2*D121-D129)+E121*F121*0.85*G155+2*E129*F121*G172+G172*H129*F129)/100</f>
        <v>7417.3564839197243</v>
      </c>
      <c r="J441" s="104" t="s">
        <v>46</v>
      </c>
      <c r="K441" s="267"/>
      <c r="L441" s="267"/>
      <c r="M441" s="267"/>
      <c r="N441" s="419"/>
      <c r="O441" s="258"/>
      <c r="P441" s="258"/>
      <c r="Q441" s="258"/>
      <c r="R441" s="258"/>
      <c r="S441" s="258"/>
      <c r="T441" s="258"/>
      <c r="U441" s="258"/>
      <c r="V441" s="258"/>
      <c r="W441" s="258"/>
      <c r="X441" s="258"/>
      <c r="Y441" s="258"/>
      <c r="Z441" s="258"/>
      <c r="AA441" s="258"/>
      <c r="AB441" s="258"/>
      <c r="AC441" s="258"/>
      <c r="AD441" s="258"/>
      <c r="AE441" s="258"/>
      <c r="AF441" s="258"/>
      <c r="AG441" s="258"/>
      <c r="AH441" s="258"/>
      <c r="AI441" s="258"/>
      <c r="AJ441" s="258"/>
      <c r="AK441" s="258"/>
    </row>
    <row r="442" spans="2:37" s="9" customFormat="1" ht="17.25">
      <c r="B442" s="439"/>
      <c r="C442" s="105"/>
      <c r="D442" s="106" t="s">
        <v>314</v>
      </c>
      <c r="E442" s="107" t="s">
        <v>327</v>
      </c>
      <c r="F442" s="108"/>
      <c r="G442" s="108"/>
      <c r="H442" s="109" t="s">
        <v>318</v>
      </c>
      <c r="I442" s="19">
        <f>I422</f>
        <v>311.12857142857149</v>
      </c>
      <c r="J442" s="110" t="s">
        <v>73</v>
      </c>
      <c r="K442" s="267"/>
      <c r="L442" s="267"/>
      <c r="M442" s="267"/>
      <c r="N442" s="419"/>
      <c r="O442" s="258"/>
      <c r="P442" s="258"/>
      <c r="Q442" s="258"/>
      <c r="R442" s="258"/>
      <c r="S442" s="258"/>
      <c r="T442" s="258"/>
      <c r="U442" s="258"/>
      <c r="V442" s="258"/>
      <c r="W442" s="258"/>
      <c r="X442" s="258"/>
      <c r="Y442" s="258"/>
      <c r="Z442" s="258"/>
      <c r="AA442" s="258"/>
      <c r="AB442" s="258"/>
      <c r="AC442" s="258"/>
      <c r="AD442" s="258"/>
      <c r="AE442" s="258"/>
      <c r="AF442" s="258"/>
      <c r="AG442" s="258"/>
      <c r="AH442" s="258"/>
      <c r="AI442" s="258"/>
      <c r="AJ442" s="258"/>
      <c r="AK442" s="258"/>
    </row>
    <row r="443" spans="2:37" s="9" customFormat="1" ht="18" thickBot="1">
      <c r="B443" s="439"/>
      <c r="C443" s="105"/>
      <c r="D443" s="106" t="s">
        <v>314</v>
      </c>
      <c r="E443" s="111" t="s">
        <v>316</v>
      </c>
      <c r="F443" s="108"/>
      <c r="G443" s="108"/>
      <c r="H443" s="108"/>
      <c r="I443" s="112"/>
      <c r="J443" s="113"/>
      <c r="K443" s="267"/>
      <c r="L443" s="267"/>
      <c r="M443" s="267"/>
      <c r="N443" s="419"/>
      <c r="O443" s="258"/>
      <c r="P443" s="258"/>
      <c r="Q443" s="258"/>
      <c r="R443" s="258"/>
      <c r="S443" s="258"/>
      <c r="T443" s="258"/>
      <c r="U443" s="258"/>
      <c r="V443" s="258"/>
      <c r="W443" s="258"/>
      <c r="X443" s="258"/>
      <c r="Y443" s="258"/>
      <c r="Z443" s="258"/>
      <c r="AA443" s="258"/>
      <c r="AB443" s="258"/>
      <c r="AC443" s="258"/>
      <c r="AD443" s="258"/>
      <c r="AE443" s="258"/>
      <c r="AF443" s="258"/>
      <c r="AG443" s="258"/>
      <c r="AH443" s="258"/>
      <c r="AI443" s="258"/>
      <c r="AJ443" s="258"/>
      <c r="AK443" s="258"/>
    </row>
    <row r="444" spans="2:37" s="9" customFormat="1" ht="18" thickBot="1">
      <c r="B444" s="439"/>
      <c r="C444" s="114"/>
      <c r="D444" s="115" t="s">
        <v>314</v>
      </c>
      <c r="E444" s="116" t="s">
        <v>317</v>
      </c>
      <c r="F444" s="117"/>
      <c r="G444" s="117"/>
      <c r="H444" s="118" t="s">
        <v>320</v>
      </c>
      <c r="I444" s="17">
        <f>I441/I442</f>
        <v>23.840165015582929</v>
      </c>
      <c r="J444" s="119" t="s">
        <v>4</v>
      </c>
      <c r="K444" s="267"/>
      <c r="L444" s="267"/>
      <c r="M444" s="267"/>
      <c r="N444" s="419"/>
      <c r="O444" s="258"/>
      <c r="P444" s="258"/>
      <c r="Q444" s="258"/>
      <c r="R444" s="258"/>
      <c r="S444" s="258"/>
      <c r="T444" s="258"/>
      <c r="U444" s="258"/>
      <c r="V444" s="258"/>
      <c r="W444" s="258"/>
      <c r="X444" s="258"/>
      <c r="Y444" s="258"/>
      <c r="Z444" s="258"/>
      <c r="AA444" s="258"/>
      <c r="AB444" s="258"/>
      <c r="AC444" s="258"/>
      <c r="AD444" s="258"/>
      <c r="AE444" s="258"/>
      <c r="AF444" s="258"/>
      <c r="AG444" s="258"/>
      <c r="AH444" s="258"/>
      <c r="AI444" s="258"/>
      <c r="AJ444" s="258"/>
      <c r="AK444" s="258"/>
    </row>
    <row r="445" spans="2:37" s="9" customFormat="1">
      <c r="B445" s="439"/>
      <c r="C445" s="112"/>
      <c r="D445" s="106"/>
      <c r="E445" s="112"/>
      <c r="F445" s="108"/>
      <c r="G445" s="108"/>
      <c r="H445" s="108"/>
      <c r="I445" s="112"/>
      <c r="J445" s="112"/>
      <c r="K445" s="267"/>
      <c r="L445" s="267"/>
      <c r="M445" s="267"/>
      <c r="N445" s="419"/>
      <c r="O445" s="258"/>
      <c r="P445" s="258"/>
      <c r="Q445" s="258"/>
      <c r="R445" s="258"/>
      <c r="S445" s="258"/>
      <c r="T445" s="258"/>
      <c r="U445" s="258"/>
      <c r="V445" s="258"/>
      <c r="W445" s="258"/>
      <c r="X445" s="258"/>
      <c r="Y445" s="258"/>
      <c r="Z445" s="258"/>
      <c r="AA445" s="258"/>
      <c r="AB445" s="258"/>
      <c r="AC445" s="258"/>
      <c r="AD445" s="258"/>
      <c r="AE445" s="258"/>
      <c r="AF445" s="258"/>
      <c r="AG445" s="258"/>
      <c r="AH445" s="258"/>
      <c r="AI445" s="258"/>
      <c r="AJ445" s="258"/>
      <c r="AK445" s="258"/>
    </row>
    <row r="446" spans="2:37" s="9" customFormat="1" ht="15">
      <c r="B446" s="439"/>
      <c r="C446" s="123" t="s">
        <v>328</v>
      </c>
      <c r="D446" s="122" t="s">
        <v>313</v>
      </c>
      <c r="E446" s="100"/>
      <c r="F446" s="101"/>
      <c r="G446" s="101"/>
      <c r="H446" s="102" t="s">
        <v>319</v>
      </c>
      <c r="I446" s="101">
        <f>(-E407-E408)*(G177-G155)+(2*E129*G172*(2*D121-D129)+E121*F121*1*G155+2*E129*F121*G172+G172*H129*F129)/100</f>
        <v>7629.7041418154622</v>
      </c>
      <c r="J446" s="104" t="s">
        <v>46</v>
      </c>
      <c r="K446" s="267"/>
      <c r="L446" s="267"/>
      <c r="M446" s="267"/>
      <c r="N446" s="419"/>
      <c r="O446" s="258"/>
      <c r="P446" s="258"/>
      <c r="Q446" s="258"/>
      <c r="R446" s="258"/>
      <c r="S446" s="258"/>
      <c r="T446" s="258"/>
      <c r="U446" s="258"/>
      <c r="V446" s="258"/>
      <c r="W446" s="258"/>
      <c r="X446" s="258"/>
      <c r="Y446" s="258"/>
      <c r="Z446" s="258"/>
      <c r="AA446" s="258"/>
      <c r="AB446" s="258"/>
      <c r="AC446" s="258"/>
      <c r="AD446" s="258"/>
      <c r="AE446" s="258"/>
      <c r="AF446" s="258"/>
      <c r="AG446" s="258"/>
      <c r="AH446" s="258"/>
      <c r="AI446" s="258"/>
      <c r="AJ446" s="258"/>
      <c r="AK446" s="258"/>
    </row>
    <row r="447" spans="2:37" s="9" customFormat="1" ht="17.25">
      <c r="B447" s="439"/>
      <c r="C447" s="105"/>
      <c r="D447" s="106" t="s">
        <v>314</v>
      </c>
      <c r="E447" s="107" t="s">
        <v>327</v>
      </c>
      <c r="F447" s="108"/>
      <c r="G447" s="108"/>
      <c r="H447" s="109" t="s">
        <v>318</v>
      </c>
      <c r="I447" s="108">
        <f>I432</f>
        <v>340.05714285714288</v>
      </c>
      <c r="J447" s="110" t="s">
        <v>73</v>
      </c>
      <c r="K447" s="267"/>
      <c r="L447" s="267"/>
      <c r="M447" s="267"/>
      <c r="N447" s="419"/>
      <c r="O447" s="258"/>
      <c r="P447" s="258"/>
      <c r="Q447" s="258"/>
      <c r="R447" s="258"/>
      <c r="S447" s="258"/>
      <c r="T447" s="258"/>
      <c r="U447" s="258"/>
      <c r="V447" s="258"/>
      <c r="W447" s="258"/>
      <c r="X447" s="258"/>
      <c r="Y447" s="258"/>
      <c r="Z447" s="258"/>
      <c r="AA447" s="258"/>
      <c r="AB447" s="258"/>
      <c r="AC447" s="258"/>
      <c r="AD447" s="258"/>
      <c r="AE447" s="258"/>
      <c r="AF447" s="258"/>
      <c r="AG447" s="258"/>
      <c r="AH447" s="258"/>
      <c r="AI447" s="258"/>
      <c r="AJ447" s="258"/>
      <c r="AK447" s="258"/>
    </row>
    <row r="448" spans="2:37" s="9" customFormat="1" ht="18" thickBot="1">
      <c r="B448" s="439"/>
      <c r="C448" s="105"/>
      <c r="D448" s="106" t="s">
        <v>314</v>
      </c>
      <c r="E448" s="111" t="s">
        <v>316</v>
      </c>
      <c r="F448" s="108"/>
      <c r="G448" s="108"/>
      <c r="H448" s="108"/>
      <c r="I448" s="121"/>
      <c r="J448" s="113"/>
      <c r="K448" s="267"/>
      <c r="L448" s="267"/>
      <c r="M448" s="267"/>
      <c r="N448" s="419"/>
      <c r="O448" s="258"/>
      <c r="P448" s="258"/>
      <c r="Q448" s="258"/>
      <c r="R448" s="258"/>
      <c r="S448" s="258"/>
      <c r="T448" s="258"/>
      <c r="U448" s="258"/>
      <c r="V448" s="258"/>
      <c r="W448" s="258"/>
      <c r="X448" s="258"/>
      <c r="Y448" s="258"/>
      <c r="Z448" s="258"/>
      <c r="AA448" s="258"/>
      <c r="AB448" s="258"/>
      <c r="AC448" s="258"/>
      <c r="AD448" s="258"/>
      <c r="AE448" s="258"/>
      <c r="AF448" s="258"/>
      <c r="AG448" s="258"/>
      <c r="AH448" s="258"/>
      <c r="AI448" s="258"/>
      <c r="AJ448" s="258"/>
      <c r="AK448" s="258"/>
    </row>
    <row r="449" spans="2:37" s="9" customFormat="1" ht="18" thickBot="1">
      <c r="B449" s="439"/>
      <c r="C449" s="114"/>
      <c r="D449" s="115" t="s">
        <v>314</v>
      </c>
      <c r="E449" s="116" t="s">
        <v>324</v>
      </c>
      <c r="F449" s="117"/>
      <c r="G449" s="117"/>
      <c r="H449" s="118" t="s">
        <v>320</v>
      </c>
      <c r="I449" s="120">
        <f>I446/I447</f>
        <v>22.436535453162591</v>
      </c>
      <c r="J449" s="119" t="s">
        <v>4</v>
      </c>
      <c r="K449" s="267"/>
      <c r="L449" s="267"/>
      <c r="M449" s="267"/>
      <c r="N449" s="419"/>
      <c r="O449" s="258"/>
      <c r="P449" s="258"/>
      <c r="Q449" s="258"/>
      <c r="R449" s="258"/>
      <c r="S449" s="258"/>
      <c r="T449" s="258"/>
      <c r="U449" s="258"/>
      <c r="V449" s="258"/>
      <c r="W449" s="258"/>
      <c r="X449" s="258"/>
      <c r="Y449" s="258"/>
      <c r="Z449" s="258"/>
      <c r="AA449" s="258"/>
      <c r="AB449" s="258"/>
      <c r="AC449" s="258"/>
      <c r="AD449" s="258"/>
      <c r="AE449" s="258"/>
      <c r="AF449" s="258"/>
      <c r="AG449" s="258"/>
      <c r="AH449" s="258"/>
      <c r="AI449" s="258"/>
      <c r="AJ449" s="258"/>
      <c r="AK449" s="258"/>
    </row>
    <row r="450" spans="2:37">
      <c r="B450" s="420"/>
      <c r="C450" s="31"/>
      <c r="D450" s="31"/>
      <c r="E450" s="31"/>
      <c r="F450" s="31"/>
      <c r="G450" s="31"/>
      <c r="H450" s="31"/>
      <c r="I450" s="31"/>
      <c r="J450" s="31"/>
      <c r="K450" s="349"/>
      <c r="L450" s="349"/>
      <c r="M450" s="349"/>
      <c r="N450" s="421"/>
    </row>
    <row r="451" spans="2:37">
      <c r="B451" s="420"/>
      <c r="C451" s="31"/>
      <c r="D451" s="31"/>
      <c r="E451" s="31"/>
      <c r="F451" s="31"/>
      <c r="G451" s="31"/>
      <c r="H451" s="31"/>
      <c r="I451" s="31"/>
      <c r="J451" s="31"/>
      <c r="K451" s="349"/>
      <c r="L451" s="349"/>
      <c r="M451" s="349"/>
      <c r="N451" s="421"/>
    </row>
    <row r="452" spans="2:37" ht="17.25">
      <c r="B452" s="420"/>
      <c r="C452" s="441" t="s">
        <v>329</v>
      </c>
      <c r="D452" s="8"/>
      <c r="E452" s="8"/>
      <c r="F452" s="8"/>
      <c r="G452" s="31"/>
      <c r="H452" s="31"/>
      <c r="I452" s="31"/>
      <c r="J452" s="31"/>
      <c r="K452" s="349"/>
      <c r="L452" s="349"/>
      <c r="M452" s="349"/>
      <c r="N452" s="421"/>
    </row>
    <row r="453" spans="2:37">
      <c r="B453" s="420"/>
      <c r="C453" s="31"/>
      <c r="D453" s="31"/>
      <c r="E453" s="31"/>
      <c r="F453" s="31"/>
      <c r="G453" s="31"/>
      <c r="H453" s="31"/>
      <c r="I453" s="31"/>
      <c r="J453" s="31"/>
      <c r="K453" s="349"/>
      <c r="L453" s="349"/>
      <c r="M453" s="349"/>
      <c r="N453" s="421"/>
    </row>
    <row r="454" spans="2:37" ht="15">
      <c r="B454" s="420"/>
      <c r="C454" s="31" t="s">
        <v>128</v>
      </c>
      <c r="D454" s="31"/>
      <c r="E454" s="92">
        <f>(H129*F129+(D121-I444*10)*2*E129)*G172/100</f>
        <v>6161.9638548530966</v>
      </c>
      <c r="F454" s="31" t="s">
        <v>46</v>
      </c>
      <c r="G454" s="31"/>
      <c r="H454" s="31"/>
      <c r="I454" s="31"/>
      <c r="J454" s="31"/>
      <c r="K454" s="349"/>
      <c r="L454" s="349"/>
      <c r="M454" s="349"/>
      <c r="N454" s="421"/>
    </row>
    <row r="455" spans="2:37" ht="17.25">
      <c r="B455" s="437"/>
      <c r="C455" s="31" t="s">
        <v>129</v>
      </c>
      <c r="D455" s="31"/>
      <c r="E455" s="92">
        <f>((H129*F129+(D121-I444*10)*2*E129)*G172-((D129-D121+I444*10)*2*E129*G172-2*E129*F121*G172))/100</f>
        <v>5327.3277097061928</v>
      </c>
      <c r="F455" s="31" t="s">
        <v>46</v>
      </c>
      <c r="G455" s="626" t="s">
        <v>330</v>
      </c>
      <c r="H455" s="627">
        <f>E455</f>
        <v>5327.3277097061928</v>
      </c>
      <c r="I455" s="628" t="s">
        <v>46</v>
      </c>
      <c r="J455" s="31"/>
      <c r="K455" s="349"/>
      <c r="L455" s="349"/>
      <c r="M455" s="349"/>
      <c r="N455" s="421"/>
    </row>
    <row r="456" spans="2:37" ht="15">
      <c r="B456" s="420"/>
      <c r="C456" s="31" t="s">
        <v>129</v>
      </c>
      <c r="D456" s="31"/>
      <c r="E456" s="92">
        <f>(E407+E408)*(G177-G155)+(E121*I444*10*0.85*G155-E121*F121*0.85*G155)/100</f>
        <v>5288.5514803818824</v>
      </c>
      <c r="F456" s="31" t="s">
        <v>46</v>
      </c>
      <c r="G456" s="31"/>
      <c r="H456" s="31"/>
      <c r="I456" s="31"/>
      <c r="J456" s="31"/>
      <c r="K456" s="349"/>
      <c r="L456" s="349"/>
      <c r="M456" s="349"/>
      <c r="N456" s="421"/>
    </row>
    <row r="457" spans="2:37" ht="15">
      <c r="B457" s="420"/>
      <c r="C457" s="31"/>
      <c r="D457" s="31"/>
      <c r="E457" s="111"/>
      <c r="F457" s="31"/>
      <c r="G457" s="31"/>
      <c r="H457" s="31"/>
      <c r="I457" s="31"/>
      <c r="J457" s="31"/>
      <c r="K457" s="349"/>
      <c r="L457" s="349"/>
      <c r="M457" s="349"/>
      <c r="N457" s="421"/>
    </row>
    <row r="458" spans="2:37">
      <c r="B458" s="420"/>
      <c r="C458" s="31"/>
      <c r="D458" s="31"/>
      <c r="E458" s="31"/>
      <c r="F458" s="31"/>
      <c r="G458" s="31"/>
      <c r="H458" s="31"/>
      <c r="I458" s="31"/>
      <c r="J458" s="31"/>
      <c r="K458" s="349"/>
      <c r="L458" s="349"/>
      <c r="M458" s="349"/>
      <c r="N458" s="421"/>
    </row>
    <row r="459" spans="2:37">
      <c r="B459" s="420"/>
      <c r="C459" s="31"/>
      <c r="D459" s="31"/>
      <c r="E459" s="31"/>
      <c r="F459" s="31"/>
      <c r="G459" s="31"/>
      <c r="H459" s="31"/>
      <c r="I459" s="31"/>
      <c r="J459" s="31"/>
      <c r="K459" s="349"/>
      <c r="L459" s="349"/>
      <c r="M459" s="349"/>
      <c r="N459" s="421"/>
    </row>
    <row r="460" spans="2:37" ht="18.75">
      <c r="B460" s="420"/>
      <c r="C460" s="441" t="s">
        <v>331</v>
      </c>
      <c r="D460" s="1026" t="s">
        <v>332</v>
      </c>
      <c r="E460" s="1026"/>
      <c r="F460" s="1026"/>
      <c r="G460" s="31"/>
      <c r="H460" s="31"/>
      <c r="I460" s="31"/>
      <c r="J460" s="31"/>
      <c r="K460" s="349"/>
      <c r="L460" s="349"/>
      <c r="M460" s="349"/>
      <c r="N460" s="421"/>
    </row>
    <row r="461" spans="2:37">
      <c r="B461" s="420"/>
      <c r="C461" s="31"/>
      <c r="D461" s="31"/>
      <c r="E461" s="31"/>
      <c r="F461" s="31"/>
      <c r="G461" s="31"/>
      <c r="H461" s="31"/>
      <c r="I461" s="31"/>
      <c r="J461" s="31"/>
      <c r="K461" s="349"/>
      <c r="L461" s="349"/>
      <c r="M461" s="349"/>
      <c r="N461" s="421"/>
    </row>
    <row r="462" spans="2:37" ht="18.75">
      <c r="B462" s="420"/>
      <c r="C462" s="173" t="s">
        <v>72</v>
      </c>
      <c r="D462" s="131">
        <f>I444*10</f>
        <v>238.40165015582929</v>
      </c>
      <c r="E462" s="180" t="s">
        <v>6</v>
      </c>
      <c r="F462" s="31"/>
      <c r="G462" s="128" t="s">
        <v>75</v>
      </c>
      <c r="H462" s="131">
        <f>(G172*E129*(D121-I444*10)*(D121-I444*10)+F129*H129*G172*(D121-I444*10+H129/2))/1000</f>
        <v>52001.407258940439</v>
      </c>
      <c r="I462" s="112" t="s">
        <v>74</v>
      </c>
      <c r="J462" s="31"/>
      <c r="K462" s="349"/>
      <c r="L462" s="440">
        <f>(G172*E129*(D121-I444*10)*(D121-I444*10))/1000</f>
        <v>2450.2509766033363</v>
      </c>
      <c r="M462" s="349"/>
      <c r="N462" s="421"/>
    </row>
    <row r="463" spans="2:37" ht="18.75">
      <c r="B463" s="420"/>
      <c r="C463" s="173" t="s">
        <v>76</v>
      </c>
      <c r="D463" s="131">
        <f>D462-G145</f>
        <v>194.40165015582929</v>
      </c>
      <c r="E463" s="180" t="s">
        <v>6</v>
      </c>
      <c r="F463" s="31"/>
      <c r="G463" s="128" t="s">
        <v>97</v>
      </c>
      <c r="H463" s="131">
        <f>(E121*0.85*G155*D462*(D462/2))/1000</f>
        <v>46584.686035416606</v>
      </c>
      <c r="I463" s="112" t="s">
        <v>74</v>
      </c>
      <c r="J463" s="31"/>
      <c r="K463" s="349"/>
      <c r="L463" s="440">
        <f>(F129*H129*G172*(D121-I444*10+H129/2))/1000</f>
        <v>49551.156282337099</v>
      </c>
      <c r="M463" s="349"/>
      <c r="N463" s="421"/>
    </row>
    <row r="464" spans="2:37" ht="18.75">
      <c r="B464" s="420"/>
      <c r="C464" s="173" t="s">
        <v>77</v>
      </c>
      <c r="D464" s="131">
        <f>D121-D129</f>
        <v>65</v>
      </c>
      <c r="E464" s="180" t="s">
        <v>6</v>
      </c>
      <c r="F464" s="31"/>
      <c r="G464" s="128" t="s">
        <v>98</v>
      </c>
      <c r="H464" s="131">
        <f>(E408*100*(G177-0.85*G155)*D463)/1000</f>
        <v>37368.895220750303</v>
      </c>
      <c r="I464" s="112" t="s">
        <v>74</v>
      </c>
      <c r="J464" s="31"/>
      <c r="K464" s="349"/>
      <c r="L464" s="349"/>
      <c r="M464" s="349"/>
      <c r="N464" s="421"/>
    </row>
    <row r="465" spans="2:14" ht="18.75">
      <c r="B465" s="420"/>
      <c r="C465" s="173" t="s">
        <v>78</v>
      </c>
      <c r="D465" s="131">
        <f>D462-D464</f>
        <v>173.40165015582929</v>
      </c>
      <c r="E465" s="180" t="s">
        <v>6</v>
      </c>
      <c r="F465" s="31"/>
      <c r="G465" s="128" t="s">
        <v>99</v>
      </c>
      <c r="H465" s="131">
        <f>(2*E129*G172*D465*(D465/2))/1000</f>
        <v>11065.072677849377</v>
      </c>
      <c r="I465" s="112" t="s">
        <v>74</v>
      </c>
      <c r="J465" s="31"/>
      <c r="K465" s="349"/>
      <c r="L465" s="349"/>
      <c r="M465" s="349"/>
      <c r="N465" s="421"/>
    </row>
    <row r="466" spans="2:14" ht="18.75">
      <c r="B466" s="420"/>
      <c r="C466" s="173" t="s">
        <v>80</v>
      </c>
      <c r="D466" s="131">
        <f>D465^2</f>
        <v>30068.132276764612</v>
      </c>
      <c r="E466" s="180" t="s">
        <v>79</v>
      </c>
      <c r="F466" s="31"/>
      <c r="G466" s="128" t="s">
        <v>100</v>
      </c>
      <c r="H466" s="131">
        <f>(-E121*F121*0.85*G155*D469)/1000</f>
        <v>-12629.219447469783</v>
      </c>
      <c r="I466" s="112" t="s">
        <v>74</v>
      </c>
      <c r="J466" s="31"/>
      <c r="K466" s="349"/>
      <c r="L466" s="349"/>
      <c r="M466" s="349"/>
      <c r="N466" s="421"/>
    </row>
    <row r="467" spans="2:14" ht="18.75">
      <c r="B467" s="420"/>
      <c r="C467" s="173" t="s">
        <v>81</v>
      </c>
      <c r="D467" s="442">
        <f>G146-(D121-D462)</f>
        <v>-35.598349844170713</v>
      </c>
      <c r="E467" s="180" t="s">
        <v>6</v>
      </c>
      <c r="F467" s="31"/>
      <c r="G467" s="128" t="s">
        <v>101</v>
      </c>
      <c r="H467" s="131">
        <f>(-2*E129*F121*G172*D469)/1000</f>
        <v>-5670.2168708814215</v>
      </c>
      <c r="I467" s="112" t="s">
        <v>74</v>
      </c>
      <c r="J467" s="31"/>
      <c r="K467" s="349"/>
      <c r="L467" s="349"/>
      <c r="M467" s="349"/>
      <c r="N467" s="421"/>
    </row>
    <row r="468" spans="2:14" ht="18.75">
      <c r="B468" s="420"/>
      <c r="C468" s="173" t="s">
        <v>82</v>
      </c>
      <c r="D468" s="131">
        <f>D465-G121</f>
        <v>63.401650155829287</v>
      </c>
      <c r="E468" s="180" t="s">
        <v>6</v>
      </c>
      <c r="F468" s="31"/>
      <c r="G468" s="128" t="s">
        <v>102</v>
      </c>
      <c r="H468" s="131">
        <f>(E407*100*(G177-0.85*G155)*(D467))/1000</f>
        <v>-1710.7249402102605</v>
      </c>
      <c r="I468" s="112" t="s">
        <v>74</v>
      </c>
      <c r="J468" s="31"/>
      <c r="K468" s="349"/>
      <c r="L468" s="349"/>
      <c r="M468" s="349"/>
      <c r="N468" s="421"/>
    </row>
    <row r="469" spans="2:14" ht="18.75">
      <c r="B469" s="420"/>
      <c r="C469" s="173" t="s">
        <v>86</v>
      </c>
      <c r="D469" s="131">
        <f>D462-G121</f>
        <v>128.40165015582929</v>
      </c>
      <c r="E469" s="180" t="s">
        <v>6</v>
      </c>
      <c r="F469" s="31"/>
      <c r="G469" s="128" t="s">
        <v>103</v>
      </c>
      <c r="H469" s="131">
        <f>0</f>
        <v>0</v>
      </c>
      <c r="I469" s="112" t="s">
        <v>74</v>
      </c>
      <c r="J469" s="31"/>
      <c r="K469" s="349"/>
      <c r="L469" s="349"/>
      <c r="M469" s="349"/>
      <c r="N469" s="421"/>
    </row>
    <row r="470" spans="2:14" ht="18.75">
      <c r="B470" s="420"/>
      <c r="C470" s="173" t="s">
        <v>104</v>
      </c>
      <c r="D470" s="131">
        <f>D121-D462</f>
        <v>81.598349844170713</v>
      </c>
      <c r="E470" s="180" t="s">
        <v>6</v>
      </c>
      <c r="F470" s="31"/>
      <c r="G470" s="128" t="s">
        <v>83</v>
      </c>
      <c r="H470" s="131">
        <f>SUM(H463:H469)</f>
        <v>75008.492675454836</v>
      </c>
      <c r="I470" s="112" t="s">
        <v>74</v>
      </c>
      <c r="J470" s="31"/>
      <c r="K470" s="349"/>
      <c r="L470" s="440">
        <f>H470/100</f>
        <v>750.08492675454841</v>
      </c>
      <c r="M470" s="440" t="s">
        <v>84</v>
      </c>
      <c r="N470" s="421"/>
    </row>
    <row r="471" spans="2:14" ht="18.75">
      <c r="B471" s="420"/>
      <c r="C471" s="173" t="s">
        <v>105</v>
      </c>
      <c r="D471" s="131">
        <f>D470+H129</f>
        <v>96.598349844170713</v>
      </c>
      <c r="E471" s="180" t="s">
        <v>6</v>
      </c>
      <c r="F471" s="31"/>
      <c r="G471" s="128" t="s">
        <v>83</v>
      </c>
      <c r="H471" s="131">
        <f>(E121*0.85*G155*D462^2/2+E408*100*(G177-0.85*G155)*D463+2*E129*G172*D466/2-E121*F121*0.85*G155*D469-2*E129*F121*G172*D469+E407*100*(G177-0.85*G155)*D467)/1000</f>
        <v>75008.492675454821</v>
      </c>
      <c r="I471" s="112" t="s">
        <v>74</v>
      </c>
      <c r="J471" s="31"/>
      <c r="K471" s="349"/>
      <c r="L471" s="349"/>
      <c r="M471" s="349"/>
      <c r="N471" s="421"/>
    </row>
    <row r="472" spans="2:14">
      <c r="B472" s="420"/>
      <c r="C472" s="31"/>
      <c r="D472" s="31"/>
      <c r="E472" s="31"/>
      <c r="F472" s="31"/>
      <c r="G472" s="31"/>
      <c r="H472" s="31"/>
      <c r="I472" s="31"/>
      <c r="J472" s="31"/>
      <c r="K472" s="349"/>
      <c r="L472" s="349"/>
      <c r="M472" s="349"/>
      <c r="N472" s="421"/>
    </row>
    <row r="473" spans="2:14">
      <c r="B473" s="420"/>
      <c r="C473" s="31"/>
      <c r="D473" s="31"/>
      <c r="E473" s="31"/>
      <c r="F473" s="31"/>
      <c r="G473" s="31"/>
      <c r="H473" s="31"/>
      <c r="I473" s="31"/>
      <c r="J473" s="31"/>
      <c r="K473" s="349"/>
      <c r="L473" s="349"/>
      <c r="M473" s="349"/>
      <c r="N473" s="421"/>
    </row>
    <row r="474" spans="2:14" ht="18.75">
      <c r="B474" s="420"/>
      <c r="C474" s="31"/>
      <c r="D474" s="31"/>
      <c r="E474" s="31"/>
      <c r="F474" s="112"/>
      <c r="G474" s="621" t="s">
        <v>333</v>
      </c>
      <c r="H474" s="622">
        <f>H462+H471</f>
        <v>127009.89993439526</v>
      </c>
      <c r="I474" s="623" t="s">
        <v>74</v>
      </c>
      <c r="J474" s="31"/>
      <c r="K474" s="349"/>
      <c r="L474" s="443" t="s">
        <v>459</v>
      </c>
      <c r="M474" s="440">
        <f>(E121*0.85*G155*D462+E408*100*(G177-G155)-E121*F121*0.85*G155+E407*100*(G177-G155))/100</f>
        <v>5288.5514803818842</v>
      </c>
      <c r="N474" s="444" t="s">
        <v>46</v>
      </c>
    </row>
    <row r="475" spans="2:14" ht="15">
      <c r="B475" s="420"/>
      <c r="C475" s="31"/>
      <c r="D475" s="31"/>
      <c r="E475" s="31"/>
      <c r="F475" s="112"/>
      <c r="G475" s="625"/>
      <c r="H475" s="619">
        <f>H474/100</f>
        <v>1270.0989993439525</v>
      </c>
      <c r="I475" s="620" t="s">
        <v>84</v>
      </c>
      <c r="J475" s="31"/>
      <c r="K475" s="349"/>
      <c r="L475" s="349"/>
      <c r="M475" s="349"/>
      <c r="N475" s="421"/>
    </row>
    <row r="476" spans="2:14">
      <c r="B476" s="420"/>
      <c r="C476" s="31"/>
      <c r="D476" s="31"/>
      <c r="E476" s="31"/>
      <c r="F476" s="112"/>
      <c r="G476" s="112"/>
      <c r="H476" s="31"/>
      <c r="I476" s="31"/>
      <c r="J476" s="31"/>
      <c r="K476" s="349"/>
      <c r="L476" s="349"/>
      <c r="M476" s="349"/>
      <c r="N476" s="421"/>
    </row>
    <row r="477" spans="2:14">
      <c r="B477" s="420"/>
      <c r="C477" s="31"/>
      <c r="D477" s="31"/>
      <c r="E477" s="31"/>
      <c r="F477" s="112"/>
      <c r="G477" s="112"/>
      <c r="H477" s="31"/>
      <c r="I477" s="31"/>
      <c r="J477" s="31"/>
      <c r="K477" s="349"/>
      <c r="L477" s="349"/>
      <c r="M477" s="349"/>
      <c r="N477" s="421"/>
    </row>
    <row r="478" spans="2:14" ht="18.75">
      <c r="B478" s="420"/>
      <c r="C478" s="441" t="s">
        <v>331</v>
      </c>
      <c r="D478" s="1026" t="s">
        <v>334</v>
      </c>
      <c r="E478" s="1026"/>
      <c r="F478" s="1026"/>
      <c r="G478" s="112"/>
      <c r="H478" s="31"/>
      <c r="I478" s="31"/>
      <c r="J478" s="31"/>
      <c r="K478" s="349"/>
      <c r="L478" s="349"/>
      <c r="M478" s="349"/>
      <c r="N478" s="421"/>
    </row>
    <row r="479" spans="2:14">
      <c r="B479" s="420"/>
      <c r="C479" s="31"/>
      <c r="D479" s="31"/>
      <c r="E479" s="31"/>
      <c r="F479" s="112"/>
      <c r="G479" s="112"/>
      <c r="H479" s="31"/>
      <c r="I479" s="31"/>
      <c r="J479" s="31"/>
      <c r="K479" s="349"/>
      <c r="L479" s="349"/>
      <c r="M479" s="349"/>
      <c r="N479" s="421"/>
    </row>
    <row r="480" spans="2:14" ht="18.75">
      <c r="B480" s="420"/>
      <c r="C480" s="308" t="s">
        <v>85</v>
      </c>
      <c r="D480" s="368">
        <f>D121-D462+H129/2</f>
        <v>89.098349844170713</v>
      </c>
      <c r="E480" s="112" t="s">
        <v>6</v>
      </c>
      <c r="F480" s="112"/>
      <c r="G480" s="128" t="s">
        <v>97</v>
      </c>
      <c r="H480" s="129">
        <f>(E121*0.85*G155*D462*(D462/2+D480))/1000</f>
        <v>81405.071305832171</v>
      </c>
      <c r="I480" s="112" t="s">
        <v>74</v>
      </c>
      <c r="J480" s="445" t="s">
        <v>335</v>
      </c>
      <c r="K480" s="267"/>
      <c r="L480" s="267"/>
      <c r="M480" s="349"/>
      <c r="N480" s="421"/>
    </row>
    <row r="481" spans="2:23" ht="18.75">
      <c r="B481" s="420"/>
      <c r="C481" s="31"/>
      <c r="D481" s="31"/>
      <c r="E481" s="31"/>
      <c r="F481" s="31"/>
      <c r="G481" s="128" t="s">
        <v>98</v>
      </c>
      <c r="H481" s="129">
        <f>(E408*100*(G177-0.85*G155)*(D463+D480))/1000</f>
        <v>54495.842944700627</v>
      </c>
      <c r="I481" s="112" t="s">
        <v>74</v>
      </c>
      <c r="J481" s="445" t="s">
        <v>336</v>
      </c>
      <c r="K481" s="263"/>
      <c r="L481" s="267"/>
      <c r="M481" s="349"/>
      <c r="N481" s="421"/>
    </row>
    <row r="482" spans="2:23" ht="22.5">
      <c r="B482" s="446"/>
      <c r="C482" s="31"/>
      <c r="D482" s="31"/>
      <c r="E482" s="31"/>
      <c r="F482" s="31"/>
      <c r="G482" s="128" t="s">
        <v>99</v>
      </c>
      <c r="H482" s="129">
        <f>(2*E129*G172*D465*(D465/2+D480))/1000</f>
        <v>22436.126132256839</v>
      </c>
      <c r="I482" s="112" t="s">
        <v>74</v>
      </c>
      <c r="J482" s="445" t="s">
        <v>337</v>
      </c>
      <c r="K482" s="263"/>
      <c r="L482" s="263"/>
      <c r="M482" s="349"/>
      <c r="N482" s="421"/>
      <c r="W482" s="307"/>
    </row>
    <row r="483" spans="2:23" ht="18.75">
      <c r="B483" s="420"/>
      <c r="C483" s="31"/>
      <c r="D483" s="433"/>
      <c r="E483" s="31"/>
      <c r="F483" s="31"/>
      <c r="G483" s="128" t="s">
        <v>100</v>
      </c>
      <c r="H483" s="129">
        <f>(-E121*F121*0.85*G155*(D469+D480))/1000</f>
        <v>-21392.678571428576</v>
      </c>
      <c r="I483" s="112" t="s">
        <v>74</v>
      </c>
      <c r="J483" s="445" t="s">
        <v>338</v>
      </c>
      <c r="K483" s="447"/>
      <c r="L483" s="267"/>
      <c r="M483" s="349"/>
      <c r="N483" s="421"/>
      <c r="W483" s="307"/>
    </row>
    <row r="484" spans="2:23" ht="22.5">
      <c r="B484" s="420"/>
      <c r="C484" s="31"/>
      <c r="D484" s="31"/>
      <c r="E484" s="31"/>
      <c r="F484" s="31"/>
      <c r="G484" s="128" t="s">
        <v>101</v>
      </c>
      <c r="H484" s="129">
        <f>(-2*E129*F121*G172*(D469+D480))/1000</f>
        <v>-9604.7999999999993</v>
      </c>
      <c r="I484" s="112" t="s">
        <v>74</v>
      </c>
      <c r="J484" s="445" t="s">
        <v>339</v>
      </c>
      <c r="K484" s="447"/>
      <c r="L484" s="267"/>
      <c r="M484" s="349"/>
      <c r="N484" s="421"/>
      <c r="W484" s="307"/>
    </row>
    <row r="485" spans="2:23" ht="22.5">
      <c r="B485" s="420"/>
      <c r="C485" s="31"/>
      <c r="D485" s="31"/>
      <c r="E485" s="31"/>
      <c r="F485" s="31"/>
      <c r="G485" s="128" t="s">
        <v>102</v>
      </c>
      <c r="H485" s="448">
        <f>(E407*100*(G177-0.85*G155)*(G146+H129/2))/1000</f>
        <v>2571.0119907773224</v>
      </c>
      <c r="I485" s="112" t="s">
        <v>74</v>
      </c>
      <c r="J485" s="445" t="s">
        <v>340</v>
      </c>
      <c r="K485" s="263"/>
      <c r="L485" s="267"/>
      <c r="M485" s="349"/>
      <c r="N485" s="421"/>
      <c r="W485" s="307"/>
    </row>
    <row r="486" spans="2:23" ht="22.5">
      <c r="B486" s="420"/>
      <c r="C486" s="31"/>
      <c r="D486" s="31"/>
      <c r="E486" s="31"/>
      <c r="F486" s="31"/>
      <c r="G486" s="128" t="s">
        <v>103</v>
      </c>
      <c r="H486" s="129">
        <f>(-E129*G172*D470*D471)/1000</f>
        <v>-2900.6738677431581</v>
      </c>
      <c r="I486" s="112" t="s">
        <v>74</v>
      </c>
      <c r="J486" s="445" t="s">
        <v>341</v>
      </c>
      <c r="K486" s="263"/>
      <c r="L486" s="267"/>
      <c r="M486" s="349"/>
      <c r="N486" s="421"/>
      <c r="W486" s="307"/>
    </row>
    <row r="487" spans="2:23">
      <c r="B487" s="420"/>
      <c r="C487" s="31"/>
      <c r="D487" s="31"/>
      <c r="E487" s="31"/>
      <c r="F487" s="31"/>
      <c r="G487" s="128"/>
      <c r="H487" s="129"/>
      <c r="I487" s="112"/>
      <c r="J487" s="445"/>
      <c r="K487" s="263"/>
      <c r="L487" s="267"/>
      <c r="M487" s="349"/>
      <c r="N487" s="421"/>
      <c r="W487" s="307"/>
    </row>
    <row r="488" spans="2:23" ht="16.5">
      <c r="B488" s="420"/>
      <c r="C488" s="31"/>
      <c r="D488" s="31"/>
      <c r="E488" s="31"/>
      <c r="F488" s="31"/>
      <c r="G488" s="621" t="s">
        <v>333</v>
      </c>
      <c r="H488" s="622">
        <f>SUM(H480:H486)</f>
        <v>127009.89993439523</v>
      </c>
      <c r="I488" s="623" t="s">
        <v>74</v>
      </c>
      <c r="J488" s="445"/>
      <c r="K488" s="263"/>
      <c r="L488" s="267"/>
      <c r="M488" s="349"/>
      <c r="N488" s="421"/>
      <c r="W488" s="307"/>
    </row>
    <row r="489" spans="2:23" ht="15">
      <c r="B489" s="420"/>
      <c r="C489" s="31"/>
      <c r="D489" s="31"/>
      <c r="E489" s="31"/>
      <c r="F489" s="31"/>
      <c r="G489" s="624"/>
      <c r="H489" s="619">
        <f>H488/100</f>
        <v>1270.0989993439523</v>
      </c>
      <c r="I489" s="620" t="s">
        <v>84</v>
      </c>
      <c r="J489" s="445"/>
      <c r="K489" s="263"/>
      <c r="L489" s="267"/>
      <c r="M489" s="349"/>
      <c r="N489" s="421"/>
    </row>
    <row r="490" spans="2:23">
      <c r="B490" s="420"/>
      <c r="C490" s="31"/>
      <c r="D490" s="31"/>
      <c r="E490" s="31"/>
      <c r="F490" s="31"/>
      <c r="G490" s="128"/>
      <c r="H490" s="129"/>
      <c r="I490" s="112"/>
      <c r="J490" s="445"/>
      <c r="K490" s="263"/>
      <c r="L490" s="349"/>
      <c r="M490" s="349"/>
      <c r="N490" s="421"/>
      <c r="W490" s="307"/>
    </row>
    <row r="491" spans="2:23">
      <c r="B491" s="420"/>
      <c r="C491" s="31"/>
      <c r="D491" s="31"/>
      <c r="E491" s="31"/>
      <c r="F491" s="31"/>
      <c r="G491" s="611" t="s">
        <v>342</v>
      </c>
      <c r="H491" s="612">
        <f>(E121*0.85*G155*D462*(D462/2+D480)+E408*100*(G177-0.85*G155)*(D463+D480)+2*E129*G172*D465*(D465/2+D480))/1000</f>
        <v>158337.04038278965</v>
      </c>
      <c r="I491" s="613"/>
      <c r="J491" s="445"/>
      <c r="K491" s="263"/>
      <c r="L491" s="443">
        <f>H480+H481+H482</f>
        <v>158337.04038278965</v>
      </c>
      <c r="M491" s="349"/>
      <c r="N491" s="421"/>
      <c r="W491" s="307"/>
    </row>
    <row r="492" spans="2:23">
      <c r="B492" s="420"/>
      <c r="C492" s="31"/>
      <c r="D492" s="31"/>
      <c r="E492" s="31"/>
      <c r="F492" s="31"/>
      <c r="G492" s="614"/>
      <c r="H492" s="127">
        <f>(-E121*F121*0.85*G155*(D469+D480)-2*E129*F121*G172*(D469+D480)+E407*100*(G177-0.85*G155)*(G146+H129/2)-E129*G172*D470*D471)/1000</f>
        <v>-31327.14044839441</v>
      </c>
      <c r="I492" s="615"/>
      <c r="J492" s="445"/>
      <c r="K492" s="263"/>
      <c r="L492" s="443">
        <f>H483+H484+H485+H486</f>
        <v>-31327.14044839441</v>
      </c>
      <c r="M492" s="349"/>
      <c r="N492" s="421"/>
      <c r="W492" s="307"/>
    </row>
    <row r="493" spans="2:23" ht="16.5">
      <c r="B493" s="420"/>
      <c r="C493" s="31"/>
      <c r="D493" s="31"/>
      <c r="E493" s="31"/>
      <c r="F493" s="31"/>
      <c r="G493" s="616" t="s">
        <v>333</v>
      </c>
      <c r="H493" s="126">
        <f>H491+H492</f>
        <v>127009.89993439525</v>
      </c>
      <c r="I493" s="617" t="s">
        <v>74</v>
      </c>
      <c r="J493" s="445"/>
      <c r="K493" s="263"/>
      <c r="L493" s="267"/>
      <c r="M493" s="349"/>
      <c r="N493" s="421"/>
      <c r="W493" s="307"/>
    </row>
    <row r="494" spans="2:23" ht="15">
      <c r="B494" s="420"/>
      <c r="C494" s="31"/>
      <c r="D494" s="31"/>
      <c r="E494" s="31"/>
      <c r="F494" s="31"/>
      <c r="G494" s="618"/>
      <c r="H494" s="619">
        <f>H493/100</f>
        <v>1270.0989993439525</v>
      </c>
      <c r="I494" s="620" t="s">
        <v>84</v>
      </c>
      <c r="J494" s="445"/>
      <c r="K494" s="263"/>
      <c r="L494" s="267"/>
      <c r="M494" s="349"/>
      <c r="N494" s="421"/>
      <c r="W494" s="307"/>
    </row>
    <row r="495" spans="2:23">
      <c r="B495" s="420"/>
      <c r="C495" s="31"/>
      <c r="D495" s="31"/>
      <c r="E495" s="31"/>
      <c r="F495" s="31"/>
      <c r="G495" s="128"/>
      <c r="H495" s="129"/>
      <c r="I495" s="112"/>
      <c r="J495" s="445"/>
      <c r="K495" s="263"/>
      <c r="L495" s="267"/>
      <c r="M495" s="349"/>
      <c r="N495" s="421"/>
    </row>
    <row r="496" spans="2:23">
      <c r="B496" s="420"/>
      <c r="C496" s="31"/>
      <c r="D496" s="31"/>
      <c r="E496" s="31"/>
      <c r="F496" s="31"/>
      <c r="G496" s="128"/>
      <c r="H496" s="129"/>
      <c r="I496" s="112"/>
      <c r="J496" s="445"/>
      <c r="K496" s="263"/>
      <c r="L496" s="267"/>
      <c r="M496" s="349"/>
      <c r="N496" s="421"/>
    </row>
    <row r="497" spans="2:15">
      <c r="B497" s="420"/>
      <c r="C497" s="31"/>
      <c r="D497" s="31"/>
      <c r="E497" s="31"/>
      <c r="F497" s="31"/>
      <c r="G497" s="128"/>
      <c r="H497" s="129"/>
      <c r="I497" s="112"/>
      <c r="J497" s="445"/>
      <c r="K497" s="263"/>
      <c r="L497" s="267"/>
      <c r="M497" s="349"/>
      <c r="N497" s="421"/>
    </row>
    <row r="498" spans="2:15">
      <c r="B498" s="420"/>
      <c r="C498" s="31"/>
      <c r="D498" s="31"/>
      <c r="E498" s="31"/>
      <c r="F498" s="31"/>
      <c r="G498" s="128"/>
      <c r="H498" s="129"/>
      <c r="I498" s="112"/>
      <c r="J498" s="445"/>
      <c r="K498" s="263"/>
      <c r="L498" s="267"/>
      <c r="M498" s="349"/>
      <c r="N498" s="421"/>
    </row>
    <row r="499" spans="2:15">
      <c r="B499" s="420"/>
      <c r="C499" s="31"/>
      <c r="D499" s="31"/>
      <c r="E499" s="31"/>
      <c r="F499" s="31"/>
      <c r="G499" s="128"/>
      <c r="H499" s="129"/>
      <c r="I499" s="112"/>
      <c r="J499" s="445"/>
      <c r="K499" s="263"/>
      <c r="L499" s="267"/>
      <c r="M499" s="349"/>
      <c r="N499" s="421"/>
    </row>
    <row r="500" spans="2:15">
      <c r="B500" s="420"/>
      <c r="C500" s="31"/>
      <c r="D500" s="31"/>
      <c r="E500" s="31"/>
      <c r="F500" s="31"/>
      <c r="G500" s="128"/>
      <c r="H500" s="129"/>
      <c r="I500" s="112"/>
      <c r="J500" s="445"/>
      <c r="K500" s="263"/>
      <c r="L500" s="267"/>
      <c r="M500" s="349"/>
      <c r="N500" s="421"/>
    </row>
    <row r="501" spans="2:15" ht="15">
      <c r="B501" s="420"/>
      <c r="C501" s="529" t="s">
        <v>711</v>
      </c>
      <c r="D501" s="530"/>
      <c r="E501" s="530"/>
      <c r="F501" s="530"/>
      <c r="G501" s="128"/>
      <c r="H501" s="129"/>
      <c r="I501" s="112"/>
      <c r="J501" s="445"/>
      <c r="K501" s="263"/>
      <c r="L501" s="267"/>
      <c r="M501" s="349"/>
      <c r="N501" s="421"/>
    </row>
    <row r="502" spans="2:15" ht="15">
      <c r="B502" s="420"/>
      <c r="C502" s="431"/>
      <c r="D502" s="112"/>
      <c r="E502" s="112"/>
      <c r="F502" s="108"/>
      <c r="G502" s="128"/>
      <c r="H502" s="129"/>
      <c r="I502" s="112"/>
      <c r="J502" s="445"/>
      <c r="K502" s="263"/>
      <c r="L502" s="267"/>
      <c r="M502" s="349"/>
      <c r="N502" s="421"/>
    </row>
    <row r="503" spans="2:15" ht="15">
      <c r="B503" s="420"/>
      <c r="C503" s="431"/>
      <c r="D503" s="112"/>
      <c r="E503" s="112"/>
      <c r="F503" s="108"/>
      <c r="G503" s="128"/>
      <c r="H503" s="129"/>
      <c r="I503" s="112"/>
      <c r="J503" s="445"/>
      <c r="K503" s="263"/>
      <c r="L503" s="267"/>
      <c r="M503" s="349"/>
      <c r="N503" s="421"/>
    </row>
    <row r="504" spans="2:15" ht="15">
      <c r="B504" s="420"/>
      <c r="C504" s="308" t="s">
        <v>708</v>
      </c>
      <c r="D504" s="533">
        <f>$G$305</f>
        <v>344.50218105468753</v>
      </c>
      <c r="E504" s="531" t="s">
        <v>706</v>
      </c>
      <c r="F504" s="29">
        <f>$H$475</f>
        <v>1270.0989993439525</v>
      </c>
      <c r="G504" s="532" t="s">
        <v>707</v>
      </c>
      <c r="H504" s="129"/>
      <c r="I504" s="112"/>
      <c r="J504" s="445"/>
      <c r="K504" s="263"/>
      <c r="L504" s="267"/>
      <c r="M504" s="349"/>
      <c r="N504" s="421"/>
    </row>
    <row r="505" spans="2:15" ht="15">
      <c r="B505" s="420"/>
      <c r="C505" s="431"/>
      <c r="D505" s="112"/>
      <c r="E505" s="112"/>
      <c r="F505" s="534">
        <f>D504/F504</f>
        <v>0.27124041608774918</v>
      </c>
      <c r="G505" s="128" t="str">
        <f>IF(D504&lt;=F504,"OK","niespełniony")</f>
        <v>OK</v>
      </c>
      <c r="H505" s="129"/>
      <c r="I505" s="112"/>
      <c r="J505" s="445"/>
      <c r="K505" s="263"/>
      <c r="L505" s="267"/>
      <c r="M505" s="349"/>
      <c r="N505" s="421"/>
    </row>
    <row r="506" spans="2:15">
      <c r="B506" s="420"/>
      <c r="C506" s="31"/>
      <c r="D506" s="31"/>
      <c r="E506" s="31"/>
      <c r="F506" s="31"/>
      <c r="G506" s="128"/>
      <c r="H506" s="129"/>
      <c r="I506" s="112"/>
      <c r="J506" s="445"/>
      <c r="K506" s="263"/>
      <c r="L506" s="267"/>
      <c r="M506" s="349"/>
      <c r="N506" s="421"/>
    </row>
    <row r="507" spans="2:15">
      <c r="B507" s="420"/>
      <c r="C507" s="31"/>
      <c r="D507" s="31"/>
      <c r="E507" s="31"/>
      <c r="F507" s="31"/>
      <c r="G507" s="128"/>
      <c r="H507" s="129"/>
      <c r="I507" s="112"/>
      <c r="J507" s="445"/>
      <c r="K507" s="263"/>
      <c r="L507" s="267"/>
      <c r="M507" s="349"/>
      <c r="N507" s="421"/>
    </row>
    <row r="508" spans="2:15">
      <c r="B508" s="420"/>
      <c r="C508" s="31"/>
      <c r="D508" s="31"/>
      <c r="E508" s="31"/>
      <c r="F508" s="31"/>
      <c r="G508" s="128"/>
      <c r="H508" s="129"/>
      <c r="I508" s="112"/>
      <c r="J508" s="445"/>
      <c r="K508" s="263"/>
      <c r="L508" s="267"/>
      <c r="M508" s="349"/>
      <c r="N508" s="421"/>
    </row>
    <row r="509" spans="2:15">
      <c r="B509" s="420"/>
      <c r="C509" s="31"/>
      <c r="D509" s="31"/>
      <c r="E509" s="31"/>
      <c r="F509" s="31"/>
      <c r="G509" s="128"/>
      <c r="H509" s="129"/>
      <c r="I509" s="112"/>
      <c r="J509" s="445"/>
      <c r="K509" s="263"/>
      <c r="L509" s="267"/>
      <c r="M509" s="349"/>
      <c r="N509" s="421"/>
    </row>
    <row r="510" spans="2:15">
      <c r="B510" s="420"/>
      <c r="C510" s="31"/>
      <c r="D510" s="31"/>
      <c r="E510" s="31"/>
      <c r="F510" s="31"/>
      <c r="G510" s="128"/>
      <c r="H510" s="129"/>
      <c r="I510" s="112"/>
      <c r="J510" s="445"/>
      <c r="K510" s="263"/>
      <c r="L510" s="267"/>
      <c r="M510" s="349"/>
      <c r="N510" s="421"/>
    </row>
    <row r="511" spans="2:15">
      <c r="B511" s="420"/>
      <c r="C511" s="31"/>
      <c r="D511" s="433"/>
      <c r="E511" s="31"/>
      <c r="F511" s="31"/>
      <c r="G511" s="31"/>
      <c r="H511" s="31"/>
      <c r="I511" s="31"/>
      <c r="J511" s="31"/>
      <c r="K511" s="349"/>
      <c r="L511" s="349"/>
      <c r="M511" s="349"/>
      <c r="N511" s="421"/>
    </row>
    <row r="512" spans="2:15" ht="30" customHeight="1">
      <c r="B512" s="439"/>
      <c r="C512" s="608" t="s">
        <v>343</v>
      </c>
      <c r="D512" s="8"/>
      <c r="E512" s="8"/>
      <c r="F512" s="609"/>
      <c r="G512" s="609"/>
      <c r="H512" s="609"/>
      <c r="I512" s="610"/>
      <c r="J512" s="8"/>
      <c r="K512" s="267"/>
      <c r="L512" s="267"/>
      <c r="M512" s="264"/>
      <c r="N512" s="449"/>
      <c r="O512" s="261"/>
    </row>
    <row r="513" spans="2:21" ht="15">
      <c r="B513" s="439"/>
      <c r="C513" s="431"/>
      <c r="D513" s="112"/>
      <c r="E513" s="112"/>
      <c r="F513" s="108"/>
      <c r="G513" s="108"/>
      <c r="H513" s="108"/>
      <c r="I513" s="121"/>
      <c r="J513" s="112"/>
      <c r="K513" s="267"/>
      <c r="L513" s="267"/>
      <c r="M513" s="264"/>
      <c r="N513" s="449"/>
      <c r="O513" s="261"/>
    </row>
    <row r="514" spans="2:21">
      <c r="B514" s="439"/>
      <c r="C514" s="112" t="s">
        <v>311</v>
      </c>
      <c r="D514" s="112"/>
      <c r="E514" s="112"/>
      <c r="F514" s="108"/>
      <c r="G514" s="108"/>
      <c r="H514" s="108"/>
      <c r="I514" s="121"/>
      <c r="J514" s="112"/>
      <c r="K514" s="267"/>
      <c r="L514" s="267"/>
      <c r="M514" s="264"/>
      <c r="N514" s="449"/>
    </row>
    <row r="515" spans="2:21" ht="15">
      <c r="B515" s="439"/>
      <c r="C515" s="431"/>
      <c r="D515" s="112"/>
      <c r="E515" s="112"/>
      <c r="F515" s="108"/>
      <c r="G515" s="108"/>
      <c r="H515" s="108"/>
      <c r="I515" s="121"/>
      <c r="J515" s="112"/>
      <c r="K515" s="267"/>
      <c r="L515" s="267"/>
      <c r="M515" s="264"/>
      <c r="N515" s="449"/>
      <c r="O515" s="124"/>
      <c r="R515" s="526" t="s">
        <v>697</v>
      </c>
    </row>
    <row r="516" spans="2:21" ht="15">
      <c r="B516" s="439"/>
      <c r="C516" s="123" t="s">
        <v>312</v>
      </c>
      <c r="D516" s="122" t="s">
        <v>313</v>
      </c>
      <c r="E516" s="100"/>
      <c r="F516" s="101"/>
      <c r="G516" s="101"/>
      <c r="H516" s="102" t="s">
        <v>319</v>
      </c>
      <c r="I516" s="103">
        <f>E407*G177-E408*(G177-0.85*G155)+(2*E129*G172*(2*D121-D129)+2*E129*F121*(G172-0.85*G155)+E121*F121*0.85*(G155-G164)+G172*H129*F129)/100</f>
        <v>8081.4574264431949</v>
      </c>
      <c r="J516" s="104" t="s">
        <v>46</v>
      </c>
      <c r="K516" s="267"/>
      <c r="L516" s="267"/>
      <c r="M516" s="264"/>
      <c r="N516" s="449"/>
      <c r="O516" s="124"/>
      <c r="R516" s="519" t="s">
        <v>686</v>
      </c>
      <c r="S516" s="521">
        <v>262.65053606437795</v>
      </c>
      <c r="T516" s="257" t="s">
        <v>6</v>
      </c>
    </row>
    <row r="517" spans="2:21" ht="17.25">
      <c r="B517" s="439"/>
      <c r="C517" s="105"/>
      <c r="D517" s="106" t="s">
        <v>314</v>
      </c>
      <c r="E517" s="107" t="s">
        <v>315</v>
      </c>
      <c r="F517" s="108"/>
      <c r="G517" s="108"/>
      <c r="H517" s="109" t="s">
        <v>318</v>
      </c>
      <c r="I517" s="19">
        <f>(E121*0.85*G155+4*E129*G172)/10</f>
        <v>311.12857142857149</v>
      </c>
      <c r="J517" s="110" t="s">
        <v>73</v>
      </c>
      <c r="K517" s="267"/>
      <c r="L517" s="267"/>
      <c r="M517" s="264"/>
      <c r="N517" s="449"/>
      <c r="O517" s="124"/>
      <c r="R517" s="519" t="s">
        <v>686</v>
      </c>
      <c r="S517" s="520">
        <f>S516*0.1</f>
        <v>26.265053606437796</v>
      </c>
      <c r="T517" s="257" t="s">
        <v>4</v>
      </c>
    </row>
    <row r="518" spans="2:21" ht="18" thickBot="1">
      <c r="B518" s="439"/>
      <c r="C518" s="105"/>
      <c r="D518" s="106" t="s">
        <v>314</v>
      </c>
      <c r="E518" s="111" t="s">
        <v>316</v>
      </c>
      <c r="F518" s="108"/>
      <c r="G518" s="108"/>
      <c r="H518" s="108"/>
      <c r="I518" s="112"/>
      <c r="J518" s="113"/>
      <c r="K518" s="267"/>
      <c r="L518" s="267"/>
      <c r="M518" s="264"/>
      <c r="N518" s="449"/>
      <c r="O518" s="124"/>
      <c r="S518" s="307"/>
      <c r="U518" s="307"/>
    </row>
    <row r="519" spans="2:21" ht="18" thickBot="1">
      <c r="B519" s="439"/>
      <c r="C519" s="114"/>
      <c r="D519" s="115" t="s">
        <v>314</v>
      </c>
      <c r="E519" s="116" t="s">
        <v>317</v>
      </c>
      <c r="F519" s="117"/>
      <c r="G519" s="117"/>
      <c r="H519" s="98" t="s">
        <v>320</v>
      </c>
      <c r="I519" s="514">
        <f>I516/I517</f>
        <v>25.974655395152372</v>
      </c>
      <c r="J519" s="99" t="s">
        <v>4</v>
      </c>
      <c r="K519" s="267"/>
      <c r="L519" s="267"/>
      <c r="M519" s="264"/>
      <c r="N519" s="449"/>
      <c r="O519" s="124"/>
      <c r="R519" s="515" t="s">
        <v>468</v>
      </c>
      <c r="S519" s="516">
        <f>-0.85*$E$155*(S516-$F$121)*$E$121*10^-3</f>
        <v>-3322.0212876267669</v>
      </c>
      <c r="T519" s="518" t="s">
        <v>46</v>
      </c>
      <c r="U519" s="522" t="s">
        <v>687</v>
      </c>
    </row>
    <row r="520" spans="2:21" ht="15">
      <c r="B520" s="439"/>
      <c r="C520" s="431"/>
      <c r="D520" s="112"/>
      <c r="E520" s="112"/>
      <c r="F520" s="108"/>
      <c r="G520" s="108"/>
      <c r="H520" s="108"/>
      <c r="I520" s="121"/>
      <c r="J520" s="112"/>
      <c r="K520" s="267"/>
      <c r="L520" s="267"/>
      <c r="M520" s="264"/>
      <c r="N520" s="449"/>
      <c r="O520" s="124"/>
      <c r="R520" s="515" t="s">
        <v>682</v>
      </c>
      <c r="S520" s="516">
        <f>-$E$408*100*$E$177*10^-3</f>
        <v>-2098.0375286582271</v>
      </c>
      <c r="T520" s="518" t="s">
        <v>46</v>
      </c>
      <c r="U520" s="522" t="s">
        <v>688</v>
      </c>
    </row>
    <row r="521" spans="2:21" ht="15">
      <c r="B521" s="439"/>
      <c r="C521" s="123" t="s">
        <v>321</v>
      </c>
      <c r="D521" s="122" t="s">
        <v>313</v>
      </c>
      <c r="E521" s="100"/>
      <c r="F521" s="101"/>
      <c r="G521" s="101"/>
      <c r="H521" s="102" t="s">
        <v>319</v>
      </c>
      <c r="I521" s="103">
        <f>(-E407-E408)*(G177-0.85*G155)+(2*E129*G172*(2*D121-D129)+2*E129*F121*(G172-0.85*G155)+E121*F121*0.85*(G155-G164)+G172*H129*F129)/100</f>
        <v>7076.3850553482971</v>
      </c>
      <c r="J521" s="104" t="s">
        <v>46</v>
      </c>
      <c r="K521" s="267"/>
      <c r="L521" s="267"/>
      <c r="M521" s="264"/>
      <c r="N521" s="449"/>
      <c r="O521" s="124"/>
      <c r="R521" s="515" t="s">
        <v>681</v>
      </c>
      <c r="S521" s="516">
        <f>0.85*$E$155*$E$408*100*10^-3</f>
        <v>175.7855729368643</v>
      </c>
      <c r="T521" s="518" t="s">
        <v>46</v>
      </c>
      <c r="U521" s="522" t="s">
        <v>689</v>
      </c>
    </row>
    <row r="522" spans="2:21" ht="17.25">
      <c r="B522" s="439"/>
      <c r="C522" s="105"/>
      <c r="D522" s="106" t="s">
        <v>314</v>
      </c>
      <c r="E522" s="107" t="s">
        <v>327</v>
      </c>
      <c r="F522" s="108"/>
      <c r="G522" s="108"/>
      <c r="H522" s="109" t="s">
        <v>318</v>
      </c>
      <c r="I522" s="131">
        <f>(E121*0.85*G155+4*E129*G172)/10</f>
        <v>311.12857142857149</v>
      </c>
      <c r="J522" s="110" t="s">
        <v>73</v>
      </c>
      <c r="K522" s="267"/>
      <c r="L522" s="267"/>
      <c r="M522" s="264"/>
      <c r="N522" s="449"/>
      <c r="O522" s="124"/>
      <c r="R522" s="515" t="s">
        <v>677</v>
      </c>
      <c r="S522" s="516">
        <f>-$F$121*$E$121*0.85*$E$164*10^-3</f>
        <v>-306</v>
      </c>
      <c r="T522" s="518" t="s">
        <v>46</v>
      </c>
      <c r="U522" s="522" t="s">
        <v>690</v>
      </c>
    </row>
    <row r="523" spans="2:21" ht="18" thickBot="1">
      <c r="B523" s="439"/>
      <c r="C523" s="105"/>
      <c r="D523" s="106" t="s">
        <v>314</v>
      </c>
      <c r="E523" s="111" t="s">
        <v>316</v>
      </c>
      <c r="F523" s="108"/>
      <c r="G523" s="108"/>
      <c r="H523" s="108"/>
      <c r="I523" s="121"/>
      <c r="J523" s="113"/>
      <c r="K523" s="267"/>
      <c r="L523" s="267"/>
      <c r="M523" s="264"/>
      <c r="N523" s="449"/>
      <c r="O523" s="124"/>
      <c r="R523" s="515" t="s">
        <v>685</v>
      </c>
      <c r="S523" s="516">
        <f>-2*$E$129*$F$121*0.85*$E$155*10^-3</f>
        <v>-34.971428571428575</v>
      </c>
      <c r="T523" s="518" t="s">
        <v>46</v>
      </c>
      <c r="U523" s="522" t="s">
        <v>691</v>
      </c>
    </row>
    <row r="524" spans="2:21" ht="18" thickBot="1">
      <c r="B524" s="439"/>
      <c r="C524" s="114"/>
      <c r="D524" s="115" t="s">
        <v>314</v>
      </c>
      <c r="E524" s="116" t="s">
        <v>317</v>
      </c>
      <c r="F524" s="117"/>
      <c r="G524" s="117"/>
      <c r="H524" s="98" t="s">
        <v>320</v>
      </c>
      <c r="I524" s="514">
        <f>I521/I522</f>
        <v>22.744246929353078</v>
      </c>
      <c r="J524" s="99" t="s">
        <v>4</v>
      </c>
      <c r="K524" s="267"/>
      <c r="L524" s="267"/>
      <c r="M524" s="264"/>
      <c r="N524" s="449"/>
      <c r="O524" s="124"/>
      <c r="R524" s="515" t="s">
        <v>683</v>
      </c>
      <c r="S524" s="517">
        <f>+$E$407*100*$E$177*10^-3</f>
        <v>524.50938216455677</v>
      </c>
      <c r="T524" s="518" t="s">
        <v>46</v>
      </c>
      <c r="U524" s="524" t="s">
        <v>674</v>
      </c>
    </row>
    <row r="525" spans="2:21" ht="15">
      <c r="B525" s="439"/>
      <c r="C525" s="431"/>
      <c r="D525" s="112"/>
      <c r="E525" s="112"/>
      <c r="F525" s="108"/>
      <c r="G525" s="108"/>
      <c r="H525" s="108"/>
      <c r="I525" s="121"/>
      <c r="J525" s="112"/>
      <c r="K525" s="267"/>
      <c r="L525" s="267"/>
      <c r="M525" s="264"/>
      <c r="N525" s="449"/>
      <c r="O525" s="124"/>
      <c r="R525" s="515" t="s">
        <v>684</v>
      </c>
      <c r="S525" s="525">
        <v>0</v>
      </c>
      <c r="T525" s="518" t="s">
        <v>46</v>
      </c>
      <c r="U525" s="523" t="s">
        <v>698</v>
      </c>
    </row>
    <row r="526" spans="2:21" ht="15">
      <c r="B526" s="439"/>
      <c r="C526" s="431"/>
      <c r="D526" s="112"/>
      <c r="E526" s="112"/>
      <c r="F526" s="108"/>
      <c r="G526" s="108"/>
      <c r="H526" s="108"/>
      <c r="I526" s="121"/>
      <c r="J526" s="112"/>
      <c r="K526" s="267"/>
      <c r="L526" s="267"/>
      <c r="M526" s="264"/>
      <c r="N526" s="449"/>
      <c r="O526" s="124"/>
      <c r="R526" s="515" t="s">
        <v>678</v>
      </c>
      <c r="S526" s="516">
        <f>-(S516-($D$121-$D$129)-$F$121)*2*$E$129*$E$172*10^-3</f>
        <v>-1013.1079454338217</v>
      </c>
      <c r="T526" s="518" t="s">
        <v>46</v>
      </c>
      <c r="U526" s="522" t="s">
        <v>693</v>
      </c>
    </row>
    <row r="527" spans="2:21" ht="17.25">
      <c r="B527" s="439"/>
      <c r="C527" s="441" t="s">
        <v>329</v>
      </c>
      <c r="D527" s="8"/>
      <c r="E527" s="8"/>
      <c r="F527" s="8"/>
      <c r="G527" s="31"/>
      <c r="H527" s="31"/>
      <c r="I527" s="31"/>
      <c r="J527" s="112"/>
      <c r="K527" s="267"/>
      <c r="L527" s="267"/>
      <c r="M527" s="264"/>
      <c r="N527" s="449"/>
      <c r="O527" s="124"/>
      <c r="R527" s="515" t="s">
        <v>679</v>
      </c>
      <c r="S527" s="516">
        <f>($D$121-S516)*2*$E$129*$E$172*10^-3</f>
        <v>422.09205456617832</v>
      </c>
      <c r="T527" s="518" t="s">
        <v>46</v>
      </c>
      <c r="U527" s="522" t="s">
        <v>694</v>
      </c>
    </row>
    <row r="528" spans="2:21">
      <c r="B528" s="439"/>
      <c r="C528" s="31"/>
      <c r="D528" s="31"/>
      <c r="E528" s="31"/>
      <c r="F528" s="31"/>
      <c r="G528" s="31"/>
      <c r="H528" s="31"/>
      <c r="I528" s="31"/>
      <c r="J528" s="112"/>
      <c r="K528" s="267"/>
      <c r="L528" s="267"/>
      <c r="M528" s="264"/>
      <c r="N528" s="449"/>
      <c r="O528" s="124"/>
      <c r="R528" s="515" t="s">
        <v>680</v>
      </c>
      <c r="S528" s="516">
        <f>$F$129*$H$129*$E$172*10^-3</f>
        <v>5561.4000000000005</v>
      </c>
      <c r="T528" s="518" t="s">
        <v>46</v>
      </c>
      <c r="U528" s="522" t="s">
        <v>695</v>
      </c>
    </row>
    <row r="529" spans="2:23" ht="15">
      <c r="B529" s="439"/>
      <c r="C529" s="31" t="s">
        <v>128</v>
      </c>
      <c r="D529" s="31"/>
      <c r="E529" s="24">
        <f>(H129*F129+(D121-I524*10)*2*E129)*G172/100</f>
        <v>6242.6234259996136</v>
      </c>
      <c r="F529" s="31" t="s">
        <v>46</v>
      </c>
      <c r="G529" s="31"/>
      <c r="H529" s="31"/>
      <c r="I529" s="31"/>
      <c r="J529" s="112"/>
      <c r="K529" s="267"/>
      <c r="L529" s="267"/>
      <c r="M529" s="264"/>
      <c r="N529" s="449"/>
      <c r="O529" s="124"/>
      <c r="S529" s="307"/>
      <c r="T529" s="307"/>
    </row>
    <row r="530" spans="2:23" ht="17.25">
      <c r="B530" s="439"/>
      <c r="C530" s="31" t="s">
        <v>129</v>
      </c>
      <c r="D530" s="31"/>
      <c r="E530" s="24">
        <f>((H129*F129+(D121-I524*10)*2*E129)*G172-((D129-D121+I524*10)*2*E129*G172-2*E129*F121*(G172-0.85*G155)))/100</f>
        <v>5453.6754234277978</v>
      </c>
      <c r="F530" s="31" t="s">
        <v>46</v>
      </c>
      <c r="G530" s="626" t="s">
        <v>330</v>
      </c>
      <c r="H530" s="629">
        <f>E530</f>
        <v>5453.6754234277978</v>
      </c>
      <c r="I530" s="628" t="s">
        <v>46</v>
      </c>
      <c r="J530" s="112"/>
      <c r="K530" s="267"/>
      <c r="L530" s="267"/>
      <c r="M530" s="264"/>
      <c r="N530" s="449"/>
      <c r="O530" s="124"/>
      <c r="P530" s="307"/>
      <c r="Q530" s="307"/>
      <c r="S530" s="516">
        <f>SUM(S519:S528)</f>
        <v>-90.351180622645188</v>
      </c>
      <c r="T530" s="307" t="s">
        <v>675</v>
      </c>
      <c r="W530" s="307"/>
    </row>
    <row r="531" spans="2:23" ht="15">
      <c r="B531" s="439"/>
      <c r="C531" s="31" t="s">
        <v>129</v>
      </c>
      <c r="D531" s="31"/>
      <c r="E531" s="24">
        <f>(E407+E408)*(G177-0.85*G155)+(E121*I524*10*0.85*G155)/100</f>
        <v>6131.2468519992253</v>
      </c>
      <c r="F531" s="31" t="s">
        <v>46</v>
      </c>
      <c r="G531" s="31"/>
      <c r="H531" s="31"/>
      <c r="I531" s="31"/>
      <c r="J531" s="112"/>
      <c r="K531" s="267"/>
      <c r="L531" s="267"/>
      <c r="M531" s="264"/>
      <c r="N531" s="449"/>
      <c r="O531" s="124"/>
      <c r="P531" s="307"/>
      <c r="Q531" s="307"/>
      <c r="W531" s="307"/>
    </row>
    <row r="532" spans="2:23" ht="15">
      <c r="B532" s="439"/>
      <c r="C532" s="431"/>
      <c r="D532" s="112"/>
      <c r="E532" s="112"/>
      <c r="F532" s="108"/>
      <c r="G532" s="108"/>
      <c r="H532" s="108"/>
      <c r="I532" s="121"/>
      <c r="J532" s="112"/>
      <c r="K532" s="267"/>
      <c r="L532" s="267"/>
      <c r="M532" s="264"/>
      <c r="N532" s="449"/>
      <c r="O532" s="124"/>
      <c r="P532" s="307"/>
      <c r="Q532" s="307"/>
      <c r="W532" s="307"/>
    </row>
    <row r="533" spans="2:23" ht="15">
      <c r="B533" s="439"/>
      <c r="C533" s="431"/>
      <c r="D533" s="112"/>
      <c r="E533" s="112"/>
      <c r="F533" s="108"/>
      <c r="G533" s="108"/>
      <c r="H533" s="108"/>
      <c r="I533" s="121"/>
      <c r="J533" s="112"/>
      <c r="K533" s="267"/>
      <c r="L533" s="267"/>
      <c r="M533" s="264"/>
      <c r="N533" s="449"/>
      <c r="O533" s="124"/>
      <c r="P533" s="307"/>
      <c r="Q533" s="307"/>
      <c r="W533" s="307"/>
    </row>
    <row r="534" spans="2:23" ht="18.75">
      <c r="B534" s="439"/>
      <c r="C534" s="441" t="s">
        <v>331</v>
      </c>
      <c r="D534" s="1026" t="s">
        <v>334</v>
      </c>
      <c r="E534" s="1026"/>
      <c r="F534" s="1026"/>
      <c r="G534" s="108"/>
      <c r="H534" s="108"/>
      <c r="I534" s="121"/>
      <c r="J534" s="112"/>
      <c r="K534" s="267"/>
      <c r="L534" s="267"/>
      <c r="M534" s="264"/>
      <c r="N534" s="449"/>
      <c r="O534" s="124"/>
      <c r="P534" s="307"/>
      <c r="Q534" s="307"/>
      <c r="W534" s="307"/>
    </row>
    <row r="535" spans="2:23" ht="15">
      <c r="B535" s="439"/>
      <c r="C535" s="431"/>
      <c r="D535" s="112"/>
      <c r="E535" s="112"/>
      <c r="F535" s="108"/>
      <c r="G535" s="108"/>
      <c r="H535" s="108"/>
      <c r="I535" s="121"/>
      <c r="J535" s="112"/>
      <c r="K535" s="267"/>
      <c r="L535" s="267"/>
      <c r="M535" s="264"/>
      <c r="N535" s="449"/>
      <c r="O535" s="124"/>
      <c r="P535" s="307"/>
      <c r="Q535" s="307"/>
      <c r="R535" s="307" t="s">
        <v>696</v>
      </c>
      <c r="W535" s="307"/>
    </row>
    <row r="536" spans="2:23" ht="18.75">
      <c r="B536" s="439"/>
      <c r="C536" s="173" t="s">
        <v>72</v>
      </c>
      <c r="D536" s="131">
        <f>I524*10</f>
        <v>227.44246929353079</v>
      </c>
      <c r="E536" s="31" t="s">
        <v>6</v>
      </c>
      <c r="F536" s="31"/>
      <c r="G536" s="128" t="s">
        <v>97</v>
      </c>
      <c r="H536" s="129">
        <f>(E121*0.85*G155*D536*(D536/2+D547))/1000</f>
        <v>79705.956985635916</v>
      </c>
      <c r="I536" s="112" t="s">
        <v>74</v>
      </c>
      <c r="J536" s="445" t="s">
        <v>335</v>
      </c>
      <c r="K536" s="349"/>
      <c r="L536" s="267"/>
      <c r="M536" s="262"/>
      <c r="N536" s="419"/>
      <c r="O536" s="301"/>
      <c r="P536" s="307"/>
      <c r="Q536" s="307"/>
      <c r="R536" s="519" t="s">
        <v>686</v>
      </c>
      <c r="S536" s="521">
        <v>230.34647869247797</v>
      </c>
      <c r="T536" s="257" t="s">
        <v>6</v>
      </c>
      <c r="W536" s="307"/>
    </row>
    <row r="537" spans="2:23" ht="18.75">
      <c r="B537" s="439"/>
      <c r="C537" s="173" t="s">
        <v>76</v>
      </c>
      <c r="D537" s="131">
        <f>D536-G145</f>
        <v>183.44246929353079</v>
      </c>
      <c r="E537" s="31" t="s">
        <v>6</v>
      </c>
      <c r="F537" s="31"/>
      <c r="G537" s="128" t="s">
        <v>98</v>
      </c>
      <c r="H537" s="129">
        <f>(E408*100*(G177-0.85*G155)*(D537+D547))/1000</f>
        <v>54495.842944700627</v>
      </c>
      <c r="I537" s="112" t="s">
        <v>74</v>
      </c>
      <c r="J537" s="445" t="s">
        <v>336</v>
      </c>
      <c r="K537" s="349"/>
      <c r="L537" s="267"/>
      <c r="M537" s="262"/>
      <c r="N537" s="450"/>
      <c r="O537" s="301"/>
      <c r="P537" s="307"/>
      <c r="Q537" s="307"/>
      <c r="R537" s="519" t="s">
        <v>686</v>
      </c>
      <c r="S537" s="520">
        <f>S536*0.1</f>
        <v>23.034647869247799</v>
      </c>
      <c r="T537" s="257" t="s">
        <v>4</v>
      </c>
      <c r="W537" s="307"/>
    </row>
    <row r="538" spans="2:23" ht="22.5">
      <c r="B538" s="439"/>
      <c r="C538" s="173" t="s">
        <v>77</v>
      </c>
      <c r="D538" s="131">
        <f>D121-D129</f>
        <v>65</v>
      </c>
      <c r="E538" s="31" t="s">
        <v>6</v>
      </c>
      <c r="F538" s="31"/>
      <c r="G538" s="128" t="s">
        <v>99</v>
      </c>
      <c r="H538" s="448">
        <f>(2*E129*G172*D539*(D539/2+D547))/1000</f>
        <v>21673.264522004021</v>
      </c>
      <c r="I538" s="112" t="s">
        <v>74</v>
      </c>
      <c r="J538" s="445" t="s">
        <v>337</v>
      </c>
      <c r="K538" s="349"/>
      <c r="L538" s="267"/>
      <c r="M538" s="262"/>
      <c r="N538" s="450"/>
      <c r="O538" s="513"/>
      <c r="P538" s="307"/>
      <c r="Q538" s="307"/>
      <c r="S538" s="307"/>
      <c r="U538" s="307"/>
      <c r="W538" s="307"/>
    </row>
    <row r="539" spans="2:23" ht="22.5">
      <c r="B539" s="439"/>
      <c r="C539" s="173" t="s">
        <v>78</v>
      </c>
      <c r="D539" s="131">
        <f>D536-D538</f>
        <v>162.44246929353079</v>
      </c>
      <c r="E539" s="31" t="s">
        <v>6</v>
      </c>
      <c r="F539" s="31"/>
      <c r="G539" s="128" t="s">
        <v>100</v>
      </c>
      <c r="H539" s="129">
        <f>(-E121*F121*0.85*(G155-G164)*D546)/1000</f>
        <v>-14737.178571428574</v>
      </c>
      <c r="I539" s="112" t="s">
        <v>74</v>
      </c>
      <c r="J539" s="445" t="s">
        <v>344</v>
      </c>
      <c r="K539" s="349"/>
      <c r="L539" s="443">
        <f>G155-G164</f>
        <v>2.952380952380953</v>
      </c>
      <c r="M539" s="262"/>
      <c r="N539" s="451"/>
      <c r="O539" s="260"/>
      <c r="R539" s="515" t="s">
        <v>468</v>
      </c>
      <c r="S539" s="516">
        <f>-0.85*$E$155*(S536-$F$121)*$E$121*10^-3</f>
        <v>-2792.4654899945504</v>
      </c>
      <c r="T539" s="518" t="s">
        <v>46</v>
      </c>
      <c r="U539" s="522" t="s">
        <v>687</v>
      </c>
    </row>
    <row r="540" spans="2:23" ht="22.5">
      <c r="B540" s="439"/>
      <c r="C540" s="173" t="s">
        <v>80</v>
      </c>
      <c r="D540" s="131">
        <f>D539^2</f>
        <v>26387.555830179695</v>
      </c>
      <c r="E540" s="31" t="s">
        <v>79</v>
      </c>
      <c r="F540" s="31"/>
      <c r="G540" s="128" t="s">
        <v>101</v>
      </c>
      <c r="H540" s="448">
        <f>(-2*E129*F121*(G172-0.85*G155)*D546)/1000</f>
        <v>-8844.1714285714279</v>
      </c>
      <c r="I540" s="112" t="s">
        <v>74</v>
      </c>
      <c r="J540" s="445" t="s">
        <v>339</v>
      </c>
      <c r="K540" s="349"/>
      <c r="L540" s="267"/>
      <c r="M540" s="262"/>
      <c r="N540" s="451"/>
      <c r="R540" s="515" t="s">
        <v>682</v>
      </c>
      <c r="S540" s="516">
        <f>-$E$408*100*$E$177*10^-3</f>
        <v>-2098.0375286582271</v>
      </c>
      <c r="T540" s="518" t="s">
        <v>46</v>
      </c>
      <c r="U540" s="522" t="s">
        <v>688</v>
      </c>
    </row>
    <row r="541" spans="2:23" ht="22.5">
      <c r="B541" s="439"/>
      <c r="C541" s="173" t="s">
        <v>81</v>
      </c>
      <c r="D541" s="131">
        <f>G146-D544</f>
        <v>-46.557530706469208</v>
      </c>
      <c r="E541" s="31" t="s">
        <v>6</v>
      </c>
      <c r="F541" s="31"/>
      <c r="G541" s="128" t="s">
        <v>102</v>
      </c>
      <c r="H541" s="448">
        <f>(E407*100*(G177-0.85*G155)*(G146+H129/2))/1000</f>
        <v>2571.0119907773224</v>
      </c>
      <c r="I541" s="112" t="s">
        <v>74</v>
      </c>
      <c r="J541" s="445" t="s">
        <v>340</v>
      </c>
      <c r="K541" s="349"/>
      <c r="L541" s="267"/>
      <c r="M541" s="262"/>
      <c r="N541" s="450"/>
      <c r="R541" s="515" t="s">
        <v>681</v>
      </c>
      <c r="S541" s="516">
        <f>0.85*$E$155*$E$408*100*10^-3</f>
        <v>175.7855729368643</v>
      </c>
      <c r="T541" s="518" t="s">
        <v>46</v>
      </c>
      <c r="U541" s="522" t="s">
        <v>689</v>
      </c>
    </row>
    <row r="542" spans="2:23" ht="22.5">
      <c r="B542" s="439"/>
      <c r="C542" s="173" t="s">
        <v>82</v>
      </c>
      <c r="D542" s="131">
        <f>D539-G121</f>
        <v>52.442469293530792</v>
      </c>
      <c r="E542" s="31" t="s">
        <v>6</v>
      </c>
      <c r="F542" s="31"/>
      <c r="G542" s="128" t="s">
        <v>103</v>
      </c>
      <c r="H542" s="129">
        <f>(-E129*G172*D544*D545)/1000</f>
        <v>-3663.5354779959785</v>
      </c>
      <c r="I542" s="112" t="s">
        <v>74</v>
      </c>
      <c r="J542" s="445" t="s">
        <v>341</v>
      </c>
      <c r="K542" s="349"/>
      <c r="L542" s="267"/>
      <c r="M542" s="262"/>
      <c r="N542" s="450"/>
      <c r="O542" s="263"/>
      <c r="R542" s="515" t="s">
        <v>677</v>
      </c>
      <c r="S542" s="516">
        <f>-$F$121*$E$121*0.85*$E$164*10^-3</f>
        <v>-306</v>
      </c>
      <c r="T542" s="518" t="s">
        <v>46</v>
      </c>
      <c r="U542" s="522" t="s">
        <v>690</v>
      </c>
    </row>
    <row r="543" spans="2:23" ht="18.75">
      <c r="B543" s="439"/>
      <c r="C543" s="173" t="s">
        <v>86</v>
      </c>
      <c r="D543" s="131">
        <f>D536-G121</f>
        <v>117.44246929353079</v>
      </c>
      <c r="E543" s="31" t="s">
        <v>6</v>
      </c>
      <c r="F543" s="31"/>
      <c r="G543" s="128"/>
      <c r="H543" s="31"/>
      <c r="I543" s="112"/>
      <c r="J543" s="31"/>
      <c r="K543" s="267"/>
      <c r="L543" s="267"/>
      <c r="M543" s="264"/>
      <c r="N543" s="449"/>
      <c r="O543" s="264"/>
      <c r="R543" s="515" t="s">
        <v>685</v>
      </c>
      <c r="S543" s="516">
        <f>-2*$E$129*$F$121*0.85*$E$155*10^-3</f>
        <v>-34.971428571428575</v>
      </c>
      <c r="T543" s="518" t="s">
        <v>46</v>
      </c>
      <c r="U543" s="522" t="s">
        <v>691</v>
      </c>
    </row>
    <row r="544" spans="2:23" ht="18.75">
      <c r="B544" s="439"/>
      <c r="C544" s="173" t="s">
        <v>104</v>
      </c>
      <c r="D544" s="131">
        <f>D121-D536</f>
        <v>92.557530706469208</v>
      </c>
      <c r="E544" s="31" t="s">
        <v>6</v>
      </c>
      <c r="F544" s="31"/>
      <c r="G544" s="112"/>
      <c r="H544" s="432"/>
      <c r="I544" s="31"/>
      <c r="J544" s="31"/>
      <c r="K544" s="349"/>
      <c r="L544" s="267"/>
      <c r="M544" s="264"/>
      <c r="N544" s="449"/>
      <c r="O544" s="261"/>
      <c r="R544" s="515" t="s">
        <v>683</v>
      </c>
      <c r="S544" s="517">
        <f>-$E$407*100*$E$177*10^-3</f>
        <v>-524.50938216455677</v>
      </c>
      <c r="T544" s="518" t="s">
        <v>46</v>
      </c>
      <c r="U544" s="524" t="s">
        <v>676</v>
      </c>
    </row>
    <row r="545" spans="2:21" ht="18.75">
      <c r="B545" s="439"/>
      <c r="C545" s="173" t="s">
        <v>105</v>
      </c>
      <c r="D545" s="131">
        <f>D544+H129</f>
        <v>107.55753070646921</v>
      </c>
      <c r="E545" s="31" t="s">
        <v>6</v>
      </c>
      <c r="F545" s="31"/>
      <c r="G545" s="621" t="s">
        <v>333</v>
      </c>
      <c r="H545" s="622">
        <f>SUM(H536:H542)</f>
        <v>131201.1909651219</v>
      </c>
      <c r="I545" s="623" t="s">
        <v>74</v>
      </c>
      <c r="J545" s="112"/>
      <c r="K545" s="267"/>
      <c r="L545" s="267"/>
      <c r="M545" s="264"/>
      <c r="N545" s="449"/>
      <c r="O545" s="261"/>
      <c r="R545" s="515" t="s">
        <v>684</v>
      </c>
      <c r="S545" s="516">
        <f>0.85*$E$155*$E$407*100*10^-3</f>
        <v>43.946393234216075</v>
      </c>
      <c r="T545" s="518" t="s">
        <v>46</v>
      </c>
      <c r="U545" s="523" t="s">
        <v>692</v>
      </c>
    </row>
    <row r="546" spans="2:21" ht="18.75">
      <c r="B546" s="439"/>
      <c r="C546" s="173" t="s">
        <v>106</v>
      </c>
      <c r="D546" s="131">
        <f>D121-G121+H129/2</f>
        <v>217.5</v>
      </c>
      <c r="E546" s="31" t="s">
        <v>6</v>
      </c>
      <c r="F546" s="31"/>
      <c r="G546" s="624"/>
      <c r="H546" s="619">
        <f>H545/100</f>
        <v>1312.011909651219</v>
      </c>
      <c r="I546" s="620" t="s">
        <v>84</v>
      </c>
      <c r="J546" s="112"/>
      <c r="K546" s="267"/>
      <c r="L546" s="443">
        <f>D543+D547</f>
        <v>217.5</v>
      </c>
      <c r="M546" s="443"/>
      <c r="N546" s="449"/>
      <c r="O546" s="261"/>
      <c r="R546" s="515" t="s">
        <v>678</v>
      </c>
      <c r="S546" s="516">
        <f>-(S536-($D$121-$D$129)-$F$121)*2*$E$129*$E$172*10^-3</f>
        <v>-775.3500831766379</v>
      </c>
      <c r="T546" s="518" t="s">
        <v>46</v>
      </c>
      <c r="U546" s="522" t="s">
        <v>693</v>
      </c>
    </row>
    <row r="547" spans="2:21" ht="18.75">
      <c r="B547" s="439"/>
      <c r="C547" s="173" t="s">
        <v>85</v>
      </c>
      <c r="D547" s="129">
        <f>D545-H129/2</f>
        <v>100.05753070646921</v>
      </c>
      <c r="E547" s="31" t="s">
        <v>6</v>
      </c>
      <c r="F547" s="31"/>
      <c r="G547" s="31"/>
      <c r="H547" s="108"/>
      <c r="I547" s="121"/>
      <c r="J547" s="112"/>
      <c r="K547" s="267"/>
      <c r="L547" s="443">
        <f>D544+H129/2</f>
        <v>100.05753070646921</v>
      </c>
      <c r="M547" s="443" t="s">
        <v>6</v>
      </c>
      <c r="N547" s="449"/>
      <c r="O547" s="261"/>
      <c r="R547" s="515" t="s">
        <v>679</v>
      </c>
      <c r="S547" s="516">
        <f>($D$121-S536)*2*$E$129*$E$172*10^-3</f>
        <v>659.84991682336215</v>
      </c>
      <c r="T547" s="518" t="s">
        <v>46</v>
      </c>
      <c r="U547" s="522" t="s">
        <v>694</v>
      </c>
    </row>
    <row r="548" spans="2:21" ht="18.75">
      <c r="B548" s="439"/>
      <c r="C548" s="431"/>
      <c r="D548" s="112"/>
      <c r="E548" s="112"/>
      <c r="F548" s="108"/>
      <c r="G548" s="128" t="s">
        <v>217</v>
      </c>
      <c r="H548" s="121">
        <v>635.20000000000005</v>
      </c>
      <c r="I548" s="112" t="s">
        <v>84</v>
      </c>
      <c r="J548" s="112"/>
      <c r="K548" s="267"/>
      <c r="L548" s="267"/>
      <c r="M548" s="264"/>
      <c r="N548" s="449"/>
      <c r="O548" s="261"/>
      <c r="R548" s="515" t="s">
        <v>680</v>
      </c>
      <c r="S548" s="516">
        <f>$F$129*$H$129*$E$172*10^-3</f>
        <v>5561.4000000000005</v>
      </c>
      <c r="T548" s="518" t="s">
        <v>46</v>
      </c>
      <c r="U548" s="522" t="s">
        <v>695</v>
      </c>
    </row>
    <row r="549" spans="2:21" ht="15">
      <c r="B549" s="439"/>
      <c r="C549" s="431"/>
      <c r="D549" s="112"/>
      <c r="E549" s="112"/>
      <c r="F549" s="108"/>
      <c r="G549" s="128"/>
      <c r="H549" s="121"/>
      <c r="I549" s="112"/>
      <c r="J549" s="112"/>
      <c r="K549" s="267"/>
      <c r="L549" s="267"/>
      <c r="M549" s="264"/>
      <c r="N549" s="449"/>
      <c r="O549" s="261"/>
      <c r="S549" s="307"/>
      <c r="T549" s="307"/>
    </row>
    <row r="550" spans="2:21" ht="15">
      <c r="B550" s="439"/>
      <c r="C550" s="7" t="s">
        <v>352</v>
      </c>
      <c r="D550" s="452"/>
      <c r="E550" s="452"/>
      <c r="F550" s="452"/>
      <c r="G550" s="128"/>
      <c r="H550" s="121"/>
      <c r="I550" s="112"/>
      <c r="J550" s="112"/>
      <c r="K550" s="267"/>
      <c r="L550" s="267"/>
      <c r="M550" s="264"/>
      <c r="N550" s="449"/>
      <c r="O550" s="261"/>
      <c r="S550" s="516">
        <f>SUM(S539:S548)</f>
        <v>-90.352029570958621</v>
      </c>
      <c r="T550" s="307" t="s">
        <v>675</v>
      </c>
    </row>
    <row r="551" spans="2:21" ht="15">
      <c r="B551" s="439"/>
      <c r="C551" s="431"/>
      <c r="D551" s="112"/>
      <c r="E551" s="112"/>
      <c r="F551" s="108"/>
      <c r="G551" s="128"/>
      <c r="H551" s="121"/>
      <c r="I551" s="112"/>
      <c r="J551" s="112"/>
      <c r="K551" s="267"/>
      <c r="L551" s="267"/>
      <c r="M551" s="264"/>
      <c r="N551" s="449"/>
      <c r="O551" s="261"/>
    </row>
    <row r="552" spans="2:21" ht="15">
      <c r="B552" s="439"/>
      <c r="C552" s="168" t="s">
        <v>214</v>
      </c>
      <c r="D552" s="92">
        <f>H546*8/F186^2</f>
        <v>186.5972493726178</v>
      </c>
      <c r="E552" s="31" t="s">
        <v>1</v>
      </c>
      <c r="F552" s="31" t="s">
        <v>353</v>
      </c>
      <c r="G552" s="31"/>
      <c r="H552" s="31"/>
      <c r="I552" s="112"/>
      <c r="J552" s="112"/>
      <c r="K552" s="267"/>
      <c r="L552" s="267"/>
      <c r="M552" s="264"/>
      <c r="N552" s="449"/>
      <c r="O552" s="261"/>
    </row>
    <row r="553" spans="2:21" ht="15">
      <c r="B553" s="439"/>
      <c r="C553" s="168" t="s">
        <v>215</v>
      </c>
      <c r="D553" s="92">
        <f>D552*8</f>
        <v>1492.7779949809424</v>
      </c>
      <c r="E553" s="31" t="s">
        <v>46</v>
      </c>
      <c r="F553" s="31" t="s">
        <v>354</v>
      </c>
      <c r="G553" s="31"/>
      <c r="H553" s="31"/>
      <c r="I553" s="112"/>
      <c r="J553" s="112"/>
      <c r="K553" s="267"/>
      <c r="L553" s="453"/>
      <c r="M553" s="454"/>
      <c r="N553" s="449"/>
      <c r="O553" s="261"/>
    </row>
    <row r="554" spans="2:21" ht="15">
      <c r="B554" s="439"/>
      <c r="C554" s="431"/>
      <c r="D554" s="112"/>
      <c r="E554" s="112"/>
      <c r="F554" s="108"/>
      <c r="G554" s="128"/>
      <c r="H554" s="121"/>
      <c r="I554" s="112"/>
      <c r="J554" s="112"/>
      <c r="K554" s="267"/>
      <c r="L554" s="267"/>
      <c r="M554" s="264"/>
      <c r="N554" s="449"/>
      <c r="O554" s="261"/>
    </row>
    <row r="555" spans="2:21" ht="15">
      <c r="B555" s="439"/>
      <c r="C555" s="431"/>
      <c r="D555" s="112"/>
      <c r="E555" s="112"/>
      <c r="F555" s="108"/>
      <c r="G555" s="128"/>
      <c r="H555" s="121"/>
      <c r="I555" s="112"/>
      <c r="J555" s="112"/>
      <c r="K555" s="267"/>
      <c r="L555" s="267"/>
      <c r="M555" s="264"/>
      <c r="N555" s="449"/>
      <c r="O555" s="261"/>
    </row>
    <row r="556" spans="2:21" ht="15">
      <c r="B556" s="439"/>
      <c r="C556" s="431"/>
      <c r="D556" s="112"/>
      <c r="E556" s="112"/>
      <c r="F556" s="108"/>
      <c r="G556" s="128"/>
      <c r="H556" s="121"/>
      <c r="I556" s="112"/>
      <c r="J556" s="112"/>
      <c r="K556" s="267"/>
      <c r="L556" s="267"/>
      <c r="M556" s="264"/>
      <c r="N556" s="449"/>
      <c r="O556" s="261"/>
    </row>
    <row r="557" spans="2:21" ht="15">
      <c r="B557" s="439"/>
      <c r="C557" s="431"/>
      <c r="D557" s="112"/>
      <c r="E557" s="112"/>
      <c r="F557" s="108"/>
      <c r="G557" s="128"/>
      <c r="H557" s="121"/>
      <c r="I557" s="112"/>
      <c r="J557" s="112"/>
      <c r="K557" s="267"/>
      <c r="L557" s="267"/>
      <c r="M557" s="264"/>
      <c r="N557" s="449"/>
      <c r="O557" s="261"/>
    </row>
    <row r="558" spans="2:21" ht="15">
      <c r="B558" s="439"/>
      <c r="C558" s="529" t="s">
        <v>705</v>
      </c>
      <c r="D558" s="530"/>
      <c r="E558" s="530"/>
      <c r="F558" s="530"/>
      <c r="G558" s="128"/>
      <c r="H558" s="121"/>
      <c r="I558" s="112"/>
      <c r="J558" s="112"/>
      <c r="K558" s="267"/>
      <c r="L558" s="267"/>
      <c r="M558" s="264"/>
      <c r="N558" s="449"/>
      <c r="O558" s="261"/>
    </row>
    <row r="559" spans="2:21" ht="15">
      <c r="B559" s="439"/>
      <c r="C559" s="431"/>
      <c r="D559" s="112"/>
      <c r="E559" s="112"/>
      <c r="F559" s="108"/>
      <c r="G559" s="128"/>
      <c r="H559" s="121"/>
      <c r="I559" s="112"/>
      <c r="J559" s="112"/>
      <c r="K559" s="267"/>
      <c r="L559" s="267"/>
      <c r="M559" s="264"/>
      <c r="N559" s="449"/>
      <c r="O559" s="261"/>
    </row>
    <row r="560" spans="2:21" ht="15">
      <c r="B560" s="439"/>
      <c r="C560" s="431"/>
      <c r="D560" s="112"/>
      <c r="E560" s="112"/>
      <c r="F560" s="108"/>
      <c r="G560" s="128"/>
      <c r="H560" s="121"/>
      <c r="I560" s="112"/>
      <c r="J560" s="112"/>
      <c r="K560" s="267"/>
      <c r="L560" s="267"/>
      <c r="M560" s="264"/>
      <c r="N560" s="449"/>
      <c r="O560" s="261"/>
    </row>
    <row r="561" spans="2:15" ht="15">
      <c r="B561" s="439"/>
      <c r="C561" s="308" t="s">
        <v>708</v>
      </c>
      <c r="D561" s="533">
        <f>$G$339</f>
        <v>1206.1871419921877</v>
      </c>
      <c r="E561" s="531" t="s">
        <v>706</v>
      </c>
      <c r="F561" s="29">
        <f>$H$546</f>
        <v>1312.011909651219</v>
      </c>
      <c r="G561" s="532" t="s">
        <v>707</v>
      </c>
      <c r="H561" s="121"/>
      <c r="I561" s="112"/>
      <c r="J561" s="112"/>
      <c r="K561" s="267"/>
      <c r="L561" s="267"/>
      <c r="M561" s="264"/>
      <c r="N561" s="449"/>
      <c r="O561" s="261"/>
    </row>
    <row r="562" spans="2:15" ht="15">
      <c r="B562" s="439"/>
      <c r="C562" s="431"/>
      <c r="D562" s="112"/>
      <c r="E562" s="112"/>
      <c r="F562" s="534">
        <f>D561/F561</f>
        <v>0.91934161048342666</v>
      </c>
      <c r="G562" s="128" t="str">
        <f>IF(D561&lt;=F561,"OK","niespełniony")</f>
        <v>OK</v>
      </c>
      <c r="H562" s="121"/>
      <c r="I562" s="112"/>
      <c r="J562" s="112"/>
      <c r="K562" s="267"/>
      <c r="L562" s="267"/>
      <c r="M562" s="264"/>
      <c r="N562" s="449"/>
      <c r="O562" s="261"/>
    </row>
    <row r="563" spans="2:15" ht="15">
      <c r="B563" s="439"/>
      <c r="C563" s="431"/>
      <c r="D563" s="112"/>
      <c r="E563" s="112"/>
      <c r="F563" s="108"/>
      <c r="G563" s="128"/>
      <c r="H563" s="121"/>
      <c r="I563" s="112"/>
      <c r="J563" s="112"/>
      <c r="K563" s="267"/>
      <c r="L563" s="267"/>
      <c r="M563" s="264"/>
      <c r="N563" s="449"/>
      <c r="O563" s="261"/>
    </row>
    <row r="564" spans="2:15" ht="15">
      <c r="B564" s="439"/>
      <c r="C564" s="431"/>
      <c r="D564" s="112"/>
      <c r="E564" s="112"/>
      <c r="F564" s="108"/>
      <c r="G564" s="128"/>
      <c r="H564" s="121"/>
      <c r="I564" s="112"/>
      <c r="J564" s="112"/>
      <c r="K564" s="267"/>
      <c r="L564" s="267"/>
      <c r="M564" s="264"/>
      <c r="N564" s="449"/>
      <c r="O564" s="261"/>
    </row>
    <row r="565" spans="2:15" ht="15">
      <c r="B565" s="439"/>
      <c r="C565" s="431"/>
      <c r="D565" s="112"/>
      <c r="E565" s="112"/>
      <c r="F565" s="108"/>
      <c r="G565" s="128"/>
      <c r="H565" s="121"/>
      <c r="I565" s="112"/>
      <c r="J565" s="112"/>
      <c r="K565" s="267"/>
      <c r="L565" s="267"/>
      <c r="M565" s="264"/>
      <c r="N565" s="449"/>
      <c r="O565" s="261"/>
    </row>
    <row r="566" spans="2:15" ht="15">
      <c r="B566" s="439"/>
      <c r="C566" s="431"/>
      <c r="D566" s="112"/>
      <c r="E566" s="112"/>
      <c r="F566" s="108"/>
      <c r="G566" s="108"/>
      <c r="H566" s="108"/>
      <c r="I566" s="121"/>
      <c r="J566" s="112"/>
      <c r="K566" s="267"/>
      <c r="L566" s="267"/>
      <c r="M566" s="264"/>
      <c r="N566" s="449"/>
      <c r="O566" s="261"/>
    </row>
    <row r="567" spans="2:15" ht="30" customHeight="1">
      <c r="B567" s="439"/>
      <c r="C567" s="608" t="s">
        <v>345</v>
      </c>
      <c r="D567" s="8"/>
      <c r="E567" s="8"/>
      <c r="F567" s="609"/>
      <c r="G567" s="609"/>
      <c r="H567" s="609"/>
      <c r="I567" s="610"/>
      <c r="J567" s="8"/>
      <c r="K567" s="267"/>
      <c r="L567" s="267"/>
      <c r="M567" s="264"/>
      <c r="N567" s="449"/>
      <c r="O567" s="261"/>
    </row>
    <row r="568" spans="2:15" ht="15">
      <c r="B568" s="439"/>
      <c r="C568" s="431"/>
      <c r="D568" s="112"/>
      <c r="E568" s="112"/>
      <c r="F568" s="108"/>
      <c r="G568" s="108"/>
      <c r="H568" s="108"/>
      <c r="I568" s="121"/>
      <c r="J568" s="112"/>
      <c r="K568" s="267"/>
      <c r="L568" s="267"/>
      <c r="M568" s="264"/>
      <c r="N568" s="449"/>
      <c r="O568" s="261"/>
    </row>
    <row r="569" spans="2:15">
      <c r="B569" s="439"/>
      <c r="C569" s="112" t="s">
        <v>311</v>
      </c>
      <c r="D569" s="112"/>
      <c r="E569" s="112"/>
      <c r="F569" s="108"/>
      <c r="G569" s="108"/>
      <c r="H569" s="108"/>
      <c r="I569" s="121"/>
      <c r="J569" s="112"/>
      <c r="K569" s="267"/>
      <c r="L569" s="267"/>
      <c r="M569" s="264"/>
      <c r="N569" s="449"/>
      <c r="O569" s="261"/>
    </row>
    <row r="570" spans="2:15" ht="15">
      <c r="B570" s="439"/>
      <c r="C570" s="431"/>
      <c r="D570" s="112"/>
      <c r="E570" s="112"/>
      <c r="F570" s="108"/>
      <c r="G570" s="108"/>
      <c r="H570" s="108"/>
      <c r="I570" s="121"/>
      <c r="J570" s="112"/>
      <c r="K570" s="267"/>
      <c r="L570" s="267"/>
      <c r="M570" s="264"/>
      <c r="N570" s="449"/>
      <c r="O570" s="261"/>
    </row>
    <row r="571" spans="2:15" ht="15">
      <c r="B571" s="439"/>
      <c r="C571" s="123" t="s">
        <v>312</v>
      </c>
      <c r="D571" s="122" t="s">
        <v>313</v>
      </c>
      <c r="E571" s="100"/>
      <c r="F571" s="101"/>
      <c r="G571" s="101"/>
      <c r="H571" s="102" t="s">
        <v>319</v>
      </c>
      <c r="I571" s="103">
        <f>E407*G177-E408*(G177-0.85*G155)+(2*E129*G172*(2*D121-D129)+2*E129*F121*(G172-0.85*G155)+E121*F121*0.85*(G155-G164)+G172*H129*F129)/100-2*D1145</f>
        <v>7325.3936299256875</v>
      </c>
      <c r="J571" s="104" t="s">
        <v>46</v>
      </c>
      <c r="K571" s="267"/>
      <c r="L571" s="267"/>
      <c r="M571" s="264"/>
      <c r="N571" s="449"/>
      <c r="O571" s="261"/>
    </row>
    <row r="572" spans="2:15" ht="17.25">
      <c r="B572" s="439"/>
      <c r="C572" s="105"/>
      <c r="D572" s="106" t="s">
        <v>314</v>
      </c>
      <c r="E572" s="107" t="s">
        <v>315</v>
      </c>
      <c r="F572" s="108"/>
      <c r="G572" s="108"/>
      <c r="H572" s="109" t="s">
        <v>318</v>
      </c>
      <c r="I572" s="131">
        <f>(E121*0.85*G155+4*E129*G172)/10</f>
        <v>311.12857142857149</v>
      </c>
      <c r="J572" s="110" t="s">
        <v>73</v>
      </c>
      <c r="K572" s="267"/>
      <c r="L572" s="267"/>
      <c r="M572" s="264"/>
      <c r="N572" s="449"/>
      <c r="O572" s="261"/>
    </row>
    <row r="573" spans="2:15" ht="17.25">
      <c r="B573" s="439"/>
      <c r="C573" s="105"/>
      <c r="D573" s="106" t="s">
        <v>314</v>
      </c>
      <c r="E573" s="111" t="s">
        <v>316</v>
      </c>
      <c r="F573" s="108"/>
      <c r="G573" s="108"/>
      <c r="H573" s="187" t="s">
        <v>189</v>
      </c>
      <c r="I573" s="131">
        <f>D1145</f>
        <v>378.03189825875353</v>
      </c>
      <c r="J573" s="110" t="s">
        <v>46</v>
      </c>
      <c r="K573" s="267"/>
      <c r="L573" s="267"/>
      <c r="M573" s="264"/>
      <c r="N573" s="449"/>
      <c r="O573" s="261"/>
    </row>
    <row r="574" spans="2:15" ht="16.5">
      <c r="B574" s="439"/>
      <c r="C574" s="105"/>
      <c r="D574" s="106" t="s">
        <v>314</v>
      </c>
      <c r="E574" s="130" t="s">
        <v>317</v>
      </c>
      <c r="F574" s="108"/>
      <c r="G574" s="108"/>
      <c r="H574" s="187" t="s">
        <v>210</v>
      </c>
      <c r="I574" s="131">
        <f>$E$121+2*I573/(0.85*$G$155*$I$576)*10</f>
        <v>538.15059148620765</v>
      </c>
      <c r="J574" s="110" t="s">
        <v>6</v>
      </c>
      <c r="K574" s="267"/>
      <c r="L574" s="267"/>
      <c r="M574" s="264"/>
      <c r="N574" s="449"/>
      <c r="O574" s="261"/>
    </row>
    <row r="575" spans="2:15" ht="16.5" thickBot="1">
      <c r="B575" s="439"/>
      <c r="C575" s="105"/>
      <c r="D575" s="31"/>
      <c r="E575" s="31"/>
      <c r="F575" s="108"/>
      <c r="G575" s="108"/>
      <c r="H575" s="455" t="s">
        <v>218</v>
      </c>
      <c r="I575" s="131">
        <f>I574-E121</f>
        <v>88.150591486207645</v>
      </c>
      <c r="J575" s="110" t="s">
        <v>6</v>
      </c>
      <c r="K575" s="267"/>
      <c r="L575" s="267"/>
      <c r="M575" s="264"/>
      <c r="N575" s="449"/>
      <c r="O575" s="261"/>
    </row>
    <row r="576" spans="2:15" ht="18" thickBot="1">
      <c r="B576" s="439"/>
      <c r="C576" s="114"/>
      <c r="D576" s="37"/>
      <c r="E576" s="37"/>
      <c r="F576" s="117"/>
      <c r="G576" s="117"/>
      <c r="H576" s="98" t="s">
        <v>320</v>
      </c>
      <c r="I576" s="17">
        <f>I571/I572</f>
        <v>23.544586716322971</v>
      </c>
      <c r="J576" s="99" t="s">
        <v>4</v>
      </c>
      <c r="K576" s="267"/>
      <c r="L576" s="456" t="s">
        <v>460</v>
      </c>
      <c r="M576" s="443">
        <f>I576*10</f>
        <v>235.44586716322971</v>
      </c>
      <c r="N576" s="457" t="s">
        <v>6</v>
      </c>
      <c r="O576" s="369"/>
    </row>
    <row r="577" spans="2:15" ht="15.75">
      <c r="B577" s="439"/>
      <c r="C577" s="431"/>
      <c r="D577" s="112"/>
      <c r="E577" s="112"/>
      <c r="F577" s="108"/>
      <c r="G577" s="108"/>
      <c r="H577" s="108"/>
      <c r="I577" s="121"/>
      <c r="J577" s="112"/>
      <c r="K577" s="267"/>
      <c r="L577" s="443" t="s">
        <v>461</v>
      </c>
      <c r="M577" s="443">
        <f>0.85*G155</f>
        <v>3.6428571428571432</v>
      </c>
      <c r="N577" s="457" t="s">
        <v>462</v>
      </c>
      <c r="O577" s="261"/>
    </row>
    <row r="578" spans="2:15" ht="15">
      <c r="B578" s="439"/>
      <c r="C578" s="123" t="s">
        <v>321</v>
      </c>
      <c r="D578" s="122" t="s">
        <v>313</v>
      </c>
      <c r="E578" s="100"/>
      <c r="F578" s="101"/>
      <c r="G578" s="101"/>
      <c r="H578" s="102" t="s">
        <v>319</v>
      </c>
      <c r="I578" s="103">
        <f>E407*G177-E408*(G177-0.85*G155)+(2*E129*G172*(2*D121-D129)+2*E129*F121*(G172-0.85*G155)+E121*F121*0.85*(G155-G164)+G172*H129*F129)/100-2*H1145</f>
        <v>6947.3617316669342</v>
      </c>
      <c r="J578" s="104" t="s">
        <v>46</v>
      </c>
      <c r="K578" s="267"/>
      <c r="L578" s="267"/>
      <c r="M578" s="264"/>
      <c r="N578" s="449"/>
      <c r="O578" s="261"/>
    </row>
    <row r="579" spans="2:15" ht="17.25">
      <c r="B579" s="439"/>
      <c r="C579" s="105"/>
      <c r="D579" s="106" t="s">
        <v>314</v>
      </c>
      <c r="E579" s="107" t="s">
        <v>327</v>
      </c>
      <c r="F579" s="108"/>
      <c r="G579" s="108"/>
      <c r="H579" s="109" t="s">
        <v>318</v>
      </c>
      <c r="I579" s="131">
        <f>I572</f>
        <v>311.12857142857149</v>
      </c>
      <c r="J579" s="110" t="s">
        <v>73</v>
      </c>
      <c r="K579" s="267"/>
      <c r="L579" s="267"/>
      <c r="M579" s="264"/>
      <c r="N579" s="449"/>
      <c r="O579" s="261"/>
    </row>
    <row r="580" spans="2:15" ht="17.25">
      <c r="B580" s="439"/>
      <c r="C580" s="105"/>
      <c r="D580" s="106" t="s">
        <v>314</v>
      </c>
      <c r="E580" s="111" t="s">
        <v>316</v>
      </c>
      <c r="F580" s="108"/>
      <c r="G580" s="108"/>
      <c r="H580" s="187" t="s">
        <v>189</v>
      </c>
      <c r="I580" s="131">
        <f>H1145</f>
        <v>567.04784738813032</v>
      </c>
      <c r="J580" s="110" t="s">
        <v>46</v>
      </c>
      <c r="K580" s="267"/>
      <c r="L580" s="267"/>
      <c r="M580" s="264"/>
      <c r="N580" s="449"/>
      <c r="O580" s="261"/>
    </row>
    <row r="581" spans="2:15" ht="16.5">
      <c r="B581" s="439"/>
      <c r="C581" s="105"/>
      <c r="D581" s="106" t="s">
        <v>314</v>
      </c>
      <c r="E581" s="130" t="s">
        <v>317</v>
      </c>
      <c r="F581" s="108"/>
      <c r="G581" s="108"/>
      <c r="H581" s="187" t="s">
        <v>210</v>
      </c>
      <c r="I581" s="131">
        <f>$E$121+2*I580/(0.85*$G$155*$I$576)*10</f>
        <v>582.22588722931141</v>
      </c>
      <c r="J581" s="110" t="s">
        <v>6</v>
      </c>
      <c r="K581" s="267"/>
      <c r="L581" s="267"/>
      <c r="M581" s="264"/>
      <c r="N581" s="449"/>
      <c r="O581" s="261"/>
    </row>
    <row r="582" spans="2:15" ht="16.5" thickBot="1">
      <c r="B582" s="439"/>
      <c r="C582" s="105"/>
      <c r="D582" s="31"/>
      <c r="E582" s="31"/>
      <c r="F582" s="108"/>
      <c r="G582" s="108"/>
      <c r="H582" s="455" t="s">
        <v>218</v>
      </c>
      <c r="I582" s="132">
        <f>I581-E121</f>
        <v>132.22588722931141</v>
      </c>
      <c r="J582" s="133" t="s">
        <v>6</v>
      </c>
      <c r="K582" s="267"/>
      <c r="L582" s="267"/>
      <c r="M582" s="264"/>
      <c r="N582" s="449"/>
      <c r="O582" s="261"/>
    </row>
    <row r="583" spans="2:15" ht="18" thickBot="1">
      <c r="B583" s="439"/>
      <c r="C583" s="114"/>
      <c r="D583" s="37"/>
      <c r="E583" s="37"/>
      <c r="F583" s="117"/>
      <c r="G583" s="117"/>
      <c r="H583" s="98" t="s">
        <v>320</v>
      </c>
      <c r="I583" s="17">
        <f>I578/I572</f>
        <v>22.329552376908275</v>
      </c>
      <c r="J583" s="99" t="s">
        <v>4</v>
      </c>
      <c r="K583" s="267"/>
      <c r="L583" s="456" t="s">
        <v>460</v>
      </c>
      <c r="M583" s="456">
        <f>I583*10</f>
        <v>223.29552376908276</v>
      </c>
      <c r="N583" s="458" t="s">
        <v>6</v>
      </c>
      <c r="O583" s="261"/>
    </row>
    <row r="584" spans="2:15" ht="15">
      <c r="B584" s="439"/>
      <c r="C584" s="431"/>
      <c r="D584" s="112"/>
      <c r="E584" s="112"/>
      <c r="F584" s="108"/>
      <c r="G584" s="108"/>
      <c r="H584" s="108"/>
      <c r="I584" s="121"/>
      <c r="J584" s="112"/>
      <c r="K584" s="267"/>
      <c r="L584" s="267"/>
      <c r="M584" s="264"/>
      <c r="N584" s="449"/>
      <c r="O584" s="261"/>
    </row>
    <row r="585" spans="2:15" ht="15">
      <c r="B585" s="439"/>
      <c r="C585" s="123" t="s">
        <v>323</v>
      </c>
      <c r="D585" s="122" t="s">
        <v>313</v>
      </c>
      <c r="E585" s="100"/>
      <c r="F585" s="101"/>
      <c r="G585" s="101"/>
      <c r="H585" s="102" t="s">
        <v>319</v>
      </c>
      <c r="I585" s="103">
        <f>(-E407-E408)*(G177-0.85*G155)+(2*E129*G172*(2*D121-D129)+2*E129*F121*(G172-0.85*G155)+E121*F121*0.85*(G155-G164)+G172*H129*F129)/100-2*D1145</f>
        <v>6320.3212588307897</v>
      </c>
      <c r="J585" s="104" t="s">
        <v>46</v>
      </c>
      <c r="K585" s="267"/>
      <c r="L585" s="267"/>
      <c r="M585" s="264"/>
      <c r="N585" s="449"/>
      <c r="O585" s="261"/>
    </row>
    <row r="586" spans="2:15">
      <c r="B586" s="439"/>
      <c r="C586" s="105"/>
      <c r="D586" s="106" t="s">
        <v>314</v>
      </c>
      <c r="E586" s="134"/>
      <c r="F586" s="108"/>
      <c r="G586" s="108"/>
      <c r="H586" s="109" t="s">
        <v>318</v>
      </c>
      <c r="I586" s="131">
        <f>(I574*0.85*G155+4*E129*G172)/10</f>
        <v>343.24057261283281</v>
      </c>
      <c r="J586" s="110" t="s">
        <v>73</v>
      </c>
      <c r="K586" s="267"/>
      <c r="L586" s="267"/>
      <c r="M586" s="264"/>
      <c r="N586" s="449"/>
      <c r="O586" s="261"/>
    </row>
    <row r="587" spans="2:15" ht="15">
      <c r="B587" s="439"/>
      <c r="C587" s="105"/>
      <c r="D587" s="106" t="s">
        <v>314</v>
      </c>
      <c r="E587" s="135"/>
      <c r="F587" s="108"/>
      <c r="G587" s="108"/>
      <c r="H587" s="187"/>
      <c r="I587" s="131"/>
      <c r="J587" s="110"/>
      <c r="K587" s="349"/>
      <c r="L587" s="349"/>
      <c r="M587" s="349"/>
      <c r="N587" s="421"/>
    </row>
    <row r="588" spans="2:15" ht="15">
      <c r="B588" s="439"/>
      <c r="C588" s="105"/>
      <c r="D588" s="106" t="s">
        <v>314</v>
      </c>
      <c r="E588" s="136"/>
      <c r="F588" s="108"/>
      <c r="G588" s="108"/>
      <c r="H588" s="187"/>
      <c r="I588" s="131"/>
      <c r="J588" s="110"/>
      <c r="K588" s="349"/>
      <c r="L588" s="349"/>
      <c r="M588" s="349"/>
      <c r="N588" s="421"/>
    </row>
    <row r="589" spans="2:15" ht="15" thickBot="1">
      <c r="B589" s="439"/>
      <c r="C589" s="105"/>
      <c r="D589" s="31"/>
      <c r="E589" s="31"/>
      <c r="F589" s="108"/>
      <c r="G589" s="108"/>
      <c r="H589" s="455"/>
      <c r="I589" s="132"/>
      <c r="J589" s="133"/>
      <c r="K589" s="349"/>
      <c r="L589" s="349"/>
      <c r="M589" s="349"/>
      <c r="N589" s="421"/>
    </row>
    <row r="590" spans="2:15" ht="18" thickBot="1">
      <c r="B590" s="439"/>
      <c r="C590" s="114"/>
      <c r="D590" s="37"/>
      <c r="E590" s="37"/>
      <c r="F590" s="117"/>
      <c r="G590" s="117"/>
      <c r="H590" s="98" t="s">
        <v>320</v>
      </c>
      <c r="I590" s="17">
        <f>I585/I586</f>
        <v>18.413677645154035</v>
      </c>
      <c r="J590" s="99" t="s">
        <v>4</v>
      </c>
      <c r="K590" s="349"/>
      <c r="L590" s="349"/>
      <c r="M590" s="349"/>
      <c r="N590" s="421"/>
    </row>
    <row r="591" spans="2:15">
      <c r="B591" s="439"/>
      <c r="C591" s="112"/>
      <c r="D591" s="112"/>
      <c r="E591" s="112"/>
      <c r="F591" s="108"/>
      <c r="G591" s="108"/>
      <c r="H591" s="108"/>
      <c r="I591" s="31"/>
      <c r="J591" s="31"/>
      <c r="K591" s="349"/>
      <c r="L591" s="349"/>
      <c r="M591" s="349"/>
      <c r="N591" s="421"/>
    </row>
    <row r="592" spans="2:15">
      <c r="B592" s="420"/>
      <c r="C592" s="112"/>
      <c r="D592" s="112"/>
      <c r="E592" s="112"/>
      <c r="F592" s="112"/>
      <c r="G592" s="112"/>
      <c r="H592" s="31"/>
      <c r="I592" s="112"/>
      <c r="J592" s="112"/>
      <c r="K592" s="267"/>
      <c r="L592" s="267"/>
      <c r="M592" s="267"/>
      <c r="N592" s="419"/>
    </row>
    <row r="593" spans="2:14" ht="17.25">
      <c r="B593" s="420"/>
      <c r="C593" s="441" t="s">
        <v>329</v>
      </c>
      <c r="D593" s="8"/>
      <c r="E593" s="8"/>
      <c r="F593" s="8"/>
      <c r="G593" s="31"/>
      <c r="H593" s="31"/>
      <c r="I593" s="31"/>
      <c r="J593" s="112"/>
      <c r="K593" s="267"/>
      <c r="L593" s="267"/>
      <c r="M593" s="267"/>
      <c r="N593" s="419"/>
    </row>
    <row r="594" spans="2:14">
      <c r="B594" s="420"/>
      <c r="C594" s="31"/>
      <c r="D594" s="31"/>
      <c r="E594" s="31"/>
      <c r="F594" s="31"/>
      <c r="G594" s="31"/>
      <c r="H594" s="31"/>
      <c r="I594" s="31"/>
      <c r="J594" s="112"/>
      <c r="K594" s="267"/>
      <c r="L594" s="267"/>
      <c r="M594" s="267"/>
      <c r="N594" s="419"/>
    </row>
    <row r="595" spans="2:14" ht="15">
      <c r="B595" s="420"/>
      <c r="C595" s="31" t="s">
        <v>128</v>
      </c>
      <c r="D595" s="31"/>
      <c r="E595" s="24">
        <f>(H129*F129+(D121-L602*10)*2*E129)*G172/100</f>
        <v>6183.7184176786304</v>
      </c>
      <c r="F595" s="31" t="s">
        <v>46</v>
      </c>
      <c r="G595" s="31"/>
      <c r="H595" s="31"/>
      <c r="I595" s="31"/>
      <c r="J595" s="112"/>
      <c r="K595" s="267"/>
      <c r="L595" s="267"/>
      <c r="M595" s="267"/>
      <c r="N595" s="419"/>
    </row>
    <row r="596" spans="2:14" ht="17.25">
      <c r="B596" s="420"/>
      <c r="C596" s="31" t="s">
        <v>129</v>
      </c>
      <c r="D596" s="31"/>
      <c r="E596" s="24">
        <f>((H129*F129+(D121-L602*10)*2*E129)*G172-((D129-D121+L602*10)*2*E129*G172-2*E129*F121*(G172-0.85*G155)))/100</f>
        <v>5335.8654067858306</v>
      </c>
      <c r="F596" s="31" t="s">
        <v>46</v>
      </c>
      <c r="G596" s="626" t="s">
        <v>330</v>
      </c>
      <c r="H596" s="629">
        <f>E596</f>
        <v>5335.8654067858306</v>
      </c>
      <c r="I596" s="628" t="s">
        <v>46</v>
      </c>
      <c r="J596" s="112"/>
      <c r="K596" s="267"/>
      <c r="L596" s="267"/>
      <c r="M596" s="267"/>
      <c r="N596" s="419"/>
    </row>
    <row r="597" spans="2:14" ht="15">
      <c r="B597" s="420"/>
      <c r="C597" s="31" t="s">
        <v>129</v>
      </c>
      <c r="D597" s="31"/>
      <c r="E597" s="24">
        <f>(E407+E408)*(G177-0.85*G155)+(E121*L602*10*0.85*G155)/100</f>
        <v>6262.4454099346476</v>
      </c>
      <c r="F597" s="31" t="s">
        <v>46</v>
      </c>
      <c r="G597" s="31"/>
      <c r="H597" s="31"/>
      <c r="I597" s="31"/>
      <c r="J597" s="112"/>
      <c r="K597" s="267"/>
      <c r="L597" s="267"/>
      <c r="M597" s="267"/>
      <c r="N597" s="419"/>
    </row>
    <row r="598" spans="2:14">
      <c r="B598" s="420"/>
      <c r="C598" s="112"/>
      <c r="D598" s="112"/>
      <c r="E598" s="112"/>
      <c r="F598" s="112"/>
      <c r="G598" s="112"/>
      <c r="H598" s="31"/>
      <c r="I598" s="112"/>
      <c r="J598" s="112"/>
      <c r="K598" s="267"/>
      <c r="L598" s="267"/>
      <c r="M598" s="267"/>
      <c r="N598" s="419"/>
    </row>
    <row r="599" spans="2:14">
      <c r="B599" s="425"/>
      <c r="C599" s="432"/>
      <c r="D599" s="459"/>
      <c r="E599" s="112"/>
      <c r="F599" s="112"/>
      <c r="G599" s="121"/>
      <c r="H599" s="128"/>
      <c r="I599" s="432"/>
      <c r="J599" s="112"/>
      <c r="K599" s="460"/>
      <c r="L599" s="267"/>
      <c r="M599" s="267"/>
      <c r="N599" s="461"/>
    </row>
    <row r="600" spans="2:14" ht="18.75">
      <c r="B600" s="425"/>
      <c r="C600" s="441" t="s">
        <v>331</v>
      </c>
      <c r="D600" s="1026" t="s">
        <v>334</v>
      </c>
      <c r="E600" s="1026"/>
      <c r="F600" s="1026"/>
      <c r="G600" s="112"/>
      <c r="H600" s="128"/>
      <c r="I600" s="432"/>
      <c r="J600" s="112"/>
      <c r="K600" s="267"/>
      <c r="L600" s="267"/>
      <c r="M600" s="462"/>
      <c r="N600" s="419"/>
    </row>
    <row r="601" spans="2:14">
      <c r="B601" s="420"/>
      <c r="C601" s="432"/>
      <c r="D601" s="112"/>
      <c r="E601" s="112"/>
      <c r="F601" s="112"/>
      <c r="G601" s="112"/>
      <c r="H601" s="31"/>
      <c r="I601" s="112"/>
      <c r="J601" s="432"/>
      <c r="K601" s="267"/>
      <c r="L601" s="267"/>
      <c r="M601" s="267"/>
      <c r="N601" s="419"/>
    </row>
    <row r="602" spans="2:14" ht="18.75">
      <c r="B602" s="420"/>
      <c r="C602" s="173" t="s">
        <v>72</v>
      </c>
      <c r="D602" s="131">
        <f>L602*10</f>
        <v>235.44586716322971</v>
      </c>
      <c r="E602" s="31" t="s">
        <v>6</v>
      </c>
      <c r="F602" s="31"/>
      <c r="G602" s="128" t="s">
        <v>97</v>
      </c>
      <c r="H602" s="129">
        <f>(I574*0.85*G155*D602*(D602/2+D613))/1000</f>
        <v>96826.680172467255</v>
      </c>
      <c r="I602" s="112" t="s">
        <v>74</v>
      </c>
      <c r="J602" s="445" t="s">
        <v>335</v>
      </c>
      <c r="K602" s="267"/>
      <c r="L602" s="456">
        <f>I576</f>
        <v>23.544586716322971</v>
      </c>
      <c r="M602" s="267"/>
      <c r="N602" s="419"/>
    </row>
    <row r="603" spans="2:14" ht="18.75">
      <c r="B603" s="420"/>
      <c r="C603" s="173" t="s">
        <v>76</v>
      </c>
      <c r="D603" s="131">
        <f>D602-G145</f>
        <v>191.44586716322971</v>
      </c>
      <c r="E603" s="31" t="s">
        <v>6</v>
      </c>
      <c r="F603" s="31"/>
      <c r="G603" s="128" t="s">
        <v>98</v>
      </c>
      <c r="H603" s="129">
        <f>(E408*100*(G177-0.85*G155)*(D603+D613))/1000</f>
        <v>54495.842944700627</v>
      </c>
      <c r="I603" s="112" t="s">
        <v>74</v>
      </c>
      <c r="J603" s="445" t="s">
        <v>336</v>
      </c>
      <c r="K603" s="267"/>
      <c r="L603" s="267"/>
      <c r="M603" s="267"/>
      <c r="N603" s="419"/>
    </row>
    <row r="604" spans="2:14" ht="22.5">
      <c r="B604" s="420"/>
      <c r="C604" s="173" t="s">
        <v>77</v>
      </c>
      <c r="D604" s="131">
        <f>D121-D129</f>
        <v>65</v>
      </c>
      <c r="E604" s="31" t="s">
        <v>6</v>
      </c>
      <c r="F604" s="31"/>
      <c r="G604" s="128" t="s">
        <v>99</v>
      </c>
      <c r="H604" s="129">
        <f>(2*E129*G172*D605*(D605/2+D613))/1000</f>
        <v>22239.081478982655</v>
      </c>
      <c r="I604" s="112" t="s">
        <v>74</v>
      </c>
      <c r="J604" s="445" t="s">
        <v>337</v>
      </c>
      <c r="K604" s="267"/>
      <c r="L604" s="267"/>
      <c r="M604" s="267"/>
      <c r="N604" s="419"/>
    </row>
    <row r="605" spans="2:14" ht="22.5">
      <c r="B605" s="420"/>
      <c r="C605" s="173" t="s">
        <v>78</v>
      </c>
      <c r="D605" s="131">
        <f>D602-D604</f>
        <v>170.44586716322971</v>
      </c>
      <c r="E605" s="31" t="s">
        <v>6</v>
      </c>
      <c r="F605" s="31"/>
      <c r="G605" s="128" t="s">
        <v>100</v>
      </c>
      <c r="H605" s="129">
        <f>(-E121*F121*0.85*(G155-G164)*D612)/1000</f>
        <v>-14737.178571428574</v>
      </c>
      <c r="I605" s="112" t="s">
        <v>74</v>
      </c>
      <c r="J605" s="445" t="s">
        <v>344</v>
      </c>
      <c r="K605" s="267"/>
      <c r="L605" s="267"/>
      <c r="M605" s="267"/>
      <c r="N605" s="419"/>
    </row>
    <row r="606" spans="2:14" ht="22.5">
      <c r="B606" s="420"/>
      <c r="C606" s="173" t="s">
        <v>80</v>
      </c>
      <c r="D606" s="131">
        <f>D605^2</f>
        <v>29051.793633025347</v>
      </c>
      <c r="E606" s="31" t="s">
        <v>79</v>
      </c>
      <c r="F606" s="31"/>
      <c r="G606" s="128" t="s">
        <v>101</v>
      </c>
      <c r="H606" s="129">
        <f>(-2*E129*F121*(G172-0.85*G155)*D612)/1000</f>
        <v>-8844.1714285714279</v>
      </c>
      <c r="I606" s="112" t="s">
        <v>74</v>
      </c>
      <c r="J606" s="445" t="s">
        <v>339</v>
      </c>
      <c r="K606" s="267"/>
      <c r="L606" s="267"/>
      <c r="M606" s="267"/>
      <c r="N606" s="419"/>
    </row>
    <row r="607" spans="2:14" ht="22.5">
      <c r="B607" s="420"/>
      <c r="C607" s="173" t="s">
        <v>81</v>
      </c>
      <c r="D607" s="131">
        <f>G146-D610</f>
        <v>-38.554132836770293</v>
      </c>
      <c r="E607" s="31" t="s">
        <v>6</v>
      </c>
      <c r="F607" s="31"/>
      <c r="G607" s="128" t="s">
        <v>102</v>
      </c>
      <c r="H607" s="129">
        <f>(E407*100*(G177-0.85*G155)*(G146+H129/2))/1000</f>
        <v>2571.0119907773224</v>
      </c>
      <c r="I607" s="112" t="s">
        <v>74</v>
      </c>
      <c r="J607" s="445" t="s">
        <v>340</v>
      </c>
      <c r="K607" s="267"/>
      <c r="L607" s="267"/>
      <c r="M607" s="267"/>
      <c r="N607" s="419"/>
    </row>
    <row r="608" spans="2:14" ht="22.5">
      <c r="B608" s="420"/>
      <c r="C608" s="173" t="s">
        <v>82</v>
      </c>
      <c r="D608" s="131">
        <f>D605-G121</f>
        <v>60.445867163229707</v>
      </c>
      <c r="E608" s="31" t="s">
        <v>6</v>
      </c>
      <c r="F608" s="31"/>
      <c r="G608" s="128" t="s">
        <v>103</v>
      </c>
      <c r="H608" s="129">
        <f>(-E129*G172*D610*D611)/1000</f>
        <v>-3097.7185210173484</v>
      </c>
      <c r="I608" s="112" t="s">
        <v>74</v>
      </c>
      <c r="J608" s="445" t="s">
        <v>341</v>
      </c>
      <c r="K608" s="267"/>
      <c r="L608" s="267"/>
      <c r="M608" s="267"/>
      <c r="N608" s="419"/>
    </row>
    <row r="609" spans="2:15" ht="18.75">
      <c r="B609" s="420"/>
      <c r="C609" s="173" t="s">
        <v>86</v>
      </c>
      <c r="D609" s="131">
        <f>D602-G121</f>
        <v>125.44586716322971</v>
      </c>
      <c r="E609" s="31" t="s">
        <v>6</v>
      </c>
      <c r="F609" s="31"/>
      <c r="G609" s="112"/>
      <c r="H609" s="31"/>
      <c r="I609" s="112"/>
      <c r="J609" s="432"/>
      <c r="K609" s="267"/>
      <c r="L609" s="267"/>
      <c r="M609" s="267"/>
      <c r="N609" s="419"/>
    </row>
    <row r="610" spans="2:15" ht="18.75">
      <c r="B610" s="420"/>
      <c r="C610" s="173" t="s">
        <v>104</v>
      </c>
      <c r="D610" s="131">
        <f>D121-D602</f>
        <v>84.554132836770293</v>
      </c>
      <c r="E610" s="31" t="s">
        <v>6</v>
      </c>
      <c r="F610" s="31"/>
      <c r="G610" s="112"/>
      <c r="H610" s="31"/>
      <c r="I610" s="112"/>
      <c r="J610" s="432"/>
      <c r="K610" s="267"/>
      <c r="L610" s="267"/>
      <c r="M610" s="267"/>
      <c r="N610" s="419"/>
    </row>
    <row r="611" spans="2:15" ht="18.75">
      <c r="B611" s="420"/>
      <c r="C611" s="173" t="s">
        <v>105</v>
      </c>
      <c r="D611" s="131">
        <f>D610+H129</f>
        <v>99.554132836770293</v>
      </c>
      <c r="E611" s="31" t="s">
        <v>6</v>
      </c>
      <c r="F611" s="31"/>
      <c r="G611" s="621" t="s">
        <v>333</v>
      </c>
      <c r="H611" s="622">
        <f>SUM(H602:H608)</f>
        <v>149453.54806591049</v>
      </c>
      <c r="I611" s="623" t="s">
        <v>74</v>
      </c>
      <c r="J611" s="432"/>
      <c r="K611" s="267"/>
      <c r="L611" s="267"/>
      <c r="M611" s="267"/>
      <c r="N611" s="419"/>
    </row>
    <row r="612" spans="2:15" ht="18.75">
      <c r="B612" s="420"/>
      <c r="C612" s="173" t="s">
        <v>106</v>
      </c>
      <c r="D612" s="131">
        <f>D121-G121+H129/2</f>
        <v>217.5</v>
      </c>
      <c r="E612" s="31" t="s">
        <v>6</v>
      </c>
      <c r="F612" s="31"/>
      <c r="G612" s="624"/>
      <c r="H612" s="619">
        <f>H611/100</f>
        <v>1494.5354806591049</v>
      </c>
      <c r="I612" s="620" t="s">
        <v>84</v>
      </c>
      <c r="J612" s="432"/>
      <c r="K612" s="267"/>
      <c r="L612" s="456">
        <f>D609+D613</f>
        <v>217.5</v>
      </c>
      <c r="M612" s="456"/>
      <c r="N612" s="419"/>
    </row>
    <row r="613" spans="2:15" ht="18.75">
      <c r="B613" s="420"/>
      <c r="C613" s="173" t="s">
        <v>85</v>
      </c>
      <c r="D613" s="131">
        <f>D611-H129/2</f>
        <v>92.054132836770293</v>
      </c>
      <c r="E613" s="31" t="s">
        <v>6</v>
      </c>
      <c r="F613" s="31"/>
      <c r="G613" s="31"/>
      <c r="H613" s="31"/>
      <c r="I613" s="112"/>
      <c r="J613" s="432"/>
      <c r="K613" s="267"/>
      <c r="L613" s="456">
        <f>D610+H129/2</f>
        <v>92.054132836770293</v>
      </c>
      <c r="M613" s="456" t="s">
        <v>6</v>
      </c>
      <c r="N613" s="419"/>
    </row>
    <row r="614" spans="2:15">
      <c r="B614" s="420"/>
      <c r="C614" s="432"/>
      <c r="D614" s="112"/>
      <c r="E614" s="112"/>
      <c r="F614" s="112"/>
      <c r="G614" s="112"/>
      <c r="H614" s="31"/>
      <c r="I614" s="112"/>
      <c r="J614" s="432"/>
      <c r="K614" s="267"/>
      <c r="L614" s="267"/>
      <c r="M614" s="267"/>
      <c r="N614" s="419"/>
    </row>
    <row r="615" spans="2:15">
      <c r="B615" s="420"/>
      <c r="C615" s="432"/>
      <c r="D615" s="112"/>
      <c r="E615" s="112"/>
      <c r="F615" s="112"/>
      <c r="G615" s="112"/>
      <c r="H615" s="31"/>
      <c r="I615" s="112"/>
      <c r="J615" s="432"/>
      <c r="K615" s="267"/>
      <c r="L615" s="267"/>
      <c r="M615" s="267"/>
      <c r="N615" s="419"/>
    </row>
    <row r="616" spans="2:15" ht="15">
      <c r="B616" s="439"/>
      <c r="C616" s="7" t="s">
        <v>352</v>
      </c>
      <c r="D616" s="452"/>
      <c r="E616" s="452"/>
      <c r="F616" s="452"/>
      <c r="G616" s="128"/>
      <c r="H616" s="121"/>
      <c r="I616" s="112"/>
      <c r="J616" s="112"/>
      <c r="K616" s="267"/>
      <c r="L616" s="267"/>
      <c r="M616" s="264"/>
      <c r="N616" s="449"/>
      <c r="O616" s="261"/>
    </row>
    <row r="617" spans="2:15" ht="15">
      <c r="B617" s="439"/>
      <c r="C617" s="431"/>
      <c r="D617" s="112"/>
      <c r="E617" s="112"/>
      <c r="F617" s="108"/>
      <c r="G617" s="128"/>
      <c r="H617" s="121"/>
      <c r="I617" s="112"/>
      <c r="J617" s="112"/>
      <c r="K617" s="267"/>
      <c r="L617" s="267"/>
      <c r="M617" s="264"/>
      <c r="N617" s="449"/>
      <c r="O617" s="261"/>
    </row>
    <row r="618" spans="2:15" ht="15">
      <c r="B618" s="439"/>
      <c r="C618" s="168" t="s">
        <v>214</v>
      </c>
      <c r="D618" s="92">
        <f>H612*8/F186^2</f>
        <v>212.55615724929493</v>
      </c>
      <c r="E618" s="31" t="s">
        <v>1</v>
      </c>
      <c r="F618" s="31" t="s">
        <v>353</v>
      </c>
      <c r="G618" s="31"/>
      <c r="H618" s="31"/>
      <c r="I618" s="112"/>
      <c r="J618" s="112"/>
      <c r="K618" s="267"/>
      <c r="L618" s="267"/>
      <c r="M618" s="264"/>
      <c r="N618" s="449"/>
      <c r="O618" s="261"/>
    </row>
    <row r="619" spans="2:15" ht="15">
      <c r="B619" s="439"/>
      <c r="C619" s="168" t="s">
        <v>215</v>
      </c>
      <c r="D619" s="92">
        <f>D618*8</f>
        <v>1700.4492579943594</v>
      </c>
      <c r="E619" s="31" t="s">
        <v>46</v>
      </c>
      <c r="F619" s="31" t="s">
        <v>354</v>
      </c>
      <c r="G619" s="31"/>
      <c r="H619" s="31"/>
      <c r="I619" s="112"/>
      <c r="J619" s="112"/>
      <c r="K619" s="267"/>
      <c r="L619" s="349"/>
      <c r="M619" s="349"/>
      <c r="N619" s="449"/>
      <c r="O619" s="261"/>
    </row>
    <row r="620" spans="2:15" ht="15">
      <c r="B620" s="439"/>
      <c r="C620" s="168"/>
      <c r="D620" s="92"/>
      <c r="E620" s="31"/>
      <c r="F620" s="31"/>
      <c r="G620" s="31"/>
      <c r="H620" s="31"/>
      <c r="I620" s="112"/>
      <c r="J620" s="112"/>
      <c r="K620" s="267"/>
      <c r="L620" s="453"/>
      <c r="M620" s="454"/>
      <c r="N620" s="449"/>
      <c r="O620" s="261"/>
    </row>
    <row r="621" spans="2:15" ht="15">
      <c r="B621" s="439"/>
      <c r="C621" s="168"/>
      <c r="D621" s="92"/>
      <c r="E621" s="31"/>
      <c r="F621" s="31"/>
      <c r="G621" s="31"/>
      <c r="H621" s="31"/>
      <c r="I621" s="112"/>
      <c r="J621" s="112"/>
      <c r="K621" s="267"/>
      <c r="L621" s="453"/>
      <c r="M621" s="454"/>
      <c r="N621" s="449"/>
      <c r="O621" s="261"/>
    </row>
    <row r="622" spans="2:15" ht="15">
      <c r="B622" s="439"/>
      <c r="C622" s="168"/>
      <c r="D622" s="92"/>
      <c r="E622" s="31"/>
      <c r="F622" s="31"/>
      <c r="G622" s="31"/>
      <c r="H622" s="31"/>
      <c r="I622" s="112"/>
      <c r="J622" s="112"/>
      <c r="K622" s="267"/>
      <c r="L622" s="453"/>
      <c r="M622" s="454"/>
      <c r="N622" s="449"/>
      <c r="O622" s="261"/>
    </row>
    <row r="623" spans="2:15" ht="15">
      <c r="B623" s="439"/>
      <c r="C623" s="168"/>
      <c r="D623" s="92"/>
      <c r="E623" s="31"/>
      <c r="F623" s="31"/>
      <c r="G623" s="31"/>
      <c r="H623" s="31"/>
      <c r="I623" s="112"/>
      <c r="J623" s="112"/>
      <c r="K623" s="267"/>
      <c r="L623" s="453"/>
      <c r="M623" s="454"/>
      <c r="N623" s="449"/>
      <c r="O623" s="261"/>
    </row>
    <row r="624" spans="2:15" ht="15">
      <c r="B624" s="439"/>
      <c r="C624" s="168"/>
      <c r="D624" s="92"/>
      <c r="E624" s="31"/>
      <c r="F624" s="31"/>
      <c r="G624" s="31"/>
      <c r="H624" s="31"/>
      <c r="I624" s="112"/>
      <c r="J624" s="112"/>
      <c r="K624" s="267"/>
      <c r="L624" s="453"/>
      <c r="M624" s="454"/>
      <c r="N624" s="449"/>
      <c r="O624" s="261"/>
    </row>
    <row r="625" spans="2:15" ht="15">
      <c r="B625" s="439"/>
      <c r="C625" s="529" t="s">
        <v>709</v>
      </c>
      <c r="D625" s="530"/>
      <c r="E625" s="530"/>
      <c r="F625" s="530"/>
      <c r="G625" s="128"/>
      <c r="H625" s="31"/>
      <c r="I625" s="112"/>
      <c r="J625" s="112"/>
      <c r="K625" s="267"/>
      <c r="L625" s="453"/>
      <c r="M625" s="454"/>
      <c r="N625" s="449"/>
      <c r="O625" s="261"/>
    </row>
    <row r="626" spans="2:15" ht="15">
      <c r="B626" s="439"/>
      <c r="C626" s="431"/>
      <c r="D626" s="112"/>
      <c r="E626" s="112"/>
      <c r="F626" s="108"/>
      <c r="G626" s="128"/>
      <c r="H626" s="31"/>
      <c r="I626" s="112"/>
      <c r="J626" s="112"/>
      <c r="K626" s="267"/>
      <c r="L626" s="453"/>
      <c r="M626" s="454"/>
      <c r="N626" s="449"/>
      <c r="O626" s="261"/>
    </row>
    <row r="627" spans="2:15" ht="15">
      <c r="B627" s="439"/>
      <c r="C627" s="431"/>
      <c r="D627" s="112"/>
      <c r="E627" s="112"/>
      <c r="F627" s="108"/>
      <c r="G627" s="128"/>
      <c r="H627" s="31"/>
      <c r="I627" s="112"/>
      <c r="J627" s="112"/>
      <c r="K627" s="267"/>
      <c r="L627" s="453"/>
      <c r="M627" s="454"/>
      <c r="N627" s="449"/>
      <c r="O627" s="261"/>
    </row>
    <row r="628" spans="2:15" ht="15">
      <c r="B628" s="439"/>
      <c r="C628" s="308" t="s">
        <v>708</v>
      </c>
      <c r="D628" s="533">
        <f>$G$339</f>
        <v>1206.1871419921877</v>
      </c>
      <c r="E628" s="531" t="s">
        <v>706</v>
      </c>
      <c r="F628" s="29">
        <f>$H$612</f>
        <v>1494.5354806591049</v>
      </c>
      <c r="G628" s="532" t="s">
        <v>707</v>
      </c>
      <c r="H628" s="31"/>
      <c r="I628" s="112"/>
      <c r="J628" s="112"/>
      <c r="K628" s="267"/>
      <c r="L628" s="453"/>
      <c r="M628" s="454"/>
      <c r="N628" s="449"/>
      <c r="O628" s="261"/>
    </row>
    <row r="629" spans="2:15" ht="15">
      <c r="B629" s="439"/>
      <c r="C629" s="431"/>
      <c r="D629" s="112"/>
      <c r="E629" s="112"/>
      <c r="F629" s="534">
        <f>D628/F628</f>
        <v>0.80706490919857399</v>
      </c>
      <c r="G629" s="128" t="str">
        <f>IF(D628&lt;=F628,"OK","niespełniony")</f>
        <v>OK</v>
      </c>
      <c r="H629" s="31"/>
      <c r="I629" s="112"/>
      <c r="J629" s="112"/>
      <c r="K629" s="267"/>
      <c r="L629" s="453"/>
      <c r="M629" s="454"/>
      <c r="N629" s="449"/>
      <c r="O629" s="261"/>
    </row>
    <row r="630" spans="2:15" ht="15">
      <c r="B630" s="439"/>
      <c r="C630" s="168"/>
      <c r="D630" s="92"/>
      <c r="E630" s="31"/>
      <c r="F630" s="31"/>
      <c r="G630" s="31"/>
      <c r="H630" s="31"/>
      <c r="I630" s="112"/>
      <c r="J630" s="112"/>
      <c r="K630" s="267"/>
      <c r="L630" s="453"/>
      <c r="M630" s="454"/>
      <c r="N630" s="449"/>
      <c r="O630" s="261"/>
    </row>
    <row r="631" spans="2:15" ht="15">
      <c r="B631" s="439"/>
      <c r="C631" s="168"/>
      <c r="D631" s="92"/>
      <c r="E631" s="31"/>
      <c r="F631" s="31"/>
      <c r="G631" s="31"/>
      <c r="H631" s="31"/>
      <c r="I631" s="112"/>
      <c r="J631" s="112"/>
      <c r="K631" s="267"/>
      <c r="L631" s="453"/>
      <c r="M631" s="454"/>
      <c r="N631" s="449"/>
      <c r="O631" s="261"/>
    </row>
    <row r="632" spans="2:15" ht="15">
      <c r="B632" s="439"/>
      <c r="C632" s="168"/>
      <c r="D632" s="92"/>
      <c r="E632" s="31"/>
      <c r="F632" s="31"/>
      <c r="G632" s="31"/>
      <c r="H632" s="31"/>
      <c r="I632" s="112"/>
      <c r="J632" s="112"/>
      <c r="K632" s="267"/>
      <c r="L632" s="453"/>
      <c r="M632" s="454"/>
      <c r="N632" s="449"/>
      <c r="O632" s="261"/>
    </row>
    <row r="633" spans="2:15" ht="15">
      <c r="B633" s="439"/>
      <c r="C633" s="168"/>
      <c r="D633" s="92"/>
      <c r="E633" s="31"/>
      <c r="F633" s="31"/>
      <c r="G633" s="31"/>
      <c r="H633" s="31"/>
      <c r="I633" s="112"/>
      <c r="J633" s="112"/>
      <c r="K633" s="267"/>
      <c r="L633" s="453"/>
      <c r="M633" s="454"/>
      <c r="N633" s="449"/>
      <c r="O633" s="261"/>
    </row>
    <row r="634" spans="2:15" ht="15">
      <c r="B634" s="439"/>
      <c r="C634" s="168"/>
      <c r="D634" s="92"/>
      <c r="E634" s="31"/>
      <c r="F634" s="31"/>
      <c r="G634" s="31"/>
      <c r="H634" s="31"/>
      <c r="I634" s="112"/>
      <c r="J634" s="112"/>
      <c r="K634" s="267"/>
      <c r="L634" s="453"/>
      <c r="M634" s="454"/>
      <c r="N634" s="449"/>
      <c r="O634" s="261"/>
    </row>
    <row r="635" spans="2:15" ht="15">
      <c r="B635" s="439"/>
      <c r="C635" s="168"/>
      <c r="D635" s="92"/>
      <c r="E635" s="31"/>
      <c r="F635" s="31"/>
      <c r="G635" s="31"/>
      <c r="H635" s="31"/>
      <c r="I635" s="112"/>
      <c r="J635" s="112"/>
      <c r="K635" s="267"/>
      <c r="L635" s="453"/>
      <c r="M635" s="454"/>
      <c r="N635" s="449"/>
      <c r="O635" s="261"/>
    </row>
    <row r="636" spans="2:15" ht="15">
      <c r="B636" s="439"/>
      <c r="C636" s="529" t="s">
        <v>710</v>
      </c>
      <c r="D636" s="463"/>
      <c r="E636" s="463"/>
      <c r="F636" s="463"/>
      <c r="G636" s="463"/>
      <c r="H636" s="463"/>
      <c r="I636" s="463"/>
      <c r="J636" s="463"/>
      <c r="K636" s="267"/>
      <c r="L636" s="453"/>
      <c r="M636" s="454"/>
      <c r="N636" s="449"/>
      <c r="O636" s="261"/>
    </row>
    <row r="637" spans="2:15">
      <c r="B637" s="439"/>
      <c r="E637" s="31"/>
      <c r="F637" s="31"/>
      <c r="G637" s="31"/>
      <c r="H637" s="31"/>
      <c r="I637" s="112"/>
      <c r="J637" s="112"/>
      <c r="K637" s="267"/>
      <c r="L637" s="453"/>
      <c r="M637" s="454"/>
      <c r="N637" s="449"/>
      <c r="O637" s="261"/>
    </row>
    <row r="638" spans="2:15">
      <c r="B638" s="439"/>
      <c r="C638" s="112"/>
      <c r="D638" s="561" t="s">
        <v>554</v>
      </c>
      <c r="E638" s="555">
        <f>D121</f>
        <v>320</v>
      </c>
      <c r="F638" s="31"/>
      <c r="G638" s="31"/>
      <c r="H638" s="31"/>
      <c r="I638" s="112"/>
      <c r="J638" s="112"/>
      <c r="K638" s="267"/>
      <c r="L638" s="453"/>
      <c r="M638" s="454"/>
      <c r="N638" s="449"/>
      <c r="O638" s="261"/>
    </row>
    <row r="639" spans="2:15">
      <c r="B639" s="439"/>
      <c r="D639" s="512" t="s">
        <v>546</v>
      </c>
      <c r="H639" s="31"/>
      <c r="I639" s="112"/>
      <c r="J639" s="112"/>
      <c r="K639" s="267"/>
      <c r="L639" s="453"/>
      <c r="M639" s="454"/>
      <c r="N639" s="449"/>
      <c r="O639" s="261"/>
    </row>
    <row r="640" spans="2:15">
      <c r="B640" s="439"/>
      <c r="D640" s="512" t="s">
        <v>547</v>
      </c>
      <c r="H640" s="31"/>
      <c r="I640" s="112"/>
      <c r="J640" s="112"/>
      <c r="K640" s="267"/>
      <c r="L640" s="453"/>
      <c r="M640" s="454"/>
      <c r="N640" s="449"/>
      <c r="O640" s="261"/>
    </row>
    <row r="641" spans="2:15">
      <c r="B641" s="439"/>
      <c r="C641" s="31"/>
      <c r="D641" s="31"/>
      <c r="E641" s="31"/>
      <c r="F641" s="31"/>
      <c r="G641" s="31"/>
      <c r="H641" s="31"/>
      <c r="I641" s="112"/>
      <c r="J641" s="112"/>
      <c r="K641" s="267"/>
      <c r="L641" s="453"/>
      <c r="M641" s="454"/>
      <c r="N641" s="449"/>
      <c r="O641" s="261"/>
    </row>
    <row r="642" spans="2:15">
      <c r="B642" s="439"/>
      <c r="C642" s="168"/>
      <c r="D642" s="31"/>
      <c r="E642" s="31"/>
      <c r="F642" s="31"/>
      <c r="G642" s="31"/>
      <c r="H642" s="31"/>
      <c r="I642" s="112"/>
      <c r="J642" s="112"/>
      <c r="K642" s="267"/>
      <c r="L642" s="453"/>
      <c r="M642" s="454"/>
      <c r="N642" s="449"/>
      <c r="O642" s="261"/>
    </row>
    <row r="643" spans="2:15">
      <c r="B643" s="420"/>
      <c r="C643" s="112"/>
      <c r="D643" s="563" t="s">
        <v>539</v>
      </c>
      <c r="E643" s="564" t="s">
        <v>538</v>
      </c>
      <c r="F643" s="564" t="s">
        <v>537</v>
      </c>
      <c r="G643" s="564" t="s">
        <v>536</v>
      </c>
      <c r="H643" s="31"/>
      <c r="I643" s="31"/>
      <c r="J643" s="112"/>
      <c r="K643" s="267"/>
      <c r="L643" s="453"/>
      <c r="M643" s="454"/>
      <c r="N643" s="449"/>
      <c r="O643" s="261"/>
    </row>
    <row r="644" spans="2:15">
      <c r="B644" s="420"/>
      <c r="C644" s="112"/>
      <c r="D644" s="563" t="s">
        <v>540</v>
      </c>
      <c r="E644" s="564" t="s">
        <v>541</v>
      </c>
      <c r="F644" s="564" t="s">
        <v>535</v>
      </c>
      <c r="G644" s="564"/>
      <c r="H644" s="31"/>
      <c r="I644" s="31"/>
      <c r="J644" s="112"/>
      <c r="K644" s="267"/>
      <c r="L644" s="453"/>
      <c r="M644" s="454"/>
      <c r="N644" s="449"/>
      <c r="O644" s="261"/>
    </row>
    <row r="645" spans="2:15">
      <c r="B645" s="439"/>
      <c r="C645" s="112"/>
      <c r="D645" s="563" t="s">
        <v>539</v>
      </c>
      <c r="E645" s="562">
        <f>G146</f>
        <v>46</v>
      </c>
      <c r="F645" s="562">
        <f>$E$638-(G645+E645)</f>
        <v>230</v>
      </c>
      <c r="G645" s="562">
        <f>G145</f>
        <v>44</v>
      </c>
      <c r="H645" s="31"/>
      <c r="I645" s="31"/>
      <c r="J645" s="112"/>
      <c r="K645" s="267"/>
      <c r="L645" s="453"/>
      <c r="M645" s="454"/>
      <c r="N645" s="449"/>
      <c r="O645" s="261"/>
    </row>
    <row r="646" spans="2:15" ht="39" customHeight="1">
      <c r="B646" s="420"/>
      <c r="C646" s="512" t="s">
        <v>543</v>
      </c>
      <c r="D646" s="557" t="s">
        <v>549</v>
      </c>
      <c r="E646" s="558">
        <f t="shared" ref="E646:E656" si="0">$E$638-F646</f>
        <v>49.294265186177768</v>
      </c>
      <c r="F646" s="556">
        <f>I424*10</f>
        <v>270.70573481382223</v>
      </c>
      <c r="G646" s="552"/>
      <c r="H646" s="31"/>
      <c r="I646" s="31"/>
      <c r="J646" s="112"/>
      <c r="K646" s="267"/>
      <c r="L646" s="453"/>
      <c r="M646" s="454"/>
      <c r="N646" s="449"/>
      <c r="O646" s="261"/>
    </row>
    <row r="647" spans="2:15" ht="39" customHeight="1">
      <c r="B647" s="420"/>
      <c r="C647" s="512" t="s">
        <v>543</v>
      </c>
      <c r="D647" s="559" t="s">
        <v>548</v>
      </c>
      <c r="E647" s="558">
        <f t="shared" si="0"/>
        <v>66.152549198996979</v>
      </c>
      <c r="F647" s="556">
        <f>I429*10</f>
        <v>253.84745080100302</v>
      </c>
      <c r="G647" s="552"/>
      <c r="H647" s="31"/>
      <c r="I647" s="31"/>
      <c r="J647" s="112"/>
      <c r="K647" s="267"/>
      <c r="L647" s="453"/>
      <c r="M647" s="454"/>
      <c r="N647" s="449"/>
      <c r="O647" s="261"/>
    </row>
    <row r="648" spans="2:15" ht="39" customHeight="1">
      <c r="B648" s="420"/>
      <c r="C648" s="512" t="s">
        <v>543</v>
      </c>
      <c r="D648" s="559" t="s">
        <v>550</v>
      </c>
      <c r="E648" s="558">
        <f t="shared" si="0"/>
        <v>66.306717907416868</v>
      </c>
      <c r="F648" s="556">
        <f>I434*10</f>
        <v>253.69328209258313</v>
      </c>
      <c r="G648" s="552"/>
      <c r="H648" s="31"/>
      <c r="I648" s="31"/>
      <c r="J648" s="112"/>
      <c r="K648" s="267"/>
      <c r="L648" s="453"/>
      <c r="M648" s="454"/>
      <c r="N648" s="449"/>
      <c r="O648" s="261"/>
    </row>
    <row r="649" spans="2:15" ht="39" customHeight="1">
      <c r="B649" s="420"/>
      <c r="C649" s="512" t="s">
        <v>543</v>
      </c>
      <c r="D649" s="559" t="s">
        <v>551</v>
      </c>
      <c r="E649" s="558">
        <f t="shared" si="0"/>
        <v>81.730872146838408</v>
      </c>
      <c r="F649" s="556">
        <f>I439*10</f>
        <v>238.26912785316159</v>
      </c>
      <c r="G649" s="552"/>
      <c r="H649" s="31"/>
      <c r="I649" s="31"/>
      <c r="J649" s="112"/>
      <c r="K649" s="267"/>
      <c r="L649" s="453"/>
      <c r="M649" s="454"/>
      <c r="N649" s="449"/>
      <c r="O649" s="261"/>
    </row>
    <row r="650" spans="2:15" ht="39" customHeight="1">
      <c r="B650" s="420"/>
      <c r="C650" s="512" t="s">
        <v>543</v>
      </c>
      <c r="D650" s="559" t="s">
        <v>552</v>
      </c>
      <c r="E650" s="558">
        <f t="shared" si="0"/>
        <v>81.598349844170713</v>
      </c>
      <c r="F650" s="556">
        <f>I444*10</f>
        <v>238.40165015582929</v>
      </c>
      <c r="G650" s="552"/>
      <c r="H650" s="31"/>
      <c r="I650" s="31"/>
      <c r="J650" s="112"/>
      <c r="K650" s="267"/>
      <c r="L650" s="453"/>
      <c r="M650" s="454"/>
      <c r="N650" s="449"/>
      <c r="O650" s="261"/>
    </row>
    <row r="651" spans="2:15" ht="39" customHeight="1">
      <c r="B651" s="420"/>
      <c r="C651" s="512" t="s">
        <v>543</v>
      </c>
      <c r="D651" s="559" t="s">
        <v>553</v>
      </c>
      <c r="E651" s="558">
        <f t="shared" si="0"/>
        <v>95.634645468374089</v>
      </c>
      <c r="F651" s="556">
        <f>I449*10</f>
        <v>224.36535453162591</v>
      </c>
      <c r="G651" s="552"/>
      <c r="H651" s="31"/>
      <c r="I651" s="31"/>
      <c r="J651" s="112"/>
      <c r="K651" s="267"/>
      <c r="L651" s="453"/>
      <c r="M651" s="454"/>
      <c r="N651" s="449"/>
      <c r="O651" s="261"/>
    </row>
    <row r="652" spans="2:15" ht="39" customHeight="1">
      <c r="B652" s="420"/>
      <c r="C652" s="512" t="s">
        <v>544</v>
      </c>
      <c r="D652" s="559" t="s">
        <v>549</v>
      </c>
      <c r="E652" s="558">
        <f t="shared" si="0"/>
        <v>60.253446048476292</v>
      </c>
      <c r="F652" s="556">
        <f>I519*10</f>
        <v>259.74655395152371</v>
      </c>
      <c r="G652" s="552"/>
      <c r="H652" s="31"/>
      <c r="I652" s="31"/>
      <c r="J652" s="112"/>
      <c r="K652" s="267"/>
      <c r="L652" s="453"/>
      <c r="M652" s="454"/>
      <c r="N652" s="449"/>
      <c r="O652" s="261"/>
    </row>
    <row r="653" spans="2:15" ht="39" customHeight="1">
      <c r="B653" s="420"/>
      <c r="C653" s="512" t="s">
        <v>544</v>
      </c>
      <c r="D653" s="559" t="s">
        <v>552</v>
      </c>
      <c r="E653" s="558">
        <f t="shared" si="0"/>
        <v>92.557530706469208</v>
      </c>
      <c r="F653" s="556">
        <f>I524*10</f>
        <v>227.44246929353079</v>
      </c>
      <c r="G653" s="552"/>
      <c r="H653" s="31"/>
      <c r="I653" s="31"/>
      <c r="J653" s="112"/>
      <c r="K653" s="267"/>
      <c r="L653" s="453"/>
      <c r="M653" s="454"/>
      <c r="N653" s="449"/>
      <c r="O653" s="261"/>
    </row>
    <row r="654" spans="2:15" ht="39" customHeight="1">
      <c r="B654" s="420"/>
      <c r="C654" s="512" t="s">
        <v>545</v>
      </c>
      <c r="D654" s="559" t="s">
        <v>549</v>
      </c>
      <c r="E654" s="558">
        <f t="shared" si="0"/>
        <v>84.554132836770293</v>
      </c>
      <c r="F654" s="556">
        <f>I576*10</f>
        <v>235.44586716322971</v>
      </c>
      <c r="G654" s="552"/>
      <c r="H654" s="31"/>
      <c r="I654" s="31"/>
      <c r="J654" s="112"/>
      <c r="K654" s="267"/>
      <c r="L654" s="453"/>
      <c r="M654" s="454"/>
      <c r="N654" s="449"/>
      <c r="O654" s="261"/>
    </row>
    <row r="655" spans="2:15" ht="39" customHeight="1">
      <c r="B655" s="420"/>
      <c r="C655" s="512" t="s">
        <v>545</v>
      </c>
      <c r="D655" s="559" t="s">
        <v>552</v>
      </c>
      <c r="E655" s="558">
        <f t="shared" si="0"/>
        <v>96.704476230917237</v>
      </c>
      <c r="F655" s="556">
        <f>I583*10</f>
        <v>223.29552376908276</v>
      </c>
      <c r="G655" s="552"/>
      <c r="H655" s="31"/>
      <c r="I655" s="31"/>
      <c r="J655" s="112"/>
      <c r="K655" s="267"/>
      <c r="L655" s="453"/>
      <c r="M655" s="454"/>
      <c r="N655" s="449"/>
      <c r="O655" s="261"/>
    </row>
    <row r="656" spans="2:15" ht="39" customHeight="1">
      <c r="B656" s="420"/>
      <c r="C656" s="512" t="s">
        <v>545</v>
      </c>
      <c r="D656" s="560" t="s">
        <v>542</v>
      </c>
      <c r="E656" s="558">
        <f t="shared" si="0"/>
        <v>135.86322354845964</v>
      </c>
      <c r="F656" s="556">
        <f>I590*10</f>
        <v>184.13677645154036</v>
      </c>
      <c r="G656" s="552"/>
      <c r="H656" s="304"/>
      <c r="I656" s="305"/>
      <c r="J656" s="112"/>
      <c r="K656" s="267"/>
      <c r="L656" s="453"/>
      <c r="M656" s="454"/>
      <c r="N656" s="449"/>
      <c r="O656" s="261"/>
    </row>
    <row r="657" spans="2:37">
      <c r="B657" s="439"/>
      <c r="C657" s="168"/>
      <c r="D657" s="267"/>
      <c r="E657" s="267"/>
      <c r="F657" s="267"/>
      <c r="G657" s="267"/>
      <c r="H657" s="267"/>
      <c r="I657" s="267"/>
      <c r="J657" s="267"/>
      <c r="K657" s="267"/>
      <c r="L657" s="453"/>
      <c r="M657" s="454"/>
      <c r="N657" s="449"/>
      <c r="O657" s="261"/>
    </row>
    <row r="658" spans="2:37">
      <c r="B658" s="439"/>
      <c r="C658" s="168"/>
      <c r="D658" s="267"/>
      <c r="E658" s="267"/>
      <c r="F658" s="267"/>
      <c r="G658" s="267"/>
      <c r="H658" s="267"/>
      <c r="I658" s="267"/>
      <c r="J658" s="267"/>
      <c r="K658" s="267"/>
      <c r="L658" s="453"/>
      <c r="M658" s="454"/>
      <c r="N658" s="449"/>
      <c r="O658" s="261"/>
    </row>
    <row r="659" spans="2:37">
      <c r="B659" s="439"/>
      <c r="C659" s="168"/>
      <c r="D659" s="267"/>
      <c r="E659" s="267"/>
      <c r="F659" s="267"/>
      <c r="G659" s="267"/>
      <c r="H659" s="267"/>
      <c r="I659" s="267"/>
      <c r="J659" s="267"/>
      <c r="K659" s="267"/>
      <c r="L659" s="453"/>
      <c r="M659" s="454"/>
      <c r="N659" s="449"/>
      <c r="O659" s="261"/>
    </row>
    <row r="660" spans="2:37">
      <c r="B660" s="439"/>
      <c r="C660" s="168"/>
      <c r="D660" s="267"/>
      <c r="E660" s="267"/>
      <c r="F660" s="267"/>
      <c r="G660" s="267"/>
      <c r="H660" s="267"/>
      <c r="I660" s="267"/>
      <c r="J660" s="267"/>
      <c r="K660" s="267"/>
      <c r="L660" s="453"/>
      <c r="M660" s="454"/>
      <c r="N660" s="449"/>
      <c r="O660" s="261"/>
    </row>
    <row r="661" spans="2:37">
      <c r="B661" s="439"/>
      <c r="C661" s="168"/>
      <c r="D661" s="267"/>
      <c r="E661" s="267"/>
      <c r="F661" s="267"/>
      <c r="G661" s="267"/>
      <c r="H661" s="267"/>
      <c r="I661" s="267"/>
      <c r="J661" s="267"/>
      <c r="K661" s="267"/>
      <c r="L661" s="453"/>
      <c r="M661" s="454"/>
      <c r="N661" s="449"/>
      <c r="O661" s="261"/>
    </row>
    <row r="662" spans="2:37">
      <c r="B662" s="439"/>
      <c r="C662" s="168"/>
      <c r="D662" s="267"/>
      <c r="E662" s="267"/>
      <c r="F662" s="267"/>
      <c r="G662" s="267"/>
      <c r="H662" s="267"/>
      <c r="I662" s="267"/>
      <c r="J662" s="267"/>
      <c r="K662" s="267"/>
      <c r="L662" s="453"/>
      <c r="M662" s="454"/>
      <c r="N662" s="449"/>
      <c r="O662" s="261"/>
    </row>
    <row r="663" spans="2:37">
      <c r="B663" s="439"/>
      <c r="C663" s="168"/>
      <c r="D663" s="267"/>
      <c r="E663" s="267"/>
      <c r="F663" s="267"/>
      <c r="G663" s="267"/>
      <c r="H663" s="267"/>
      <c r="I663" s="267"/>
      <c r="J663" s="267"/>
      <c r="K663" s="267"/>
      <c r="L663" s="453"/>
      <c r="M663" s="454"/>
      <c r="N663" s="449"/>
      <c r="O663" s="261"/>
    </row>
    <row r="664" spans="2:37">
      <c r="B664" s="439"/>
      <c r="C664" s="168"/>
      <c r="D664" s="267"/>
      <c r="E664" s="267"/>
      <c r="F664" s="267"/>
      <c r="G664" s="267"/>
      <c r="H664" s="267"/>
      <c r="I664" s="267"/>
      <c r="J664" s="267"/>
      <c r="K664" s="267"/>
      <c r="L664" s="453"/>
      <c r="M664" s="454"/>
      <c r="N664" s="449"/>
      <c r="O664" s="261"/>
    </row>
    <row r="665" spans="2:37">
      <c r="B665" s="420"/>
      <c r="C665" s="432"/>
      <c r="D665" s="112"/>
      <c r="E665" s="112"/>
      <c r="F665" s="112"/>
      <c r="G665" s="112"/>
      <c r="H665" s="31"/>
      <c r="I665" s="112"/>
      <c r="J665" s="432"/>
      <c r="K665" s="267"/>
      <c r="L665" s="267"/>
      <c r="M665" s="267"/>
      <c r="N665" s="419"/>
    </row>
    <row r="666" spans="2:37" ht="30" customHeight="1">
      <c r="B666" s="420"/>
      <c r="C666" s="7" t="s">
        <v>346</v>
      </c>
      <c r="D666" s="8"/>
      <c r="E666" s="8"/>
      <c r="F666" s="8"/>
      <c r="G666" s="8"/>
      <c r="H666" s="8"/>
      <c r="I666" s="8"/>
      <c r="J666" s="8"/>
      <c r="K666" s="267"/>
      <c r="L666" s="267"/>
      <c r="M666" s="267"/>
      <c r="N666" s="419"/>
    </row>
    <row r="667" spans="2:37" s="9" customFormat="1" ht="15">
      <c r="B667" s="416"/>
      <c r="C667" s="130"/>
      <c r="D667" s="112"/>
      <c r="E667" s="112"/>
      <c r="F667" s="112"/>
      <c r="G667" s="112"/>
      <c r="H667" s="112"/>
      <c r="I667" s="112"/>
      <c r="J667" s="112"/>
      <c r="K667" s="267"/>
      <c r="L667" s="267"/>
      <c r="M667" s="267"/>
      <c r="N667" s="419"/>
      <c r="O667" s="258"/>
      <c r="P667" s="258"/>
      <c r="Q667" s="258"/>
      <c r="R667" s="258"/>
      <c r="S667" s="258"/>
      <c r="T667" s="258"/>
      <c r="U667" s="258"/>
      <c r="V667" s="258"/>
      <c r="W667" s="258"/>
      <c r="X667" s="258"/>
      <c r="Y667" s="258"/>
      <c r="Z667" s="258"/>
      <c r="AA667" s="258"/>
      <c r="AB667" s="258"/>
      <c r="AC667" s="258"/>
      <c r="AD667" s="258"/>
      <c r="AE667" s="258"/>
      <c r="AF667" s="258"/>
      <c r="AG667" s="258"/>
      <c r="AH667" s="258"/>
      <c r="AI667" s="258"/>
      <c r="AJ667" s="258"/>
      <c r="AK667" s="258"/>
    </row>
    <row r="668" spans="2:37" s="9" customFormat="1" ht="15">
      <c r="B668" s="416"/>
      <c r="C668" s="130"/>
      <c r="D668" s="112"/>
      <c r="E668" s="112"/>
      <c r="F668" s="112"/>
      <c r="G668" s="112"/>
      <c r="H668" s="112"/>
      <c r="I668" s="112"/>
      <c r="J668" s="112"/>
      <c r="K668" s="267"/>
      <c r="L668" s="267"/>
      <c r="M668" s="267"/>
      <c r="N668" s="419"/>
      <c r="O668" s="258"/>
      <c r="P668" s="258"/>
      <c r="Q668" s="258"/>
      <c r="R668" s="258"/>
      <c r="S668" s="258"/>
      <c r="T668" s="258"/>
      <c r="U668" s="258"/>
      <c r="V668" s="258"/>
      <c r="W668" s="258"/>
      <c r="X668" s="258"/>
      <c r="Y668" s="258"/>
      <c r="Z668" s="258"/>
      <c r="AA668" s="258"/>
      <c r="AB668" s="258"/>
      <c r="AC668" s="258"/>
      <c r="AD668" s="258"/>
      <c r="AE668" s="258"/>
      <c r="AF668" s="258"/>
      <c r="AG668" s="258"/>
      <c r="AH668" s="258"/>
      <c r="AI668" s="258"/>
      <c r="AJ668" s="258"/>
      <c r="AK668" s="258"/>
    </row>
    <row r="669" spans="2:37" s="9" customFormat="1" ht="15">
      <c r="B669" s="416"/>
      <c r="C669" s="130"/>
      <c r="D669" s="112"/>
      <c r="E669" s="112"/>
      <c r="F669" s="112"/>
      <c r="G669" s="112"/>
      <c r="H669" s="112"/>
      <c r="I669" s="112"/>
      <c r="J669" s="112"/>
      <c r="K669" s="267"/>
      <c r="L669" s="267"/>
      <c r="M669" s="267"/>
      <c r="N669" s="419"/>
      <c r="O669" s="258"/>
      <c r="P669" s="258"/>
      <c r="Q669" s="258"/>
      <c r="R669" s="258"/>
      <c r="S669" s="258"/>
      <c r="T669" s="258"/>
      <c r="U669" s="258"/>
      <c r="V669" s="258"/>
      <c r="W669" s="258"/>
      <c r="X669" s="258"/>
      <c r="Y669" s="258"/>
      <c r="Z669" s="258"/>
      <c r="AA669" s="258"/>
      <c r="AB669" s="258"/>
      <c r="AC669" s="258"/>
      <c r="AD669" s="258"/>
      <c r="AE669" s="258"/>
      <c r="AF669" s="258"/>
      <c r="AG669" s="258"/>
      <c r="AH669" s="258"/>
      <c r="AI669" s="258"/>
      <c r="AJ669" s="258"/>
      <c r="AK669" s="258"/>
    </row>
    <row r="670" spans="2:37" s="9" customFormat="1" ht="15">
      <c r="B670" s="416"/>
      <c r="C670" s="130"/>
      <c r="D670" s="112"/>
      <c r="E670" s="112"/>
      <c r="F670" s="112"/>
      <c r="G670" s="112"/>
      <c r="H670" s="112"/>
      <c r="I670" s="112"/>
      <c r="J670" s="112"/>
      <c r="K670" s="267"/>
      <c r="L670" s="267"/>
      <c r="M670" s="267"/>
      <c r="N670" s="419"/>
      <c r="O670" s="258"/>
      <c r="P670" s="258"/>
      <c r="Q670" s="258"/>
      <c r="R670" s="258"/>
      <c r="S670" s="258"/>
      <c r="T670" s="258"/>
      <c r="U670" s="258"/>
      <c r="V670" s="258"/>
      <c r="W670" s="258"/>
      <c r="X670" s="258"/>
      <c r="Y670" s="258"/>
      <c r="Z670" s="258"/>
      <c r="AA670" s="258"/>
      <c r="AB670" s="258"/>
      <c r="AC670" s="258"/>
      <c r="AD670" s="258"/>
      <c r="AE670" s="258"/>
      <c r="AF670" s="258"/>
      <c r="AG670" s="258"/>
      <c r="AH670" s="258"/>
      <c r="AI670" s="258"/>
      <c r="AJ670" s="258"/>
      <c r="AK670" s="258"/>
    </row>
    <row r="671" spans="2:37" s="9" customFormat="1" ht="15">
      <c r="B671" s="416"/>
      <c r="C671" s="130"/>
      <c r="D671" s="112"/>
      <c r="E671" s="112"/>
      <c r="F671" s="112"/>
      <c r="G671" s="112"/>
      <c r="H671" s="112"/>
      <c r="I671" s="112"/>
      <c r="J671" s="112"/>
      <c r="K671" s="267"/>
      <c r="L671" s="267"/>
      <c r="M671" s="267"/>
      <c r="N671" s="419"/>
      <c r="O671" s="258"/>
      <c r="P671" s="258"/>
      <c r="Q671" s="258"/>
      <c r="R671" s="258"/>
      <c r="S671" s="258"/>
      <c r="T671" s="258"/>
      <c r="U671" s="258"/>
      <c r="V671" s="258"/>
      <c r="W671" s="258"/>
      <c r="X671" s="258"/>
      <c r="Y671" s="258"/>
      <c r="Z671" s="258"/>
      <c r="AA671" s="258"/>
      <c r="AB671" s="258"/>
      <c r="AC671" s="258"/>
      <c r="AD671" s="258"/>
      <c r="AE671" s="258"/>
      <c r="AF671" s="258"/>
      <c r="AG671" s="258"/>
      <c r="AH671" s="258"/>
      <c r="AI671" s="258"/>
      <c r="AJ671" s="258"/>
      <c r="AK671" s="258"/>
    </row>
    <row r="672" spans="2:37" s="9" customFormat="1" ht="15">
      <c r="B672" s="416"/>
      <c r="C672" s="130"/>
      <c r="D672" s="112"/>
      <c r="E672" s="112"/>
      <c r="F672" s="112"/>
      <c r="G672" s="112"/>
      <c r="H672" s="112"/>
      <c r="I672" s="112"/>
      <c r="J672" s="112"/>
      <c r="K672" s="267"/>
      <c r="L672" s="267"/>
      <c r="M672" s="267"/>
      <c r="N672" s="419"/>
      <c r="O672" s="258"/>
      <c r="P672" s="258"/>
      <c r="Q672" s="258"/>
      <c r="R672" s="258"/>
      <c r="S672" s="258"/>
      <c r="T672" s="258"/>
      <c r="U672" s="258"/>
      <c r="V672" s="258"/>
      <c r="W672" s="258"/>
      <c r="X672" s="258"/>
      <c r="Y672" s="258"/>
      <c r="Z672" s="258"/>
      <c r="AA672" s="258"/>
      <c r="AB672" s="258"/>
      <c r="AC672" s="258"/>
      <c r="AD672" s="258"/>
      <c r="AE672" s="258"/>
      <c r="AF672" s="258"/>
      <c r="AG672" s="258"/>
      <c r="AH672" s="258"/>
      <c r="AI672" s="258"/>
      <c r="AJ672" s="258"/>
      <c r="AK672" s="258"/>
    </row>
    <row r="673" spans="2:37" s="9" customFormat="1" ht="15">
      <c r="B673" s="416"/>
      <c r="C673" s="130"/>
      <c r="D673" s="112"/>
      <c r="E673" s="112"/>
      <c r="F673" s="112"/>
      <c r="G673" s="112"/>
      <c r="H673" s="112"/>
      <c r="I673" s="112"/>
      <c r="J673" s="112"/>
      <c r="K673" s="267"/>
      <c r="L673" s="267"/>
      <c r="M673" s="267"/>
      <c r="N673" s="419"/>
      <c r="O673" s="258"/>
      <c r="P673" s="258"/>
      <c r="Q673" s="258"/>
      <c r="R673" s="258"/>
      <c r="S673" s="258"/>
      <c r="T673" s="258"/>
      <c r="U673" s="258"/>
      <c r="V673" s="258"/>
      <c r="W673" s="258"/>
      <c r="X673" s="258"/>
      <c r="Y673" s="258"/>
      <c r="Z673" s="258"/>
      <c r="AA673" s="258"/>
      <c r="AB673" s="258"/>
      <c r="AC673" s="258"/>
      <c r="AD673" s="258"/>
      <c r="AE673" s="258"/>
      <c r="AF673" s="258"/>
      <c r="AG673" s="258"/>
      <c r="AH673" s="258"/>
      <c r="AI673" s="258"/>
      <c r="AJ673" s="258"/>
      <c r="AK673" s="258"/>
    </row>
    <row r="674" spans="2:37" s="9" customFormat="1" ht="15">
      <c r="B674" s="416"/>
      <c r="C674" s="130"/>
      <c r="D674" s="112"/>
      <c r="E674" s="112"/>
      <c r="F674" s="112"/>
      <c r="G674" s="112"/>
      <c r="H674" s="112"/>
      <c r="I674" s="112"/>
      <c r="J674" s="112"/>
      <c r="K674" s="267"/>
      <c r="L674" s="267"/>
      <c r="M674" s="267"/>
      <c r="N674" s="419"/>
      <c r="O674" s="258"/>
      <c r="P674" s="258"/>
      <c r="Q674" s="258"/>
      <c r="R674" s="258"/>
      <c r="S674" s="258"/>
      <c r="T674" s="258"/>
      <c r="U674" s="258"/>
      <c r="V674" s="258"/>
      <c r="W674" s="258"/>
      <c r="X674" s="258"/>
      <c r="Y674" s="258"/>
      <c r="Z674" s="258"/>
      <c r="AA674" s="258"/>
      <c r="AB674" s="258"/>
      <c r="AC674" s="258"/>
      <c r="AD674" s="258"/>
      <c r="AE674" s="258"/>
      <c r="AF674" s="258"/>
      <c r="AG674" s="258"/>
      <c r="AH674" s="258"/>
      <c r="AI674" s="258"/>
      <c r="AJ674" s="258"/>
      <c r="AK674" s="258"/>
    </row>
    <row r="675" spans="2:37" s="9" customFormat="1" ht="15">
      <c r="B675" s="416"/>
      <c r="C675" s="130"/>
      <c r="D675" s="112"/>
      <c r="E675" s="112"/>
      <c r="F675" s="112"/>
      <c r="G675" s="112"/>
      <c r="H675" s="112"/>
      <c r="I675" s="112"/>
      <c r="J675" s="112"/>
      <c r="K675" s="267"/>
      <c r="L675" s="267"/>
      <c r="M675" s="267"/>
      <c r="N675" s="419"/>
      <c r="O675" s="258"/>
      <c r="P675" s="258"/>
      <c r="Q675" s="258"/>
      <c r="R675" s="258"/>
      <c r="S675" s="258"/>
      <c r="T675" s="258"/>
      <c r="U675" s="258"/>
      <c r="V675" s="258"/>
      <c r="W675" s="258"/>
      <c r="X675" s="258"/>
      <c r="Y675" s="258"/>
      <c r="Z675" s="258"/>
      <c r="AA675" s="258"/>
      <c r="AB675" s="258"/>
      <c r="AC675" s="258"/>
      <c r="AD675" s="258"/>
      <c r="AE675" s="258"/>
      <c r="AF675" s="258"/>
      <c r="AG675" s="258"/>
      <c r="AH675" s="258"/>
      <c r="AI675" s="258"/>
      <c r="AJ675" s="258"/>
      <c r="AK675" s="258"/>
    </row>
    <row r="676" spans="2:37" s="9" customFormat="1" ht="15">
      <c r="B676" s="416"/>
      <c r="C676" s="130"/>
      <c r="D676" s="112"/>
      <c r="E676" s="112"/>
      <c r="F676" s="112"/>
      <c r="G676" s="112"/>
      <c r="H676" s="112"/>
      <c r="I676" s="112"/>
      <c r="J676" s="112"/>
      <c r="K676" s="267"/>
      <c r="L676" s="267"/>
      <c r="M676" s="267"/>
      <c r="N676" s="419"/>
      <c r="O676" s="258"/>
      <c r="P676" s="258"/>
      <c r="Q676" s="258"/>
      <c r="R676" s="258"/>
      <c r="S676" s="258"/>
      <c r="T676" s="258"/>
      <c r="U676" s="258"/>
      <c r="V676" s="258"/>
      <c r="W676" s="258"/>
      <c r="X676" s="258"/>
      <c r="Y676" s="258"/>
      <c r="Z676" s="258"/>
      <c r="AA676" s="258"/>
      <c r="AB676" s="258"/>
      <c r="AC676" s="258"/>
      <c r="AD676" s="258"/>
      <c r="AE676" s="258"/>
      <c r="AF676" s="258"/>
      <c r="AG676" s="258"/>
      <c r="AH676" s="258"/>
      <c r="AI676" s="258"/>
      <c r="AJ676" s="258"/>
      <c r="AK676" s="258"/>
    </row>
    <row r="677" spans="2:37" s="9" customFormat="1" ht="15">
      <c r="B677" s="416"/>
      <c r="C677" s="130"/>
      <c r="D677" s="112"/>
      <c r="E677" s="112"/>
      <c r="F677" s="112"/>
      <c r="G677" s="112"/>
      <c r="H677" s="112"/>
      <c r="I677" s="112"/>
      <c r="J677" s="112"/>
      <c r="K677" s="267"/>
      <c r="L677" s="267"/>
      <c r="M677" s="267"/>
      <c r="N677" s="419"/>
      <c r="O677" s="258"/>
      <c r="P677" s="258"/>
      <c r="Q677" s="258"/>
      <c r="R677" s="258"/>
      <c r="S677" s="258"/>
      <c r="T677" s="258"/>
      <c r="U677" s="258"/>
      <c r="V677" s="258"/>
      <c r="W677" s="258"/>
      <c r="X677" s="258"/>
      <c r="Y677" s="258"/>
      <c r="Z677" s="258"/>
      <c r="AA677" s="258"/>
      <c r="AB677" s="258"/>
      <c r="AC677" s="258"/>
      <c r="AD677" s="258"/>
      <c r="AE677" s="258"/>
      <c r="AF677" s="258"/>
      <c r="AG677" s="258"/>
      <c r="AH677" s="258"/>
      <c r="AI677" s="258"/>
      <c r="AJ677" s="258"/>
      <c r="AK677" s="258"/>
    </row>
    <row r="678" spans="2:37" s="9" customFormat="1" ht="15">
      <c r="B678" s="416"/>
      <c r="C678" s="130"/>
      <c r="D678" s="112"/>
      <c r="E678" s="112"/>
      <c r="F678" s="112"/>
      <c r="G678" s="112"/>
      <c r="H678" s="112"/>
      <c r="I678" s="112"/>
      <c r="J678" s="112"/>
      <c r="K678" s="267"/>
      <c r="L678" s="267"/>
      <c r="M678" s="267"/>
      <c r="N678" s="419"/>
      <c r="O678" s="258"/>
      <c r="P678" s="258"/>
      <c r="Q678" s="258"/>
      <c r="R678" s="258"/>
      <c r="S678" s="258"/>
      <c r="T678" s="258"/>
      <c r="U678" s="258"/>
      <c r="V678" s="258"/>
      <c r="W678" s="258"/>
      <c r="X678" s="258"/>
      <c r="Y678" s="258"/>
      <c r="Z678" s="258"/>
      <c r="AA678" s="258"/>
      <c r="AB678" s="258"/>
      <c r="AC678" s="258"/>
      <c r="AD678" s="258"/>
      <c r="AE678" s="258"/>
      <c r="AF678" s="258"/>
      <c r="AG678" s="258"/>
      <c r="AH678" s="258"/>
      <c r="AI678" s="258"/>
      <c r="AJ678" s="258"/>
      <c r="AK678" s="258"/>
    </row>
    <row r="679" spans="2:37" s="9" customFormat="1" ht="15">
      <c r="B679" s="416"/>
      <c r="C679" s="130"/>
      <c r="D679" s="112"/>
      <c r="E679" s="112"/>
      <c r="F679" s="112"/>
      <c r="G679" s="112"/>
      <c r="H679" s="112"/>
      <c r="I679" s="112"/>
      <c r="J679" s="112"/>
      <c r="K679" s="267"/>
      <c r="L679" s="267"/>
      <c r="M679" s="267"/>
      <c r="N679" s="419"/>
      <c r="O679" s="258"/>
      <c r="P679" s="258"/>
      <c r="Q679" s="258"/>
      <c r="R679" s="258"/>
      <c r="S679" s="258"/>
      <c r="T679" s="258"/>
      <c r="U679" s="258"/>
      <c r="V679" s="258"/>
      <c r="W679" s="258"/>
      <c r="X679" s="258"/>
      <c r="Y679" s="258"/>
      <c r="Z679" s="258"/>
      <c r="AA679" s="258"/>
      <c r="AB679" s="258"/>
      <c r="AC679" s="258"/>
      <c r="AD679" s="258"/>
      <c r="AE679" s="258"/>
      <c r="AF679" s="258"/>
      <c r="AG679" s="258"/>
      <c r="AH679" s="258"/>
      <c r="AI679" s="258"/>
      <c r="AJ679" s="258"/>
      <c r="AK679" s="258"/>
    </row>
    <row r="680" spans="2:37" s="9" customFormat="1" ht="15">
      <c r="B680" s="416"/>
      <c r="C680" s="130"/>
      <c r="D680" s="112"/>
      <c r="E680" s="112"/>
      <c r="F680" s="112"/>
      <c r="G680" s="112"/>
      <c r="H680" s="112"/>
      <c r="I680" s="112"/>
      <c r="J680" s="112"/>
      <c r="K680" s="267"/>
      <c r="L680" s="267"/>
      <c r="M680" s="267"/>
      <c r="N680" s="419"/>
      <c r="O680" s="258"/>
      <c r="P680" s="258"/>
      <c r="Q680" s="258"/>
      <c r="R680" s="258"/>
      <c r="S680" s="258"/>
      <c r="T680" s="258"/>
      <c r="U680" s="258"/>
      <c r="V680" s="258"/>
      <c r="W680" s="258"/>
      <c r="X680" s="258"/>
      <c r="Y680" s="258"/>
      <c r="Z680" s="258"/>
      <c r="AA680" s="258"/>
      <c r="AB680" s="258"/>
      <c r="AC680" s="258"/>
      <c r="AD680" s="258"/>
      <c r="AE680" s="258"/>
      <c r="AF680" s="258"/>
      <c r="AG680" s="258"/>
      <c r="AH680" s="258"/>
      <c r="AI680" s="258"/>
      <c r="AJ680" s="258"/>
      <c r="AK680" s="258"/>
    </row>
    <row r="681" spans="2:37" s="9" customFormat="1" ht="15">
      <c r="B681" s="416"/>
      <c r="C681" s="130"/>
      <c r="D681" s="112"/>
      <c r="E681" s="112"/>
      <c r="F681" s="112"/>
      <c r="G681" s="112"/>
      <c r="H681" s="112"/>
      <c r="I681" s="112"/>
      <c r="J681" s="112"/>
      <c r="K681" s="267"/>
      <c r="L681" s="267"/>
      <c r="M681" s="267"/>
      <c r="N681" s="419"/>
      <c r="O681" s="258"/>
      <c r="P681" s="258"/>
      <c r="Q681" s="258"/>
      <c r="R681" s="258"/>
      <c r="S681" s="258"/>
      <c r="T681" s="258"/>
      <c r="U681" s="258"/>
      <c r="V681" s="258"/>
      <c r="W681" s="258"/>
      <c r="X681" s="258"/>
      <c r="Y681" s="258"/>
      <c r="Z681" s="258"/>
      <c r="AA681" s="258"/>
      <c r="AB681" s="258"/>
      <c r="AC681" s="258"/>
      <c r="AD681" s="258"/>
      <c r="AE681" s="258"/>
      <c r="AF681" s="258"/>
      <c r="AG681" s="258"/>
      <c r="AH681" s="258"/>
      <c r="AI681" s="258"/>
      <c r="AJ681" s="258"/>
      <c r="AK681" s="258"/>
    </row>
    <row r="682" spans="2:37" s="9" customFormat="1" ht="15">
      <c r="B682" s="416"/>
      <c r="C682" s="130"/>
      <c r="D682" s="112"/>
      <c r="E682" s="112"/>
      <c r="F682" s="112"/>
      <c r="G682" s="112"/>
      <c r="H682" s="112"/>
      <c r="I682" s="112"/>
      <c r="J682" s="112"/>
      <c r="K682" s="267"/>
      <c r="L682" s="267"/>
      <c r="M682" s="267"/>
      <c r="N682" s="419"/>
      <c r="O682" s="258"/>
      <c r="P682" s="258"/>
      <c r="Q682" s="258"/>
      <c r="R682" s="258"/>
      <c r="S682" s="258"/>
      <c r="T682" s="258"/>
      <c r="U682" s="258"/>
      <c r="V682" s="258"/>
      <c r="W682" s="258"/>
      <c r="X682" s="258"/>
      <c r="Y682" s="258"/>
      <c r="Z682" s="258"/>
      <c r="AA682" s="258"/>
      <c r="AB682" s="258"/>
      <c r="AC682" s="258"/>
      <c r="AD682" s="258"/>
      <c r="AE682" s="258"/>
      <c r="AF682" s="258"/>
      <c r="AG682" s="258"/>
      <c r="AH682" s="258"/>
      <c r="AI682" s="258"/>
      <c r="AJ682" s="258"/>
      <c r="AK682" s="258"/>
    </row>
    <row r="683" spans="2:37" s="9" customFormat="1" ht="15">
      <c r="B683" s="416"/>
      <c r="C683" s="130"/>
      <c r="D683" s="112"/>
      <c r="E683" s="112"/>
      <c r="F683" s="112"/>
      <c r="G683" s="112"/>
      <c r="H683" s="112"/>
      <c r="I683" s="112"/>
      <c r="J683" s="112"/>
      <c r="K683" s="267"/>
      <c r="L683" s="267"/>
      <c r="M683" s="267"/>
      <c r="N683" s="419"/>
      <c r="O683" s="258"/>
      <c r="P683" s="258"/>
      <c r="Q683" s="258"/>
      <c r="R683" s="258"/>
      <c r="S683" s="258"/>
      <c r="T683" s="258"/>
      <c r="U683" s="258"/>
      <c r="V683" s="258"/>
      <c r="W683" s="258"/>
      <c r="X683" s="258"/>
      <c r="Y683" s="258"/>
      <c r="Z683" s="258"/>
      <c r="AA683" s="258"/>
      <c r="AB683" s="258"/>
      <c r="AC683" s="258"/>
      <c r="AD683" s="258"/>
      <c r="AE683" s="258"/>
      <c r="AF683" s="258"/>
      <c r="AG683" s="258"/>
      <c r="AH683" s="258"/>
      <c r="AI683" s="258"/>
      <c r="AJ683" s="258"/>
      <c r="AK683" s="258"/>
    </row>
    <row r="684" spans="2:37" s="9" customFormat="1" ht="15">
      <c r="B684" s="416"/>
      <c r="C684" s="130"/>
      <c r="D684" s="112"/>
      <c r="E684" s="112"/>
      <c r="F684" s="112"/>
      <c r="G684" s="112"/>
      <c r="H684" s="112"/>
      <c r="I684" s="112"/>
      <c r="J684" s="112"/>
      <c r="K684" s="267"/>
      <c r="L684" s="267"/>
      <c r="M684" s="267"/>
      <c r="N684" s="419"/>
      <c r="O684" s="258"/>
      <c r="P684" s="258"/>
      <c r="Q684" s="258"/>
      <c r="R684" s="258"/>
      <c r="S684" s="258"/>
      <c r="T684" s="258"/>
      <c r="U684" s="258"/>
      <c r="V684" s="258"/>
      <c r="W684" s="258"/>
      <c r="X684" s="258"/>
      <c r="Y684" s="258"/>
      <c r="Z684" s="258"/>
      <c r="AA684" s="258"/>
      <c r="AB684" s="258"/>
      <c r="AC684" s="258"/>
      <c r="AD684" s="258"/>
      <c r="AE684" s="258"/>
      <c r="AF684" s="258"/>
      <c r="AG684" s="258"/>
      <c r="AH684" s="258"/>
      <c r="AI684" s="258"/>
      <c r="AJ684" s="258"/>
      <c r="AK684" s="258"/>
    </row>
    <row r="685" spans="2:37" s="9" customFormat="1" ht="15">
      <c r="B685" s="416"/>
      <c r="C685" s="130"/>
      <c r="D685" s="112"/>
      <c r="E685" s="112"/>
      <c r="F685" s="112"/>
      <c r="G685" s="112"/>
      <c r="H685" s="112"/>
      <c r="I685" s="112"/>
      <c r="J685" s="112"/>
      <c r="K685" s="267"/>
      <c r="L685" s="267"/>
      <c r="M685" s="267"/>
      <c r="N685" s="419"/>
      <c r="O685" s="258"/>
      <c r="P685" s="258"/>
      <c r="Q685" s="258"/>
      <c r="R685" s="258"/>
      <c r="S685" s="258"/>
      <c r="T685" s="258"/>
      <c r="U685" s="258"/>
      <c r="V685" s="258"/>
      <c r="W685" s="258"/>
      <c r="X685" s="258"/>
      <c r="Y685" s="258"/>
      <c r="Z685" s="258"/>
      <c r="AA685" s="258"/>
      <c r="AB685" s="258"/>
      <c r="AC685" s="258"/>
      <c r="AD685" s="258"/>
      <c r="AE685" s="258"/>
      <c r="AF685" s="258"/>
      <c r="AG685" s="258"/>
      <c r="AH685" s="258"/>
      <c r="AI685" s="258"/>
      <c r="AJ685" s="258"/>
      <c r="AK685" s="258"/>
    </row>
    <row r="686" spans="2:37" s="9" customFormat="1" ht="15">
      <c r="B686" s="416"/>
      <c r="C686" s="130"/>
      <c r="D686" s="112"/>
      <c r="E686" s="112"/>
      <c r="F686" s="112"/>
      <c r="G686" s="112"/>
      <c r="H686" s="112"/>
      <c r="I686" s="112"/>
      <c r="J686" s="112"/>
      <c r="K686" s="267"/>
      <c r="L686" s="267"/>
      <c r="M686" s="267"/>
      <c r="N686" s="419"/>
      <c r="O686" s="258"/>
      <c r="P686" s="258"/>
      <c r="Q686" s="258"/>
      <c r="R686" s="258"/>
      <c r="S686" s="258"/>
      <c r="T686" s="258"/>
      <c r="U686" s="258"/>
      <c r="V686" s="258"/>
      <c r="W686" s="258"/>
      <c r="X686" s="258"/>
      <c r="Y686" s="258"/>
      <c r="Z686" s="258"/>
      <c r="AA686" s="258"/>
      <c r="AB686" s="258"/>
      <c r="AC686" s="258"/>
      <c r="AD686" s="258"/>
      <c r="AE686" s="258"/>
      <c r="AF686" s="258"/>
      <c r="AG686" s="258"/>
      <c r="AH686" s="258"/>
      <c r="AI686" s="258"/>
      <c r="AJ686" s="258"/>
      <c r="AK686" s="258"/>
    </row>
    <row r="687" spans="2:37" s="9" customFormat="1" ht="15">
      <c r="B687" s="416"/>
      <c r="C687" s="529" t="s">
        <v>723</v>
      </c>
      <c r="D687" s="463"/>
      <c r="E687" s="463"/>
      <c r="F687" s="463"/>
      <c r="G687" s="463"/>
      <c r="H687" s="463"/>
      <c r="I687" s="463"/>
      <c r="J687" s="112"/>
      <c r="K687" s="267"/>
      <c r="L687" s="267"/>
      <c r="M687" s="267"/>
      <c r="N687" s="419"/>
      <c r="O687" s="258"/>
      <c r="P687" s="258"/>
      <c r="Q687" s="258"/>
      <c r="R687" s="258"/>
      <c r="S687" s="258"/>
      <c r="T687" s="258"/>
      <c r="U687" s="258"/>
      <c r="V687" s="258"/>
      <c r="W687" s="258"/>
      <c r="X687" s="258"/>
      <c r="Y687" s="258"/>
      <c r="Z687" s="258"/>
      <c r="AA687" s="258"/>
      <c r="AB687" s="258"/>
      <c r="AC687" s="258"/>
      <c r="AD687" s="258"/>
      <c r="AE687" s="258"/>
      <c r="AF687" s="258"/>
      <c r="AG687" s="258"/>
      <c r="AH687" s="258"/>
      <c r="AI687" s="258"/>
      <c r="AJ687" s="258"/>
      <c r="AK687" s="258"/>
    </row>
    <row r="688" spans="2:37" s="9" customFormat="1" ht="15">
      <c r="B688" s="416"/>
      <c r="C688" s="130"/>
      <c r="D688" s="112"/>
      <c r="E688" s="112"/>
      <c r="F688" s="112"/>
      <c r="G688" s="112"/>
      <c r="H688" s="112"/>
      <c r="I688" s="112"/>
      <c r="J688" s="112"/>
      <c r="K688" s="267"/>
      <c r="L688" s="267"/>
      <c r="M688" s="267"/>
      <c r="N688" s="419"/>
      <c r="O688" s="258"/>
      <c r="P688" s="258"/>
      <c r="Q688" s="258"/>
      <c r="R688" s="258"/>
      <c r="S688" s="258"/>
      <c r="T688" s="258"/>
      <c r="U688" s="258"/>
      <c r="V688" s="258"/>
      <c r="W688" s="258"/>
      <c r="X688" s="258"/>
      <c r="Y688" s="258"/>
      <c r="Z688" s="258"/>
      <c r="AA688" s="258"/>
      <c r="AB688" s="258"/>
      <c r="AC688" s="258"/>
      <c r="AD688" s="258"/>
      <c r="AE688" s="258"/>
      <c r="AF688" s="258"/>
      <c r="AG688" s="258"/>
      <c r="AH688" s="258"/>
      <c r="AI688" s="258"/>
      <c r="AJ688" s="258"/>
      <c r="AK688" s="258"/>
    </row>
    <row r="689" spans="2:37" s="9" customFormat="1" ht="15">
      <c r="B689" s="416"/>
      <c r="C689" s="572" t="s">
        <v>724</v>
      </c>
      <c r="D689" s="568"/>
      <c r="E689" s="568"/>
      <c r="F689" s="569"/>
      <c r="G689" s="570"/>
      <c r="H689" s="571">
        <f>F186*1000/F133</f>
        <v>60</v>
      </c>
      <c r="I689" s="573"/>
      <c r="J689" s="112"/>
      <c r="K689" s="267"/>
      <c r="L689" s="267"/>
      <c r="M689" s="267"/>
      <c r="N689" s="419"/>
      <c r="O689" s="258"/>
      <c r="P689" s="258"/>
      <c r="Q689" s="258"/>
      <c r="R689" s="258"/>
      <c r="S689" s="258"/>
      <c r="T689" s="258"/>
      <c r="U689" s="258"/>
      <c r="V689" s="258"/>
      <c r="W689" s="258"/>
      <c r="X689" s="258"/>
      <c r="Y689" s="258"/>
      <c r="Z689" s="258"/>
      <c r="AA689" s="258"/>
      <c r="AB689" s="258"/>
      <c r="AC689" s="258"/>
      <c r="AD689" s="258"/>
      <c r="AE689" s="258"/>
      <c r="AF689" s="258"/>
      <c r="AG689" s="258"/>
      <c r="AH689" s="258"/>
      <c r="AI689" s="258"/>
      <c r="AJ689" s="258"/>
      <c r="AK689" s="258"/>
    </row>
    <row r="690" spans="2:37" s="9" customFormat="1" ht="15">
      <c r="B690" s="416"/>
      <c r="C690" s="1006" t="s">
        <v>722</v>
      </c>
      <c r="D690" s="1007"/>
      <c r="E690" s="568"/>
      <c r="F690" s="569"/>
      <c r="G690" s="574"/>
      <c r="H690" s="575">
        <f>E454/H689</f>
        <v>102.69939758088495</v>
      </c>
      <c r="I690" s="573" t="s">
        <v>46</v>
      </c>
      <c r="J690" s="112"/>
      <c r="K690" s="267"/>
      <c r="L690" s="267"/>
      <c r="M690" s="267"/>
      <c r="N690" s="419"/>
      <c r="O690" s="258"/>
      <c r="P690" s="565" t="s">
        <v>725</v>
      </c>
      <c r="Q690" s="565"/>
      <c r="R690" s="565"/>
      <c r="S690" s="565"/>
      <c r="T690" s="258"/>
      <c r="U690" s="258"/>
      <c r="V690" s="258"/>
      <c r="W690" s="258"/>
      <c r="X690" s="258"/>
      <c r="Y690" s="258"/>
      <c r="Z690" s="258"/>
      <c r="AA690" s="258"/>
      <c r="AB690" s="258"/>
      <c r="AC690" s="258"/>
      <c r="AD690" s="258"/>
      <c r="AE690" s="258"/>
      <c r="AF690" s="258"/>
      <c r="AG690" s="258"/>
      <c r="AH690" s="258"/>
      <c r="AI690" s="258"/>
      <c r="AJ690" s="258"/>
      <c r="AK690" s="258"/>
    </row>
    <row r="691" spans="2:37" s="9" customFormat="1" ht="15">
      <c r="B691" s="416"/>
      <c r="C691" s="130"/>
      <c r="D691" s="112"/>
      <c r="E691" s="112"/>
      <c r="F691" s="112"/>
      <c r="G691" s="112"/>
      <c r="H691" s="112"/>
      <c r="I691" s="112"/>
      <c r="J691" s="112"/>
      <c r="K691" s="267"/>
      <c r="L691" s="267"/>
      <c r="M691" s="267"/>
      <c r="N691" s="419"/>
      <c r="O691" s="258"/>
      <c r="P691" s="258"/>
      <c r="Q691" s="258"/>
      <c r="R691" s="258"/>
      <c r="S691" s="258"/>
      <c r="T691" s="258"/>
      <c r="U691" s="258"/>
      <c r="V691" s="258"/>
      <c r="W691" s="258"/>
      <c r="X691" s="258"/>
      <c r="Y691" s="258"/>
      <c r="Z691" s="258"/>
      <c r="AA691" s="258"/>
      <c r="AB691" s="258"/>
      <c r="AC691" s="258"/>
      <c r="AD691" s="258"/>
      <c r="AE691" s="258"/>
      <c r="AF691" s="258"/>
      <c r="AG691" s="258"/>
      <c r="AH691" s="258"/>
      <c r="AI691" s="258"/>
      <c r="AJ691" s="258"/>
      <c r="AK691" s="258"/>
    </row>
    <row r="692" spans="2:37" s="9" customFormat="1">
      <c r="B692" s="416"/>
      <c r="C692" s="584" t="s">
        <v>282</v>
      </c>
      <c r="D692" s="155"/>
      <c r="E692" s="155"/>
      <c r="F692" s="155"/>
      <c r="G692" s="155"/>
      <c r="H692" s="155"/>
      <c r="I692" s="156"/>
      <c r="J692" s="112"/>
      <c r="K692" s="267"/>
      <c r="L692" s="267"/>
      <c r="M692" s="267"/>
      <c r="N692" s="419"/>
      <c r="O692" s="258"/>
      <c r="P692" s="258"/>
      <c r="Q692" s="258"/>
      <c r="R692" s="258"/>
      <c r="S692" s="258"/>
      <c r="T692" s="258"/>
      <c r="U692" s="258"/>
      <c r="V692" s="258"/>
      <c r="W692" s="258"/>
      <c r="X692" s="258"/>
      <c r="Y692" s="258"/>
      <c r="Z692" s="258"/>
      <c r="AA692" s="258"/>
      <c r="AB692" s="258"/>
      <c r="AC692" s="258"/>
      <c r="AD692" s="258"/>
      <c r="AE692" s="258"/>
      <c r="AF692" s="258"/>
      <c r="AG692" s="258"/>
      <c r="AH692" s="258"/>
      <c r="AI692" s="258"/>
      <c r="AJ692" s="258"/>
      <c r="AK692" s="258"/>
    </row>
    <row r="693" spans="2:37" s="9" customFormat="1" ht="15">
      <c r="B693" s="416"/>
      <c r="C693" s="587" t="s">
        <v>361</v>
      </c>
      <c r="D693" s="155"/>
      <c r="E693" s="155"/>
      <c r="F693" s="156"/>
      <c r="G693" s="162" t="s">
        <v>134</v>
      </c>
      <c r="H693" s="738">
        <f>F186*1000/F133</f>
        <v>60</v>
      </c>
      <c r="I693" s="156"/>
      <c r="J693" s="112"/>
      <c r="K693" s="267"/>
      <c r="L693" s="267"/>
      <c r="M693" s="267"/>
      <c r="N693" s="419"/>
      <c r="O693" s="258"/>
      <c r="P693" s="258"/>
      <c r="Q693" s="258"/>
      <c r="R693" s="258"/>
      <c r="S693" s="258"/>
      <c r="T693" s="258"/>
      <c r="U693" s="258"/>
      <c r="V693" s="258"/>
      <c r="W693" s="258"/>
      <c r="X693" s="258"/>
      <c r="Y693" s="258"/>
      <c r="Z693" s="258"/>
      <c r="AA693" s="258"/>
      <c r="AB693" s="258"/>
      <c r="AC693" s="258"/>
      <c r="AD693" s="258"/>
      <c r="AE693" s="258"/>
      <c r="AF693" s="258"/>
      <c r="AG693" s="258"/>
      <c r="AH693" s="258"/>
      <c r="AI693" s="258"/>
      <c r="AJ693" s="258"/>
      <c r="AK693" s="258"/>
    </row>
    <row r="694" spans="2:37" s="9" customFormat="1" ht="15">
      <c r="B694" s="416"/>
      <c r="C694" s="580" t="s">
        <v>362</v>
      </c>
      <c r="D694" s="155"/>
      <c r="E694" s="155"/>
      <c r="F694" s="156"/>
      <c r="G694" s="162" t="s">
        <v>363</v>
      </c>
      <c r="H694" s="737">
        <f>1000/F133</f>
        <v>8</v>
      </c>
      <c r="I694" s="156"/>
      <c r="J694" s="112"/>
      <c r="K694" s="267"/>
      <c r="L694" s="267"/>
      <c r="M694" s="267"/>
      <c r="N694" s="419"/>
      <c r="O694" s="258"/>
      <c r="P694" s="258"/>
      <c r="Q694" s="258"/>
      <c r="R694" s="258"/>
      <c r="S694" s="258"/>
      <c r="T694" s="258"/>
      <c r="U694" s="258"/>
      <c r="V694" s="258"/>
      <c r="W694" s="258"/>
      <c r="X694" s="258"/>
      <c r="Y694" s="258"/>
      <c r="Z694" s="258"/>
      <c r="AA694" s="258"/>
      <c r="AB694" s="258"/>
      <c r="AC694" s="258"/>
      <c r="AD694" s="258"/>
      <c r="AE694" s="258"/>
      <c r="AF694" s="258"/>
      <c r="AG694" s="258"/>
      <c r="AH694" s="258"/>
      <c r="AI694" s="258"/>
      <c r="AJ694" s="258"/>
      <c r="AK694" s="258"/>
    </row>
    <row r="695" spans="2:37" s="9" customFormat="1" ht="18.75">
      <c r="B695" s="416"/>
      <c r="C695" s="580" t="s">
        <v>364</v>
      </c>
      <c r="D695" s="155"/>
      <c r="E695" s="155"/>
      <c r="F695" s="156"/>
      <c r="G695" s="149" t="s">
        <v>137</v>
      </c>
      <c r="H695" s="145">
        <f>G307*(E54-0.5)/E54</f>
        <v>26.638333154296877</v>
      </c>
      <c r="I695" s="156" t="s">
        <v>59</v>
      </c>
      <c r="J695" s="112"/>
      <c r="K695" s="267"/>
      <c r="L695" s="267"/>
      <c r="M695" s="267"/>
      <c r="N695" s="419"/>
      <c r="O695" s="258"/>
      <c r="P695" s="258"/>
      <c r="Q695" s="258"/>
      <c r="R695" s="258"/>
      <c r="S695" s="258"/>
      <c r="T695" s="258"/>
      <c r="U695" s="258"/>
      <c r="V695" s="258"/>
      <c r="W695" s="258"/>
      <c r="X695" s="258"/>
      <c r="Y695" s="258"/>
      <c r="Z695" s="258"/>
      <c r="AA695" s="258"/>
      <c r="AB695" s="258"/>
      <c r="AC695" s="258"/>
      <c r="AD695" s="258"/>
      <c r="AE695" s="258"/>
      <c r="AF695" s="258"/>
      <c r="AG695" s="258"/>
      <c r="AH695" s="258"/>
      <c r="AI695" s="258"/>
      <c r="AJ695" s="258"/>
      <c r="AK695" s="258"/>
    </row>
    <row r="696" spans="2:37" s="9" customFormat="1" ht="30.75" customHeight="1">
      <c r="B696" s="416"/>
      <c r="C696" s="1008" t="s">
        <v>726</v>
      </c>
      <c r="D696" s="1009"/>
      <c r="E696" s="155"/>
      <c r="F696" s="156"/>
      <c r="G696" s="149" t="s">
        <v>135</v>
      </c>
      <c r="H696" s="145">
        <f>H695/(E121/1000)/H694</f>
        <v>7.3995369873046881</v>
      </c>
      <c r="I696" s="156" t="s">
        <v>46</v>
      </c>
      <c r="J696" s="112"/>
      <c r="K696" s="267"/>
      <c r="L696" s="267"/>
      <c r="M696" s="267"/>
      <c r="N696" s="419"/>
      <c r="O696" s="258"/>
      <c r="P696" s="258"/>
      <c r="Q696" s="258"/>
      <c r="R696" s="258"/>
      <c r="S696" s="258"/>
      <c r="T696" s="258"/>
      <c r="U696" s="258"/>
      <c r="V696" s="258"/>
      <c r="W696" s="258"/>
      <c r="X696" s="258"/>
      <c r="Y696" s="258"/>
      <c r="Z696" s="258"/>
      <c r="AA696" s="258"/>
      <c r="AB696" s="258"/>
      <c r="AC696" s="258"/>
      <c r="AD696" s="258"/>
      <c r="AE696" s="258"/>
      <c r="AF696" s="258"/>
      <c r="AG696" s="258"/>
      <c r="AH696" s="258"/>
      <c r="AI696" s="258"/>
      <c r="AJ696" s="258"/>
      <c r="AK696" s="258"/>
    </row>
    <row r="697" spans="2:37" s="9" customFormat="1" ht="15">
      <c r="B697" s="416"/>
      <c r="C697" s="130"/>
      <c r="D697" s="112"/>
      <c r="E697" s="112"/>
      <c r="F697" s="112"/>
      <c r="G697" s="112"/>
      <c r="H697" s="112"/>
      <c r="I697" s="112"/>
      <c r="J697" s="112"/>
      <c r="K697" s="267"/>
      <c r="L697" s="267"/>
      <c r="M697" s="267"/>
      <c r="N697" s="419"/>
      <c r="O697" s="258"/>
      <c r="P697" s="258"/>
      <c r="Q697" s="258"/>
      <c r="R697" s="258"/>
      <c r="S697" s="258"/>
      <c r="T697" s="258"/>
      <c r="U697" s="258"/>
      <c r="V697" s="258"/>
      <c r="W697" s="258"/>
      <c r="X697" s="258"/>
      <c r="Y697" s="258"/>
      <c r="Z697" s="258"/>
      <c r="AA697" s="258"/>
      <c r="AB697" s="258"/>
      <c r="AC697" s="258"/>
      <c r="AD697" s="258"/>
      <c r="AE697" s="258"/>
      <c r="AF697" s="258"/>
      <c r="AG697" s="258"/>
      <c r="AH697" s="258"/>
      <c r="AI697" s="258"/>
      <c r="AJ697" s="258"/>
      <c r="AK697" s="258"/>
    </row>
    <row r="698" spans="2:37" s="9" customFormat="1" ht="30.75" customHeight="1">
      <c r="B698" s="416"/>
      <c r="C698" s="1008" t="s">
        <v>727</v>
      </c>
      <c r="D698" s="1009"/>
      <c r="E698" s="155"/>
      <c r="F698" s="156"/>
      <c r="G698" s="149" t="s">
        <v>133</v>
      </c>
      <c r="H698" s="145">
        <f>H455/H693</f>
        <v>88.788795161769883</v>
      </c>
      <c r="I698" s="156" t="s">
        <v>46</v>
      </c>
      <c r="J698" s="112"/>
      <c r="K698" s="267"/>
      <c r="L698" s="267"/>
      <c r="M698" s="267"/>
      <c r="N698" s="419"/>
      <c r="O698" s="258"/>
      <c r="P698" s="258"/>
      <c r="Q698" s="258"/>
      <c r="R698" s="258"/>
      <c r="S698" s="258"/>
      <c r="T698" s="258"/>
      <c r="U698" s="258"/>
      <c r="V698" s="258"/>
      <c r="W698" s="258"/>
      <c r="X698" s="258"/>
      <c r="Y698" s="258"/>
      <c r="Z698" s="258"/>
      <c r="AA698" s="258"/>
      <c r="AB698" s="258"/>
      <c r="AC698" s="258"/>
      <c r="AD698" s="258"/>
      <c r="AE698" s="258"/>
      <c r="AF698" s="258"/>
      <c r="AG698" s="258"/>
      <c r="AH698" s="258"/>
      <c r="AI698" s="258"/>
      <c r="AJ698" s="258"/>
      <c r="AK698" s="258"/>
    </row>
    <row r="699" spans="2:37" s="9" customFormat="1" ht="15">
      <c r="B699" s="416"/>
      <c r="C699" s="130"/>
      <c r="D699" s="112"/>
      <c r="E699" s="112"/>
      <c r="F699" s="112"/>
      <c r="G699" s="112"/>
      <c r="H699" s="112"/>
      <c r="I699" s="112"/>
      <c r="J699" s="112"/>
      <c r="K699" s="267"/>
      <c r="L699" s="267"/>
      <c r="M699" s="267"/>
      <c r="N699" s="419"/>
      <c r="O699" s="258"/>
      <c r="P699" s="258"/>
      <c r="Q699" s="258"/>
      <c r="R699" s="258"/>
      <c r="S699" s="258"/>
      <c r="T699" s="258"/>
      <c r="U699" s="258"/>
      <c r="V699" s="258"/>
      <c r="W699" s="258"/>
      <c r="X699" s="258"/>
      <c r="Y699" s="258"/>
      <c r="Z699" s="258"/>
      <c r="AA699" s="258"/>
      <c r="AB699" s="258"/>
      <c r="AC699" s="258"/>
      <c r="AD699" s="258"/>
      <c r="AE699" s="258"/>
      <c r="AF699" s="258"/>
      <c r="AG699" s="258"/>
      <c r="AH699" s="258"/>
      <c r="AI699" s="258"/>
      <c r="AJ699" s="258"/>
      <c r="AK699" s="258"/>
    </row>
    <row r="700" spans="2:37" s="9" customFormat="1" ht="15">
      <c r="B700" s="416"/>
      <c r="C700" s="130"/>
      <c r="D700" s="112"/>
      <c r="E700" s="112"/>
      <c r="F700" s="112"/>
      <c r="G700" s="112"/>
      <c r="H700" s="112"/>
      <c r="I700" s="112"/>
      <c r="J700" s="112"/>
      <c r="K700" s="267"/>
      <c r="L700" s="267"/>
      <c r="M700" s="267"/>
      <c r="N700" s="419"/>
      <c r="O700" s="258"/>
      <c r="P700" s="258"/>
      <c r="Q700" s="258"/>
      <c r="R700" s="258"/>
      <c r="S700" s="258"/>
      <c r="T700" s="258"/>
      <c r="U700" s="258"/>
      <c r="V700" s="258"/>
      <c r="W700" s="258"/>
      <c r="X700" s="258"/>
      <c r="Y700" s="258"/>
      <c r="Z700" s="258"/>
      <c r="AA700" s="258"/>
      <c r="AB700" s="258"/>
      <c r="AC700" s="258"/>
      <c r="AD700" s="258"/>
      <c r="AE700" s="258"/>
      <c r="AF700" s="258"/>
      <c r="AG700" s="258"/>
      <c r="AH700" s="258"/>
      <c r="AI700" s="258"/>
      <c r="AJ700" s="258"/>
      <c r="AK700" s="258"/>
    </row>
    <row r="701" spans="2:37" ht="15">
      <c r="B701" s="420"/>
      <c r="C701" s="130"/>
      <c r="D701" s="112"/>
      <c r="E701" s="112"/>
      <c r="F701" s="112"/>
      <c r="G701" s="112"/>
      <c r="H701" s="112"/>
      <c r="I701" s="112"/>
      <c r="J701" s="112"/>
      <c r="K701" s="267"/>
      <c r="L701" s="267"/>
      <c r="M701" s="267"/>
      <c r="N701" s="419"/>
    </row>
    <row r="702" spans="2:37">
      <c r="B702" s="420"/>
      <c r="C702" s="107" t="s">
        <v>355</v>
      </c>
      <c r="D702" s="112"/>
      <c r="E702" s="112"/>
      <c r="F702" s="108"/>
      <c r="G702" s="108"/>
      <c r="H702" s="108"/>
      <c r="I702" s="121"/>
      <c r="J702" s="112"/>
      <c r="K702" s="267"/>
      <c r="L702" s="267"/>
      <c r="M702" s="267"/>
      <c r="N702" s="419"/>
    </row>
    <row r="703" spans="2:37" ht="18.75">
      <c r="B703" s="420"/>
      <c r="C703" s="582" t="s">
        <v>347</v>
      </c>
      <c r="D703" s="139"/>
      <c r="E703" s="139"/>
      <c r="F703" s="140"/>
      <c r="G703" s="162" t="s">
        <v>87</v>
      </c>
      <c r="H703" s="145">
        <v>450</v>
      </c>
      <c r="I703" s="583" t="s">
        <v>3</v>
      </c>
      <c r="J703" s="432"/>
      <c r="K703" s="267"/>
      <c r="L703" s="464"/>
      <c r="M703" s="349"/>
      <c r="N703" s="419"/>
    </row>
    <row r="704" spans="2:37" ht="29.25" customHeight="1">
      <c r="B704" s="420"/>
      <c r="C704" s="1020" t="s">
        <v>349</v>
      </c>
      <c r="D704" s="1021"/>
      <c r="E704" s="1021"/>
      <c r="F704" s="1022"/>
      <c r="G704" s="144" t="s">
        <v>88</v>
      </c>
      <c r="H704" s="536">
        <v>1.25</v>
      </c>
      <c r="I704" s="583"/>
      <c r="J704" s="432"/>
      <c r="K704" s="267"/>
      <c r="L704" s="267"/>
      <c r="M704" s="267"/>
      <c r="N704" s="419"/>
    </row>
    <row r="705" spans="2:19" ht="15">
      <c r="B705" s="420"/>
      <c r="C705" s="582" t="s">
        <v>350</v>
      </c>
      <c r="D705" s="139"/>
      <c r="E705" s="139"/>
      <c r="F705" s="140"/>
      <c r="G705" s="146" t="s">
        <v>89</v>
      </c>
      <c r="H705" s="537">
        <f>D133</f>
        <v>22</v>
      </c>
      <c r="I705" s="583" t="s">
        <v>6</v>
      </c>
      <c r="J705" s="432"/>
      <c r="K705" s="267"/>
      <c r="L705" s="349"/>
      <c r="M705" s="349"/>
      <c r="N705" s="419"/>
    </row>
    <row r="706" spans="2:19" ht="18.75">
      <c r="B706" s="420"/>
      <c r="C706" s="578"/>
      <c r="D706" s="139"/>
      <c r="E706" s="139"/>
      <c r="F706" s="140"/>
      <c r="G706" s="147" t="s">
        <v>40</v>
      </c>
      <c r="H706" s="145">
        <f>39000</f>
        <v>39000</v>
      </c>
      <c r="I706" s="583" t="s">
        <v>3</v>
      </c>
      <c r="J706" s="432"/>
      <c r="K706" s="267"/>
      <c r="L706" s="465"/>
      <c r="M706" s="466"/>
      <c r="N706" s="419"/>
    </row>
    <row r="707" spans="2:19" ht="16.5">
      <c r="B707" s="420"/>
      <c r="C707" s="582" t="s">
        <v>351</v>
      </c>
      <c r="D707" s="139"/>
      <c r="E707" s="139"/>
      <c r="F707" s="140"/>
      <c r="G707" s="146" t="s">
        <v>90</v>
      </c>
      <c r="H707" s="537">
        <f>G133</f>
        <v>100</v>
      </c>
      <c r="I707" s="583" t="s">
        <v>6</v>
      </c>
      <c r="J707" s="432"/>
      <c r="K707" s="267"/>
      <c r="L707" s="267"/>
      <c r="M707" s="267"/>
      <c r="N707" s="419"/>
    </row>
    <row r="708" spans="2:19" ht="15.75">
      <c r="B708" s="420"/>
      <c r="C708" s="578"/>
      <c r="D708" s="139"/>
      <c r="E708" s="139"/>
      <c r="F708" s="140"/>
      <c r="G708" s="146" t="s">
        <v>91</v>
      </c>
      <c r="H708" s="145">
        <f>H707/H705</f>
        <v>4.5454545454545459</v>
      </c>
      <c r="I708" s="583"/>
      <c r="J708" s="432"/>
      <c r="K708" s="267"/>
      <c r="L708" s="267"/>
      <c r="M708" s="267"/>
      <c r="N708" s="419"/>
    </row>
    <row r="709" spans="2:19" ht="66" customHeight="1">
      <c r="B709" s="420"/>
      <c r="C709" s="578"/>
      <c r="D709" s="139"/>
      <c r="E709" s="139"/>
      <c r="F709" s="140"/>
      <c r="G709" s="148" t="s">
        <v>92</v>
      </c>
      <c r="H709" s="145">
        <f>IF(H708&gt;4,1,IF(AND(H708&lt;=4,H708&gt;=3),0.2*(H708+1),"za małe hsc/d"))</f>
        <v>1</v>
      </c>
      <c r="I709" s="583"/>
      <c r="J709" s="432"/>
      <c r="K709" s="267"/>
      <c r="L709" s="267"/>
      <c r="M709" s="267"/>
      <c r="N709" s="419"/>
      <c r="P709" s="1001" t="s">
        <v>735</v>
      </c>
      <c r="Q709" s="1001"/>
      <c r="R709" s="1001"/>
      <c r="S709" s="1001"/>
    </row>
    <row r="710" spans="2:19" ht="18.75">
      <c r="B710" s="420"/>
      <c r="C710" s="578"/>
      <c r="D710" s="139"/>
      <c r="E710" s="139"/>
      <c r="F710" s="140"/>
      <c r="G710" s="149" t="s">
        <v>94</v>
      </c>
      <c r="H710" s="150">
        <f>PI()*(H705*0.1)^2/4</f>
        <v>3.8013271108436504</v>
      </c>
      <c r="I710" s="156" t="s">
        <v>39</v>
      </c>
      <c r="J710" s="535"/>
      <c r="K710" s="267"/>
      <c r="L710" s="267"/>
      <c r="M710" s="267"/>
      <c r="N710" s="419"/>
    </row>
    <row r="711" spans="2:19" ht="39" customHeight="1">
      <c r="B711" s="420"/>
      <c r="C711" s="999" t="s">
        <v>720</v>
      </c>
      <c r="D711" s="1000"/>
      <c r="E711" s="139"/>
      <c r="F711" s="140"/>
      <c r="G711" s="149" t="s">
        <v>93</v>
      </c>
      <c r="H711" s="145">
        <f>0.8*H703*0.1*H710/H704</f>
        <v>109.47822079229714</v>
      </c>
      <c r="I711" s="583" t="s">
        <v>46</v>
      </c>
      <c r="J711" s="432"/>
      <c r="K711" s="267"/>
      <c r="L711" s="267"/>
      <c r="M711" s="267"/>
      <c r="N711" s="419"/>
    </row>
    <row r="712" spans="2:19" ht="41.25" customHeight="1">
      <c r="B712" s="420"/>
      <c r="C712" s="999" t="s">
        <v>721</v>
      </c>
      <c r="D712" s="1000"/>
      <c r="E712" s="139"/>
      <c r="F712" s="140"/>
      <c r="G712" s="149" t="s">
        <v>95</v>
      </c>
      <c r="H712" s="145">
        <f>0.29*H709*((E154*E158/100)^0.5)*(H705*0.1)^2/H704</f>
        <v>171.76761094269199</v>
      </c>
      <c r="I712" s="583" t="s">
        <v>46</v>
      </c>
      <c r="J712" s="432"/>
      <c r="K712" s="267"/>
      <c r="L712" s="267"/>
      <c r="M712" s="267"/>
      <c r="N712" s="419"/>
    </row>
    <row r="713" spans="2:19" ht="18.75">
      <c r="B713" s="420"/>
      <c r="C713" s="578"/>
      <c r="D713" s="139"/>
      <c r="E713" s="139"/>
      <c r="F713" s="140"/>
      <c r="G713" s="149" t="s">
        <v>131</v>
      </c>
      <c r="H713" s="145">
        <f>H711/H530</f>
        <v>2.0074209096126738E-2</v>
      </c>
      <c r="I713" s="583"/>
      <c r="J713" s="432"/>
      <c r="K713" s="267"/>
      <c r="L713" s="267"/>
      <c r="M713" s="267"/>
      <c r="N713" s="419"/>
    </row>
    <row r="714" spans="2:19" ht="16.5">
      <c r="B714" s="420"/>
      <c r="C714" s="578"/>
      <c r="D714" s="139"/>
      <c r="E714" s="139"/>
      <c r="F714" s="140"/>
      <c r="G714" s="151" t="s">
        <v>132</v>
      </c>
      <c r="H714" s="145">
        <f>H530/H711</f>
        <v>49.815163088689118</v>
      </c>
      <c r="I714" s="156"/>
      <c r="J714" s="432"/>
      <c r="K714" s="267"/>
      <c r="L714" s="267"/>
      <c r="M714" s="267"/>
      <c r="N714" s="419"/>
    </row>
    <row r="715" spans="2:19" ht="15">
      <c r="B715" s="420"/>
      <c r="C715" s="578"/>
      <c r="D715" s="139"/>
      <c r="E715" s="139"/>
      <c r="F715" s="139"/>
      <c r="G715" s="153"/>
      <c r="H715" s="145"/>
      <c r="I715" s="156"/>
      <c r="J715" s="432"/>
      <c r="K715" s="267"/>
      <c r="L715" s="267"/>
      <c r="M715" s="267"/>
      <c r="N715" s="419"/>
    </row>
    <row r="716" spans="2:19">
      <c r="B716" s="420"/>
      <c r="C716" s="584" t="s">
        <v>96</v>
      </c>
      <c r="D716" s="141"/>
      <c r="E716" s="141"/>
      <c r="F716" s="141"/>
      <c r="G716" s="154"/>
      <c r="H716" s="155"/>
      <c r="I716" s="585"/>
      <c r="J716" s="432"/>
      <c r="K716" s="267"/>
      <c r="L716" s="267"/>
      <c r="M716" s="267"/>
      <c r="N716" s="419"/>
    </row>
    <row r="717" spans="2:19" ht="16.5">
      <c r="B717" s="420"/>
      <c r="C717" s="586" t="s">
        <v>348</v>
      </c>
      <c r="D717" s="143"/>
      <c r="E717" s="139"/>
      <c r="F717" s="142"/>
      <c r="G717" s="152"/>
      <c r="H717" s="145">
        <f>G339/E339</f>
        <v>1.4289675278944673</v>
      </c>
      <c r="I717" s="585"/>
      <c r="J717" s="432"/>
      <c r="K717" s="267"/>
      <c r="L717" s="267"/>
      <c r="M717" s="267"/>
      <c r="N717" s="419"/>
    </row>
    <row r="718" spans="2:19">
      <c r="B718" s="420"/>
      <c r="J718" s="432"/>
      <c r="K718" s="267"/>
      <c r="L718" s="267"/>
      <c r="M718" s="267"/>
      <c r="N718" s="419"/>
    </row>
    <row r="719" spans="2:19">
      <c r="B719" s="420"/>
      <c r="C719" s="432"/>
      <c r="D719" s="112"/>
      <c r="E719" s="112"/>
      <c r="F719" s="112"/>
      <c r="G719" s="112"/>
      <c r="H719" s="31"/>
      <c r="I719" s="112"/>
      <c r="J719" s="432"/>
      <c r="K719" s="267"/>
      <c r="L719" s="267"/>
      <c r="M719" s="267"/>
      <c r="N719" s="419"/>
    </row>
    <row r="720" spans="2:19">
      <c r="B720" s="420"/>
      <c r="C720" s="432"/>
      <c r="D720" s="112"/>
      <c r="E720" s="112"/>
      <c r="F720" s="112"/>
      <c r="G720" s="112"/>
      <c r="H720" s="31"/>
      <c r="I720" s="112"/>
      <c r="J720" s="432"/>
      <c r="K720" s="267"/>
      <c r="L720" s="267"/>
      <c r="M720" s="267"/>
      <c r="N720" s="419"/>
    </row>
    <row r="721" spans="2:14">
      <c r="B721" s="420"/>
      <c r="C721" s="107" t="s">
        <v>717</v>
      </c>
      <c r="D721" s="112"/>
      <c r="E721" s="112"/>
      <c r="F721" s="112"/>
      <c r="G721" s="112"/>
      <c r="H721" s="31"/>
      <c r="I721" s="112"/>
      <c r="J721" s="432"/>
      <c r="K721" s="267"/>
      <c r="L721" s="267"/>
      <c r="M721" s="267"/>
      <c r="N721" s="419"/>
    </row>
    <row r="722" spans="2:14" ht="39" customHeight="1">
      <c r="B722" s="420"/>
      <c r="C722" s="1023" t="s">
        <v>358</v>
      </c>
      <c r="D722" s="1023"/>
      <c r="E722" s="1023"/>
      <c r="F722" s="1023"/>
      <c r="G722" s="160" t="s">
        <v>107</v>
      </c>
      <c r="H722" s="145">
        <f>E154</f>
        <v>60</v>
      </c>
      <c r="I722" s="156" t="s">
        <v>3</v>
      </c>
      <c r="J722" s="31"/>
      <c r="K722" s="349"/>
      <c r="L722" s="464"/>
      <c r="M722" s="349"/>
      <c r="N722" s="419"/>
    </row>
    <row r="723" spans="2:14" ht="18.75">
      <c r="B723" s="420"/>
      <c r="C723" s="577"/>
      <c r="D723" s="141"/>
      <c r="E723" s="141"/>
      <c r="F723" s="142"/>
      <c r="G723" s="144" t="s">
        <v>116</v>
      </c>
      <c r="H723" s="536">
        <v>1</v>
      </c>
      <c r="I723" s="156"/>
      <c r="J723" s="433"/>
      <c r="K723" s="349"/>
      <c r="L723" s="349"/>
      <c r="M723" s="267"/>
      <c r="N723" s="419"/>
    </row>
    <row r="724" spans="2:14" ht="18.75">
      <c r="B724" s="420"/>
      <c r="C724" s="578"/>
      <c r="D724" s="141"/>
      <c r="E724" s="141"/>
      <c r="F724" s="142"/>
      <c r="G724" s="144" t="s">
        <v>122</v>
      </c>
      <c r="H724" s="145">
        <f>G143</f>
        <v>30</v>
      </c>
      <c r="I724" s="156" t="s">
        <v>6</v>
      </c>
      <c r="J724" s="31"/>
      <c r="K724" s="349"/>
      <c r="L724" s="349"/>
      <c r="M724" s="267"/>
      <c r="N724" s="419"/>
    </row>
    <row r="725" spans="2:14" ht="18.75">
      <c r="B725" s="420"/>
      <c r="C725" s="578"/>
      <c r="D725" s="141"/>
      <c r="E725" s="141"/>
      <c r="F725" s="142"/>
      <c r="G725" s="144" t="s">
        <v>115</v>
      </c>
      <c r="H725" s="536">
        <v>1.25</v>
      </c>
      <c r="I725" s="156"/>
      <c r="J725" s="31"/>
      <c r="K725" s="349"/>
      <c r="L725" s="349"/>
      <c r="M725" s="267"/>
      <c r="N725" s="419"/>
    </row>
    <row r="726" spans="2:14" ht="15.75">
      <c r="B726" s="420"/>
      <c r="C726" s="578"/>
      <c r="D726" s="141"/>
      <c r="E726" s="141"/>
      <c r="F726" s="142"/>
      <c r="G726" s="159" t="s">
        <v>89</v>
      </c>
      <c r="H726" s="537">
        <f>D133</f>
        <v>22</v>
      </c>
      <c r="I726" s="156" t="s">
        <v>6</v>
      </c>
      <c r="J726" s="31"/>
      <c r="K726" s="349"/>
      <c r="L726" s="349"/>
      <c r="M726" s="349"/>
      <c r="N726" s="419"/>
    </row>
    <row r="727" spans="2:14" ht="18.75">
      <c r="B727" s="420"/>
      <c r="C727" s="579" t="s">
        <v>357</v>
      </c>
      <c r="D727" s="141"/>
      <c r="E727" s="141"/>
      <c r="F727" s="142"/>
      <c r="G727" s="159" t="s">
        <v>127</v>
      </c>
      <c r="H727" s="145">
        <f>F133</f>
        <v>125</v>
      </c>
      <c r="I727" s="156" t="s">
        <v>6</v>
      </c>
      <c r="J727" s="31"/>
      <c r="K727" s="349"/>
      <c r="L727" s="467"/>
      <c r="M727" s="267"/>
      <c r="N727" s="419"/>
    </row>
    <row r="728" spans="2:14" ht="18.75">
      <c r="B728" s="420"/>
      <c r="C728" s="578"/>
      <c r="D728" s="141"/>
      <c r="E728" s="141"/>
      <c r="F728" s="142"/>
      <c r="G728" s="159" t="s">
        <v>111</v>
      </c>
      <c r="H728" s="145">
        <f>E133-G143-H733/2</f>
        <v>96</v>
      </c>
      <c r="I728" s="156" t="s">
        <v>6</v>
      </c>
      <c r="J728" s="31"/>
      <c r="K728" s="349"/>
      <c r="L728" s="267"/>
      <c r="M728" s="267"/>
      <c r="N728" s="419"/>
    </row>
    <row r="729" spans="2:14" ht="18.75">
      <c r="B729" s="420"/>
      <c r="C729" s="578"/>
      <c r="D729" s="141"/>
      <c r="E729" s="141"/>
      <c r="F729" s="142"/>
      <c r="G729" s="159" t="s">
        <v>114</v>
      </c>
      <c r="H729" s="145">
        <f>H728</f>
        <v>96</v>
      </c>
      <c r="I729" s="156" t="s">
        <v>6</v>
      </c>
      <c r="J729" s="31"/>
      <c r="K729" s="349"/>
      <c r="L729" s="349"/>
      <c r="M729" s="267"/>
      <c r="N729" s="419"/>
    </row>
    <row r="730" spans="2:14" ht="18.75">
      <c r="B730" s="420"/>
      <c r="C730" s="579" t="s">
        <v>356</v>
      </c>
      <c r="D730" s="141"/>
      <c r="E730" s="141"/>
      <c r="F730" s="142"/>
      <c r="G730" s="159" t="s">
        <v>108</v>
      </c>
      <c r="H730" s="145">
        <f>I125</f>
        <v>125</v>
      </c>
      <c r="I730" s="156" t="s">
        <v>6</v>
      </c>
      <c r="J730" s="31"/>
      <c r="K730" s="349"/>
      <c r="L730" s="349"/>
      <c r="M730" s="267"/>
      <c r="N730" s="419"/>
    </row>
    <row r="731" spans="2:14" ht="18.75">
      <c r="B731" s="420"/>
      <c r="C731" s="580"/>
      <c r="D731" s="139"/>
      <c r="E731" s="139"/>
      <c r="F731" s="140"/>
      <c r="G731" s="159" t="s">
        <v>117</v>
      </c>
      <c r="H731" s="145">
        <f>H727/H730</f>
        <v>1</v>
      </c>
      <c r="I731" s="156"/>
      <c r="J731" s="31"/>
      <c r="K731" s="349"/>
      <c r="L731" s="349"/>
      <c r="M731" s="349"/>
      <c r="N731" s="421"/>
    </row>
    <row r="732" spans="2:14" ht="18.75">
      <c r="B732" s="420"/>
      <c r="C732" s="580" t="s">
        <v>359</v>
      </c>
      <c r="D732" s="139"/>
      <c r="E732" s="139"/>
      <c r="F732" s="140"/>
      <c r="G732" s="159" t="s">
        <v>112</v>
      </c>
      <c r="H732" s="145">
        <f>MIN(E125,G125)</f>
        <v>16</v>
      </c>
      <c r="I732" s="156"/>
      <c r="J732" s="31"/>
      <c r="K732" s="349"/>
      <c r="L732" s="349"/>
      <c r="M732" s="349"/>
      <c r="N732" s="421"/>
    </row>
    <row r="733" spans="2:14" ht="18.75">
      <c r="B733" s="420"/>
      <c r="C733" s="580" t="s">
        <v>360</v>
      </c>
      <c r="D733" s="139"/>
      <c r="E733" s="139"/>
      <c r="F733" s="140"/>
      <c r="G733" s="159" t="s">
        <v>113</v>
      </c>
      <c r="H733" s="145">
        <f>H125</f>
        <v>8</v>
      </c>
      <c r="I733" s="156" t="s">
        <v>6</v>
      </c>
      <c r="J733" s="31"/>
      <c r="K733" s="349"/>
      <c r="L733" s="349"/>
      <c r="M733" s="349"/>
      <c r="N733" s="421"/>
    </row>
    <row r="734" spans="2:14" ht="18.75">
      <c r="B734" s="420"/>
      <c r="C734" s="580"/>
      <c r="D734" s="139"/>
      <c r="E734" s="139"/>
      <c r="F734" s="140"/>
      <c r="G734" s="159" t="s">
        <v>118</v>
      </c>
      <c r="H734" s="145">
        <f>H726*H727/H730</f>
        <v>22</v>
      </c>
      <c r="I734" s="156" t="s">
        <v>6</v>
      </c>
      <c r="J734" s="31"/>
      <c r="K734" s="349"/>
      <c r="L734" s="349"/>
      <c r="M734" s="349"/>
      <c r="N734" s="421"/>
    </row>
    <row r="735" spans="2:14" ht="18.75">
      <c r="B735" s="446"/>
      <c r="C735" s="580"/>
      <c r="D735" s="139"/>
      <c r="E735" s="139"/>
      <c r="F735" s="140"/>
      <c r="G735" s="160" t="s">
        <v>119</v>
      </c>
      <c r="H735" s="145">
        <f>H722*H726*H728</f>
        <v>126720</v>
      </c>
      <c r="I735" s="156" t="s">
        <v>124</v>
      </c>
      <c r="J735" s="31"/>
      <c r="K735" s="440"/>
      <c r="L735" s="349"/>
      <c r="M735" s="349"/>
      <c r="N735" s="421"/>
    </row>
    <row r="736" spans="2:14" ht="18.75">
      <c r="B736" s="420"/>
      <c r="C736" s="580"/>
      <c r="D736" s="139"/>
      <c r="E736" s="139"/>
      <c r="F736" s="140"/>
      <c r="G736" s="160" t="s">
        <v>125</v>
      </c>
      <c r="H736" s="145">
        <f>H722*H732</f>
        <v>960</v>
      </c>
      <c r="I736" s="156" t="s">
        <v>126</v>
      </c>
      <c r="J736" s="31"/>
      <c r="K736" s="349"/>
      <c r="L736" s="349"/>
      <c r="M736" s="349"/>
      <c r="N736" s="421"/>
    </row>
    <row r="737" spans="2:14" ht="15.75">
      <c r="B737" s="420"/>
      <c r="C737" s="580"/>
      <c r="D737" s="139"/>
      <c r="E737" s="139"/>
      <c r="F737" s="139"/>
      <c r="G737" s="161"/>
      <c r="H737" s="145"/>
      <c r="I737" s="156"/>
      <c r="J737" s="31"/>
      <c r="K737" s="349"/>
      <c r="L737" s="349"/>
      <c r="M737" s="349"/>
      <c r="N737" s="421"/>
    </row>
    <row r="738" spans="2:14" ht="41.25" customHeight="1">
      <c r="B738" s="420"/>
      <c r="C738" s="607" t="s">
        <v>728</v>
      </c>
      <c r="D738" s="139"/>
      <c r="E738" s="139"/>
      <c r="F738" s="140"/>
      <c r="G738" s="160" t="s">
        <v>109</v>
      </c>
      <c r="H738" s="145">
        <f>1.4*H723*(H735^0.4)*H731^0.3/H725</f>
        <v>123.12779110720275</v>
      </c>
      <c r="I738" s="156" t="s">
        <v>46</v>
      </c>
      <c r="J738" s="31"/>
      <c r="K738" s="468"/>
      <c r="L738" s="349"/>
      <c r="M738" s="349"/>
      <c r="N738" s="421"/>
    </row>
    <row r="739" spans="2:14" ht="37.5" customHeight="1">
      <c r="B739" s="446"/>
      <c r="C739" s="607" t="s">
        <v>729</v>
      </c>
      <c r="D739" s="139"/>
      <c r="E739" s="139"/>
      <c r="F739" s="140"/>
      <c r="G739" s="160" t="s">
        <v>110</v>
      </c>
      <c r="H739" s="145">
        <f>0.012*(H736^0.5)*(H734^0.4)*(H733^0.3)*H729^0.7/H725</f>
        <v>46.654418538223453</v>
      </c>
      <c r="I739" s="156" t="s">
        <v>46</v>
      </c>
      <c r="J739" s="31"/>
      <c r="K739" s="349"/>
      <c r="L739" s="349"/>
      <c r="M739" s="349"/>
      <c r="N739" s="421"/>
    </row>
    <row r="740" spans="2:14">
      <c r="B740" s="420"/>
      <c r="C740" s="581"/>
      <c r="D740" s="155"/>
      <c r="E740" s="155"/>
      <c r="F740" s="155"/>
      <c r="G740" s="155"/>
      <c r="H740" s="155"/>
      <c r="I740" s="156"/>
      <c r="J740" s="31"/>
      <c r="K740" s="349"/>
      <c r="L740" s="349"/>
      <c r="M740" s="349"/>
      <c r="N740" s="421"/>
    </row>
    <row r="741" spans="2:14" ht="18.75">
      <c r="B741" s="420"/>
      <c r="C741" s="581"/>
      <c r="D741" s="155"/>
      <c r="E741" s="155"/>
      <c r="F741" s="156"/>
      <c r="G741" s="159" t="s">
        <v>147</v>
      </c>
      <c r="H741" s="145">
        <f>0.3*H738</f>
        <v>36.938337332160827</v>
      </c>
      <c r="I741" s="156" t="s">
        <v>46</v>
      </c>
      <c r="J741" s="31"/>
      <c r="K741" s="349"/>
      <c r="L741" s="349"/>
      <c r="M741" s="349"/>
      <c r="N741" s="421"/>
    </row>
    <row r="742" spans="2:14">
      <c r="B742" s="420"/>
      <c r="C742" s="581"/>
      <c r="D742" s="155"/>
      <c r="E742" s="155"/>
      <c r="F742" s="155"/>
      <c r="G742" s="155"/>
      <c r="H742" s="155"/>
      <c r="I742" s="156"/>
      <c r="J742" s="31"/>
      <c r="K742" s="349"/>
      <c r="L742" s="349"/>
      <c r="M742" s="349"/>
      <c r="N742" s="421"/>
    </row>
    <row r="743" spans="2:14">
      <c r="B743" s="446"/>
      <c r="J743" s="31"/>
      <c r="K743" s="349"/>
      <c r="L743" s="349"/>
      <c r="M743" s="349"/>
      <c r="N743" s="421"/>
    </row>
    <row r="744" spans="2:14">
      <c r="B744" s="446"/>
      <c r="J744" s="31"/>
      <c r="K744" s="349"/>
      <c r="L744" s="349"/>
      <c r="M744" s="349"/>
      <c r="N744" s="421"/>
    </row>
    <row r="745" spans="2:14">
      <c r="B745" s="446"/>
      <c r="J745" s="31"/>
      <c r="K745" s="349"/>
      <c r="L745" s="349"/>
      <c r="M745" s="349"/>
      <c r="N745" s="421"/>
    </row>
    <row r="746" spans="2:14" ht="15">
      <c r="B746" s="446"/>
      <c r="C746" s="529" t="s">
        <v>730</v>
      </c>
      <c r="D746" s="463"/>
      <c r="E746" s="463"/>
      <c r="F746" s="463"/>
      <c r="G746" s="463"/>
      <c r="H746" s="463"/>
      <c r="I746" s="463"/>
      <c r="J746" s="31"/>
      <c r="K746" s="349"/>
      <c r="L746" s="349"/>
      <c r="M746" s="349"/>
      <c r="N746" s="421"/>
    </row>
    <row r="747" spans="2:14">
      <c r="B747" s="420"/>
      <c r="J747" s="31"/>
      <c r="K747" s="349"/>
      <c r="L747" s="349"/>
      <c r="M747" s="349"/>
      <c r="N747" s="421"/>
    </row>
    <row r="748" spans="2:14">
      <c r="B748" s="420"/>
      <c r="C748" s="9" t="s">
        <v>731</v>
      </c>
      <c r="D748" s="9"/>
      <c r="E748" s="9"/>
      <c r="J748" s="31"/>
      <c r="K748" s="349"/>
      <c r="L748" s="349"/>
      <c r="M748" s="349"/>
      <c r="N748" s="421"/>
    </row>
    <row r="749" spans="2:14" ht="18.75">
      <c r="B749" s="420"/>
      <c r="C749" s="589" t="s">
        <v>136</v>
      </c>
      <c r="D749" s="157"/>
      <c r="E749" s="157"/>
      <c r="F749" s="157"/>
      <c r="G749" s="157"/>
      <c r="H749" s="157"/>
      <c r="I749" s="158"/>
      <c r="J749" s="31"/>
      <c r="K749" s="349"/>
      <c r="L749" s="349"/>
      <c r="M749" s="349"/>
      <c r="N749" s="421"/>
    </row>
    <row r="750" spans="2:14" ht="18.75">
      <c r="B750" s="420"/>
      <c r="C750" s="505"/>
      <c r="D750" s="576"/>
      <c r="E750" s="576"/>
      <c r="F750" s="590" t="s">
        <v>733</v>
      </c>
      <c r="G750" s="771">
        <f>($H$698/$H$738)^1.2+($H$696/$H$739)^1.2</f>
        <v>0.78520675319896815</v>
      </c>
      <c r="H750" s="591" t="s">
        <v>706</v>
      </c>
      <c r="I750" s="549">
        <v>1</v>
      </c>
      <c r="J750" s="31"/>
      <c r="K750" s="349"/>
      <c r="L750" s="349"/>
      <c r="M750" s="349"/>
      <c r="N750" s="421"/>
    </row>
    <row r="751" spans="2:14" ht="15">
      <c r="B751" s="420"/>
      <c r="C751" s="31"/>
      <c r="D751" s="31"/>
      <c r="E751" s="31"/>
      <c r="F751" s="168"/>
      <c r="G751" s="92"/>
      <c r="H751" s="588"/>
      <c r="I751" s="534">
        <f>G750/I750</f>
        <v>0.78520675319896815</v>
      </c>
      <c r="J751" s="128" t="str">
        <f>IF(G750&lt;=I750,"OK","niespełniony")</f>
        <v>OK</v>
      </c>
      <c r="K751" s="349"/>
      <c r="L751" s="349"/>
      <c r="M751" s="349"/>
      <c r="N751" s="421"/>
    </row>
    <row r="752" spans="2:14" ht="15">
      <c r="B752" s="420"/>
      <c r="C752" s="31"/>
      <c r="D752" s="31"/>
      <c r="E752" s="31"/>
      <c r="F752" s="168"/>
      <c r="G752" s="92"/>
      <c r="H752" s="588"/>
      <c r="I752" s="92"/>
      <c r="J752" s="31"/>
      <c r="K752" s="349"/>
      <c r="L752" s="349"/>
      <c r="M752" s="349"/>
      <c r="N752" s="421"/>
    </row>
    <row r="753" spans="2:14">
      <c r="B753" s="420"/>
      <c r="J753" s="31"/>
      <c r="K753" s="349"/>
      <c r="L753" s="349"/>
      <c r="M753" s="349"/>
      <c r="N753" s="421"/>
    </row>
    <row r="754" spans="2:14">
      <c r="B754" s="420"/>
      <c r="C754" s="9" t="s">
        <v>732</v>
      </c>
      <c r="D754" s="9"/>
      <c r="E754" s="9"/>
      <c r="J754" s="31"/>
      <c r="K754" s="349"/>
      <c r="L754" s="349"/>
      <c r="M754" s="349"/>
      <c r="N754" s="421"/>
    </row>
    <row r="755" spans="2:14" ht="18.75" customHeight="1">
      <c r="B755" s="420"/>
      <c r="C755" s="1024" t="s">
        <v>138</v>
      </c>
      <c r="D755" s="157"/>
      <c r="E755" s="157"/>
      <c r="F755" s="157"/>
      <c r="G755" s="157"/>
      <c r="H755" s="157"/>
      <c r="I755" s="158"/>
      <c r="J755" s="31"/>
      <c r="K755" s="349"/>
      <c r="L755" s="349"/>
      <c r="M755" s="349"/>
      <c r="N755" s="421"/>
    </row>
    <row r="756" spans="2:14" ht="15" customHeight="1">
      <c r="B756" s="420"/>
      <c r="C756" s="1025"/>
      <c r="D756" s="576"/>
      <c r="E756" s="576"/>
      <c r="F756" s="590" t="s">
        <v>734</v>
      </c>
      <c r="G756" s="549">
        <f>($H$698^2+$H$696^2)^0.5</f>
        <v>89.0965952991764</v>
      </c>
      <c r="H756" s="593" t="s">
        <v>365</v>
      </c>
      <c r="I756" s="549">
        <f>$H$711</f>
        <v>109.47822079229714</v>
      </c>
      <c r="J756" s="31"/>
      <c r="K756" s="349"/>
      <c r="L756" s="349"/>
      <c r="M756" s="349"/>
      <c r="N756" s="421"/>
    </row>
    <row r="757" spans="2:14" ht="15">
      <c r="B757" s="420"/>
      <c r="C757" s="19"/>
      <c r="D757" s="31"/>
      <c r="E757" s="31"/>
      <c r="F757" s="31"/>
      <c r="G757" s="19"/>
      <c r="H757" s="592"/>
      <c r="I757" s="534">
        <f>G756/I756</f>
        <v>0.81382940510342328</v>
      </c>
      <c r="J757" s="128" t="str">
        <f>IF(G756&lt;=I756,"OK","niespełniony")</f>
        <v>OK</v>
      </c>
      <c r="K757" s="349"/>
      <c r="L757" s="349"/>
      <c r="M757" s="349"/>
      <c r="N757" s="421"/>
    </row>
    <row r="758" spans="2:14" ht="15">
      <c r="B758" s="420"/>
      <c r="C758" s="19"/>
      <c r="D758" s="31"/>
      <c r="E758" s="31"/>
      <c r="F758" s="31"/>
      <c r="G758" s="19"/>
      <c r="H758" s="592"/>
      <c r="I758" s="19"/>
      <c r="J758" s="31"/>
      <c r="K758" s="349"/>
      <c r="L758" s="349"/>
      <c r="M758" s="349"/>
      <c r="N758" s="421"/>
    </row>
    <row r="759" spans="2:14">
      <c r="B759" s="420"/>
      <c r="C759" s="31"/>
      <c r="D759" s="31"/>
      <c r="E759" s="31"/>
      <c r="F759" s="31"/>
      <c r="G759" s="31"/>
      <c r="H759" s="31"/>
      <c r="I759" s="31"/>
      <c r="J759" s="31"/>
      <c r="K759" s="349"/>
      <c r="L759" s="349"/>
      <c r="M759" s="349"/>
      <c r="N759" s="421"/>
    </row>
    <row r="760" spans="2:14">
      <c r="B760" s="420"/>
      <c r="C760" s="31"/>
      <c r="D760" s="31"/>
      <c r="E760" s="31"/>
      <c r="F760" s="31"/>
      <c r="G760" s="31"/>
      <c r="H760" s="31"/>
      <c r="I760" s="31"/>
      <c r="J760" s="31"/>
      <c r="K760" s="349"/>
      <c r="L760" s="349"/>
      <c r="M760" s="349"/>
      <c r="N760" s="421"/>
    </row>
    <row r="761" spans="2:14" ht="30" customHeight="1">
      <c r="B761" s="420"/>
      <c r="C761" s="7" t="s">
        <v>366</v>
      </c>
      <c r="D761" s="8"/>
      <c r="E761" s="8"/>
      <c r="F761" s="8"/>
      <c r="G761" s="8"/>
      <c r="H761" s="8"/>
      <c r="I761" s="8"/>
      <c r="J761" s="8"/>
      <c r="K761" s="349"/>
      <c r="L761" s="349"/>
      <c r="M761" s="349"/>
      <c r="N761" s="421"/>
    </row>
    <row r="762" spans="2:14">
      <c r="B762" s="420"/>
      <c r="C762" s="31"/>
      <c r="D762" s="31"/>
      <c r="E762" s="31"/>
      <c r="F762" s="31"/>
      <c r="G762" s="31"/>
      <c r="H762" s="31"/>
      <c r="I762" s="31"/>
      <c r="J762" s="31"/>
      <c r="K762" s="349"/>
      <c r="L762" s="349"/>
      <c r="M762" s="349"/>
      <c r="N762" s="421"/>
    </row>
    <row r="763" spans="2:14">
      <c r="B763" s="420"/>
      <c r="C763" s="31" t="s">
        <v>139</v>
      </c>
      <c r="D763" s="31"/>
      <c r="E763" s="31"/>
      <c r="F763" s="31"/>
      <c r="G763" s="31"/>
      <c r="H763" s="31"/>
      <c r="I763" s="31"/>
      <c r="J763" s="31"/>
      <c r="K763" s="349"/>
      <c r="L763" s="349"/>
      <c r="M763" s="349"/>
      <c r="N763" s="421"/>
    </row>
    <row r="764" spans="2:14">
      <c r="B764" s="420"/>
      <c r="C764" s="31"/>
      <c r="D764" s="31"/>
      <c r="E764" s="31"/>
      <c r="F764" s="31"/>
      <c r="G764" s="31"/>
      <c r="H764" s="31"/>
      <c r="I764" s="31"/>
      <c r="J764" s="31"/>
      <c r="K764" s="349"/>
      <c r="L764" s="349"/>
      <c r="M764" s="349"/>
      <c r="N764" s="421"/>
    </row>
    <row r="765" spans="2:14" ht="15">
      <c r="B765" s="420"/>
      <c r="C765" s="31"/>
      <c r="D765" s="1018" t="s">
        <v>367</v>
      </c>
      <c r="E765" s="1019"/>
      <c r="F765" s="1018" t="s">
        <v>368</v>
      </c>
      <c r="G765" s="1019"/>
      <c r="H765" s="128" t="s">
        <v>142</v>
      </c>
      <c r="I765" s="179">
        <f>(G129-40)/10</f>
        <v>13</v>
      </c>
      <c r="J765" s="31" t="s">
        <v>4</v>
      </c>
      <c r="K765" s="349"/>
      <c r="L765" s="349"/>
      <c r="M765" s="349"/>
      <c r="N765" s="421"/>
    </row>
    <row r="766" spans="2:14" ht="15">
      <c r="B766" s="420"/>
      <c r="C766" s="164" t="s">
        <v>140</v>
      </c>
      <c r="D766" s="163">
        <f>E215+E229</f>
        <v>15.0425</v>
      </c>
      <c r="E766" s="34" t="s">
        <v>1</v>
      </c>
      <c r="F766" s="163">
        <f>G215+G229</f>
        <v>20.873625000000001</v>
      </c>
      <c r="G766" s="34" t="s">
        <v>1</v>
      </c>
      <c r="H766" s="31"/>
      <c r="I766" s="31"/>
      <c r="J766" s="31"/>
      <c r="K766" s="349"/>
      <c r="L766" s="349"/>
      <c r="M766" s="349"/>
      <c r="N766" s="421"/>
    </row>
    <row r="767" spans="2:14" ht="16.5">
      <c r="B767" s="420"/>
      <c r="C767" s="165" t="s">
        <v>141</v>
      </c>
      <c r="D767" s="163">
        <f>D766*I765/100</f>
        <v>1.9555250000000002</v>
      </c>
      <c r="E767" s="34" t="s">
        <v>143</v>
      </c>
      <c r="F767" s="163">
        <f>F766*I765/100</f>
        <v>2.7135712499999998</v>
      </c>
      <c r="G767" s="34" t="s">
        <v>143</v>
      </c>
      <c r="H767" s="31"/>
      <c r="I767" s="31"/>
      <c r="J767" s="31"/>
      <c r="K767" s="349"/>
      <c r="L767" s="349"/>
      <c r="M767" s="349"/>
      <c r="N767" s="421"/>
    </row>
    <row r="768" spans="2:14">
      <c r="B768" s="420"/>
      <c r="C768" s="31"/>
      <c r="D768" s="31"/>
      <c r="E768" s="31"/>
      <c r="F768" s="31"/>
      <c r="G768" s="31"/>
      <c r="H768" s="31"/>
      <c r="I768" s="31"/>
      <c r="J768" s="31"/>
      <c r="K768" s="349"/>
      <c r="L768" s="349"/>
      <c r="M768" s="349"/>
      <c r="N768" s="421"/>
    </row>
    <row r="769" spans="2:14">
      <c r="B769" s="420"/>
      <c r="C769" s="31"/>
      <c r="D769" s="31"/>
      <c r="E769" s="31"/>
      <c r="F769" s="31"/>
      <c r="G769" s="31"/>
      <c r="H769" s="31"/>
      <c r="I769" s="31"/>
      <c r="J769" s="31"/>
      <c r="K769" s="349"/>
      <c r="L769" s="349"/>
      <c r="M769" s="349"/>
      <c r="N769" s="421"/>
    </row>
    <row r="770" spans="2:14" ht="18.75">
      <c r="B770" s="420"/>
      <c r="C770" s="31"/>
      <c r="D770" s="633" t="s">
        <v>371</v>
      </c>
      <c r="E770" s="511">
        <f>G172*(H129/10)^2/4</f>
        <v>25.875</v>
      </c>
      <c r="F770" s="608" t="s">
        <v>143</v>
      </c>
      <c r="G770" s="31"/>
      <c r="H770" s="168" t="s">
        <v>144</v>
      </c>
      <c r="I770" s="469">
        <f>(1+(F767/E770)^2)^0.5</f>
        <v>1.0054840641497012</v>
      </c>
      <c r="J770" s="31"/>
      <c r="K770" s="349"/>
      <c r="L770" s="349"/>
      <c r="M770" s="349"/>
      <c r="N770" s="421"/>
    </row>
    <row r="771" spans="2:14" ht="15">
      <c r="B771" s="420"/>
      <c r="C771" s="31"/>
      <c r="D771" s="166"/>
      <c r="E771" s="92"/>
      <c r="F771" s="130"/>
      <c r="G771" s="31"/>
      <c r="H771" s="31"/>
      <c r="I771" s="31"/>
      <c r="J771" s="31"/>
      <c r="K771" s="349"/>
      <c r="L771" s="349"/>
      <c r="M771" s="349"/>
      <c r="N771" s="421"/>
    </row>
    <row r="772" spans="2:14" ht="15">
      <c r="B772" s="420"/>
      <c r="C772" s="31"/>
      <c r="D772" s="166"/>
      <c r="E772" s="92"/>
      <c r="F772" s="130"/>
      <c r="G772" s="31"/>
      <c r="H772" s="31"/>
      <c r="I772" s="31"/>
      <c r="J772" s="31"/>
      <c r="K772" s="349"/>
      <c r="L772" s="349"/>
      <c r="M772" s="349"/>
      <c r="N772" s="421"/>
    </row>
    <row r="773" spans="2:14" ht="15">
      <c r="B773" s="420"/>
      <c r="C773" s="31"/>
      <c r="D773" s="166"/>
      <c r="E773" s="92"/>
      <c r="F773" s="130"/>
      <c r="G773" s="31"/>
      <c r="H773" s="31"/>
      <c r="I773" s="31"/>
      <c r="J773" s="31"/>
      <c r="K773" s="349"/>
      <c r="L773" s="349"/>
      <c r="M773" s="349"/>
      <c r="N773" s="421"/>
    </row>
    <row r="774" spans="2:14" ht="15">
      <c r="B774" s="420"/>
      <c r="C774" s="529" t="s">
        <v>737</v>
      </c>
      <c r="D774" s="463"/>
      <c r="E774" s="463"/>
      <c r="F774" s="463"/>
      <c r="G774" s="463"/>
      <c r="H774" s="463"/>
      <c r="I774" s="463"/>
      <c r="J774" s="31"/>
      <c r="K774" s="349"/>
      <c r="L774" s="349"/>
      <c r="M774" s="349"/>
      <c r="N774" s="421"/>
    </row>
    <row r="775" spans="2:14" ht="15">
      <c r="B775" s="420"/>
      <c r="C775" s="31"/>
      <c r="D775" s="166"/>
      <c r="E775" s="92"/>
      <c r="F775" s="130"/>
      <c r="G775" s="31"/>
      <c r="H775" s="31"/>
      <c r="I775" s="31"/>
      <c r="J775" s="31"/>
      <c r="K775" s="349"/>
      <c r="L775" s="349"/>
      <c r="M775" s="349"/>
      <c r="N775" s="421"/>
    </row>
    <row r="776" spans="2:14" ht="15">
      <c r="B776" s="420"/>
      <c r="C776" s="308" t="s">
        <v>738</v>
      </c>
      <c r="D776" s="29">
        <f>$F$767</f>
        <v>2.7135712499999998</v>
      </c>
      <c r="E776" s="531" t="s">
        <v>706</v>
      </c>
      <c r="F776" s="29">
        <f>$E$770</f>
        <v>25.875</v>
      </c>
      <c r="G776" s="532" t="s">
        <v>739</v>
      </c>
      <c r="H776" s="31"/>
      <c r="I776" s="31"/>
      <c r="J776" s="31"/>
      <c r="K776" s="349"/>
      <c r="L776" s="349"/>
      <c r="M776" s="349"/>
      <c r="N776" s="421"/>
    </row>
    <row r="777" spans="2:14" ht="15">
      <c r="B777" s="420"/>
      <c r="C777" s="431"/>
      <c r="D777" s="112"/>
      <c r="E777" s="112"/>
      <c r="F777" s="534">
        <f>D776/F776</f>
        <v>0.1048723188405797</v>
      </c>
      <c r="G777" s="128" t="str">
        <f>IF(D776&lt;=F776,"OK","niespełniony")</f>
        <v>OK</v>
      </c>
      <c r="H777" s="31"/>
      <c r="I777" s="31"/>
      <c r="J777" s="31"/>
      <c r="K777" s="349"/>
      <c r="L777" s="349"/>
      <c r="M777" s="349"/>
      <c r="N777" s="421"/>
    </row>
    <row r="778" spans="2:14" ht="15">
      <c r="B778" s="420"/>
      <c r="C778" s="431"/>
      <c r="D778" s="112"/>
      <c r="E778" s="112"/>
      <c r="F778" s="130"/>
      <c r="G778" s="31"/>
      <c r="H778" s="31"/>
      <c r="I778" s="31"/>
      <c r="J778" s="31"/>
      <c r="K778" s="349"/>
      <c r="L778" s="349"/>
      <c r="M778" s="349"/>
      <c r="N778" s="421"/>
    </row>
    <row r="779" spans="2:14" ht="15">
      <c r="B779" s="420"/>
      <c r="C779" s="431"/>
      <c r="D779" s="112"/>
      <c r="E779" s="112"/>
      <c r="F779" s="130"/>
      <c r="G779" s="31"/>
      <c r="H779" s="31"/>
      <c r="I779" s="31"/>
      <c r="J779" s="31"/>
      <c r="K779" s="349"/>
      <c r="L779" s="349"/>
      <c r="M779" s="349"/>
      <c r="N779" s="421"/>
    </row>
    <row r="780" spans="2:14" ht="15">
      <c r="B780" s="420"/>
      <c r="C780" s="31"/>
      <c r="D780" s="166"/>
      <c r="E780" s="92"/>
      <c r="F780" s="130"/>
      <c r="G780" s="31"/>
      <c r="H780" s="31"/>
      <c r="I780" s="31"/>
      <c r="J780" s="31"/>
      <c r="K780" s="349"/>
      <c r="L780" s="349"/>
      <c r="M780" s="349"/>
      <c r="N780" s="421"/>
    </row>
    <row r="781" spans="2:14">
      <c r="B781" s="420"/>
      <c r="C781" s="31"/>
      <c r="D781" s="31"/>
      <c r="E781" s="31"/>
      <c r="F781" s="31"/>
      <c r="G781" s="31"/>
      <c r="H781" s="31"/>
      <c r="I781" s="31"/>
      <c r="J781" s="31"/>
      <c r="K781" s="349"/>
      <c r="L781" s="349"/>
      <c r="M781" s="349"/>
      <c r="N781" s="421"/>
    </row>
    <row r="782" spans="2:14" ht="30" customHeight="1">
      <c r="B782" s="420"/>
      <c r="C782" s="7" t="s">
        <v>763</v>
      </c>
      <c r="D782" s="8"/>
      <c r="E782" s="8"/>
      <c r="F782" s="8"/>
      <c r="G782" s="8"/>
      <c r="H782" s="8"/>
      <c r="I782" s="8"/>
      <c r="J782" s="8"/>
      <c r="K782" s="349"/>
      <c r="L782" s="349"/>
      <c r="M782" s="349"/>
      <c r="N782" s="421"/>
    </row>
    <row r="783" spans="2:14">
      <c r="B783" s="420"/>
      <c r="C783" s="31"/>
      <c r="D783" s="31"/>
      <c r="E783" s="31"/>
      <c r="F783" s="31"/>
      <c r="G783" s="31"/>
      <c r="H783" s="31"/>
      <c r="I783" s="31"/>
      <c r="J783" s="31"/>
      <c r="K783" s="349"/>
      <c r="L783" s="349"/>
      <c r="M783" s="349"/>
      <c r="N783" s="421"/>
    </row>
    <row r="784" spans="2:14">
      <c r="B784" s="420"/>
      <c r="C784" s="31"/>
      <c r="D784" s="31"/>
      <c r="E784" s="31"/>
      <c r="F784" s="31"/>
      <c r="G784" s="31"/>
      <c r="H784" s="31"/>
      <c r="I784" s="31"/>
      <c r="J784" s="31"/>
      <c r="K784" s="349"/>
      <c r="L784" s="349"/>
      <c r="M784" s="349"/>
      <c r="N784" s="421"/>
    </row>
    <row r="785" spans="2:14">
      <c r="B785" s="420"/>
      <c r="C785" s="31"/>
      <c r="D785" s="31"/>
      <c r="E785" s="31"/>
      <c r="F785" s="31"/>
      <c r="G785" s="31"/>
      <c r="H785" s="31"/>
      <c r="I785" s="31"/>
      <c r="J785" s="31"/>
      <c r="K785" s="349"/>
      <c r="L785" s="349"/>
      <c r="M785" s="349"/>
      <c r="N785" s="421"/>
    </row>
    <row r="786" spans="2:14">
      <c r="B786" s="420"/>
      <c r="C786" s="31"/>
      <c r="D786" s="31"/>
      <c r="E786" s="31"/>
      <c r="F786" s="31"/>
      <c r="G786" s="31"/>
      <c r="H786" s="31"/>
      <c r="I786" s="31"/>
      <c r="J786" s="31"/>
      <c r="K786" s="349"/>
      <c r="L786" s="349"/>
      <c r="M786" s="349"/>
      <c r="N786" s="421"/>
    </row>
    <row r="787" spans="2:14">
      <c r="B787" s="420"/>
      <c r="C787" s="31"/>
      <c r="D787" s="31"/>
      <c r="E787" s="31"/>
      <c r="F787" s="31"/>
      <c r="G787" s="31"/>
      <c r="H787" s="31"/>
      <c r="I787" s="31"/>
      <c r="J787" s="31"/>
      <c r="K787" s="349"/>
      <c r="L787" s="349"/>
      <c r="M787" s="349"/>
      <c r="N787" s="421"/>
    </row>
    <row r="788" spans="2:14">
      <c r="B788" s="420"/>
      <c r="C788" s="31"/>
      <c r="D788" s="31"/>
      <c r="E788" s="31"/>
      <c r="F788" s="31"/>
      <c r="G788" s="31"/>
      <c r="H788" s="31"/>
      <c r="I788" s="31"/>
      <c r="J788" s="31"/>
      <c r="K788" s="349"/>
      <c r="L788" s="349"/>
      <c r="M788" s="349"/>
      <c r="N788" s="421"/>
    </row>
    <row r="789" spans="2:14">
      <c r="B789" s="420"/>
      <c r="C789" s="31"/>
      <c r="D789" s="31"/>
      <c r="E789" s="31"/>
      <c r="F789" s="31"/>
      <c r="G789" s="31"/>
      <c r="H789" s="31"/>
      <c r="I789" s="31"/>
      <c r="J789" s="31"/>
      <c r="K789" s="349"/>
      <c r="L789" s="349"/>
      <c r="M789" s="349"/>
      <c r="N789" s="421"/>
    </row>
    <row r="790" spans="2:14">
      <c r="B790" s="420"/>
      <c r="C790" s="31"/>
      <c r="D790" s="31"/>
      <c r="E790" s="31"/>
      <c r="F790" s="31"/>
      <c r="G790" s="31"/>
      <c r="H790" s="31"/>
      <c r="I790" s="31"/>
      <c r="J790" s="31"/>
      <c r="K790" s="349"/>
      <c r="L790" s="349"/>
      <c r="M790" s="349"/>
      <c r="N790" s="421"/>
    </row>
    <row r="791" spans="2:14">
      <c r="B791" s="420"/>
      <c r="C791" s="31"/>
      <c r="D791" s="31"/>
      <c r="E791" s="31"/>
      <c r="F791" s="31"/>
      <c r="G791" s="31"/>
      <c r="H791" s="31"/>
      <c r="I791" s="31"/>
      <c r="J791" s="31"/>
      <c r="K791" s="349"/>
      <c r="L791" s="349"/>
      <c r="M791" s="349"/>
      <c r="N791" s="421"/>
    </row>
    <row r="792" spans="2:14">
      <c r="B792" s="420"/>
      <c r="C792" s="31"/>
      <c r="D792" s="31"/>
      <c r="E792" s="31"/>
      <c r="F792" s="31"/>
      <c r="G792" s="31"/>
      <c r="H792" s="31"/>
      <c r="I792" s="31"/>
      <c r="J792" s="31"/>
      <c r="K792" s="349"/>
      <c r="L792" s="349"/>
      <c r="M792" s="349"/>
      <c r="N792" s="421"/>
    </row>
    <row r="793" spans="2:14">
      <c r="B793" s="420"/>
      <c r="C793" s="31"/>
      <c r="D793" s="31"/>
      <c r="E793" s="31"/>
      <c r="F793" s="31"/>
      <c r="G793" s="31"/>
      <c r="H793" s="31"/>
      <c r="I793" s="31"/>
      <c r="J793" s="31"/>
      <c r="K793" s="349"/>
      <c r="L793" s="349"/>
      <c r="M793" s="349"/>
      <c r="N793" s="421"/>
    </row>
    <row r="794" spans="2:14">
      <c r="B794" s="420"/>
      <c r="C794" s="31"/>
      <c r="D794" s="31"/>
      <c r="E794" s="31"/>
      <c r="F794" s="31"/>
      <c r="G794" s="31"/>
      <c r="H794" s="31"/>
      <c r="I794" s="31"/>
      <c r="J794" s="31"/>
      <c r="K794" s="349"/>
      <c r="L794" s="349"/>
      <c r="M794" s="349"/>
      <c r="N794" s="421"/>
    </row>
    <row r="795" spans="2:14">
      <c r="B795" s="420"/>
      <c r="C795" s="31"/>
      <c r="D795" s="31"/>
      <c r="E795" s="31"/>
      <c r="F795" s="31"/>
      <c r="G795" s="31"/>
      <c r="H795" s="31"/>
      <c r="I795" s="31"/>
      <c r="J795" s="31"/>
      <c r="K795" s="349"/>
      <c r="L795" s="349"/>
      <c r="M795" s="349"/>
      <c r="N795" s="421"/>
    </row>
    <row r="796" spans="2:14">
      <c r="B796" s="420"/>
      <c r="C796" s="31"/>
      <c r="D796" s="31"/>
      <c r="E796" s="31"/>
      <c r="F796" s="31"/>
      <c r="G796" s="31"/>
      <c r="H796" s="31"/>
      <c r="I796" s="31"/>
      <c r="J796" s="31"/>
      <c r="K796" s="349"/>
      <c r="L796" s="349"/>
      <c r="M796" s="349"/>
      <c r="N796" s="421"/>
    </row>
    <row r="797" spans="2:14">
      <c r="B797" s="420"/>
      <c r="C797" s="31"/>
      <c r="D797" s="31"/>
      <c r="E797" s="31"/>
      <c r="F797" s="31"/>
      <c r="G797" s="31"/>
      <c r="H797" s="31"/>
      <c r="I797" s="31"/>
      <c r="J797" s="31"/>
      <c r="K797" s="349"/>
      <c r="L797" s="349"/>
      <c r="M797" s="349"/>
      <c r="N797" s="421"/>
    </row>
    <row r="798" spans="2:14">
      <c r="B798" s="420"/>
      <c r="C798" s="31"/>
      <c r="D798" s="31"/>
      <c r="E798" s="31"/>
      <c r="F798" s="31"/>
      <c r="G798" s="31"/>
      <c r="H798" s="31"/>
      <c r="I798" s="31"/>
      <c r="J798" s="31"/>
      <c r="K798" s="349"/>
      <c r="L798" s="349"/>
      <c r="M798" s="349"/>
      <c r="N798" s="421"/>
    </row>
    <row r="799" spans="2:14">
      <c r="B799" s="420"/>
      <c r="C799" s="31"/>
      <c r="D799" s="31"/>
      <c r="E799" s="31"/>
      <c r="F799" s="31"/>
      <c r="G799" s="31"/>
      <c r="H799" s="31"/>
      <c r="I799" s="31"/>
      <c r="J799" s="31"/>
      <c r="K799" s="349"/>
      <c r="L799" s="349"/>
      <c r="M799" s="349"/>
      <c r="N799" s="421"/>
    </row>
    <row r="800" spans="2:14">
      <c r="B800" s="420"/>
      <c r="C800" s="31"/>
      <c r="D800" s="31"/>
      <c r="E800" s="31"/>
      <c r="F800" s="31"/>
      <c r="G800" s="31"/>
      <c r="H800" s="31"/>
      <c r="I800" s="31"/>
      <c r="J800" s="31"/>
      <c r="K800" s="349"/>
      <c r="L800" s="349"/>
      <c r="M800" s="349"/>
      <c r="N800" s="421"/>
    </row>
    <row r="801" spans="2:14">
      <c r="B801" s="420"/>
      <c r="C801" s="31"/>
      <c r="D801" s="31"/>
      <c r="E801" s="31"/>
      <c r="F801" s="31"/>
      <c r="G801" s="31"/>
      <c r="H801" s="31"/>
      <c r="I801" s="31"/>
      <c r="J801" s="31"/>
      <c r="K801" s="349"/>
      <c r="L801" s="349"/>
      <c r="M801" s="349"/>
      <c r="N801" s="421"/>
    </row>
    <row r="802" spans="2:14">
      <c r="B802" s="420"/>
      <c r="C802" s="31"/>
      <c r="D802" s="31"/>
      <c r="E802" s="31"/>
      <c r="F802" s="31"/>
      <c r="G802" s="31"/>
      <c r="H802" s="31"/>
      <c r="I802" s="31"/>
      <c r="J802" s="31"/>
      <c r="K802" s="349"/>
      <c r="L802" s="349"/>
      <c r="M802" s="349"/>
      <c r="N802" s="421"/>
    </row>
    <row r="803" spans="2:14">
      <c r="B803" s="420"/>
      <c r="C803" s="31"/>
      <c r="D803" s="31"/>
      <c r="E803" s="31"/>
      <c r="F803" s="31"/>
      <c r="G803" s="31"/>
      <c r="H803" s="31"/>
      <c r="I803" s="31"/>
      <c r="J803" s="31"/>
      <c r="K803" s="349"/>
      <c r="L803" s="349"/>
      <c r="M803" s="349"/>
      <c r="N803" s="421"/>
    </row>
    <row r="804" spans="2:14">
      <c r="B804" s="420"/>
      <c r="C804" s="31"/>
      <c r="D804" s="31"/>
      <c r="E804" s="31"/>
      <c r="F804" s="31"/>
      <c r="G804" s="31"/>
      <c r="H804" s="31"/>
      <c r="I804" s="31"/>
      <c r="J804" s="31"/>
      <c r="K804" s="349"/>
      <c r="L804" s="349"/>
      <c r="M804" s="349"/>
      <c r="N804" s="421"/>
    </row>
    <row r="805" spans="2:14">
      <c r="B805" s="420"/>
      <c r="C805" s="31"/>
      <c r="D805" s="31"/>
      <c r="E805" s="31"/>
      <c r="F805" s="31"/>
      <c r="G805" s="31"/>
      <c r="H805" s="31"/>
      <c r="I805" s="31"/>
      <c r="J805" s="31"/>
      <c r="K805" s="349"/>
      <c r="L805" s="349"/>
      <c r="M805" s="349"/>
      <c r="N805" s="421"/>
    </row>
    <row r="806" spans="2:14">
      <c r="B806" s="420"/>
      <c r="C806" s="31"/>
      <c r="D806" s="31"/>
      <c r="E806" s="31"/>
      <c r="F806" s="31"/>
      <c r="G806" s="31"/>
      <c r="H806" s="31"/>
      <c r="I806" s="31"/>
      <c r="J806" s="31"/>
      <c r="K806" s="349"/>
      <c r="L806" s="349"/>
      <c r="M806" s="349"/>
      <c r="N806" s="421"/>
    </row>
    <row r="807" spans="2:14">
      <c r="B807" s="420"/>
      <c r="C807" s="31"/>
      <c r="D807" s="31"/>
      <c r="E807" s="31"/>
      <c r="F807" s="31"/>
      <c r="G807" s="31"/>
      <c r="H807" s="31"/>
      <c r="I807" s="31"/>
      <c r="J807" s="31"/>
      <c r="K807" s="349"/>
      <c r="L807" s="349"/>
      <c r="M807" s="349"/>
      <c r="N807" s="421"/>
    </row>
    <row r="808" spans="2:14">
      <c r="B808" s="420"/>
      <c r="C808" s="31"/>
      <c r="D808" s="31"/>
      <c r="E808" s="31"/>
      <c r="F808" s="31"/>
      <c r="G808" s="31"/>
      <c r="H808" s="31"/>
      <c r="I808" s="31"/>
      <c r="J808" s="31"/>
      <c r="K808" s="349"/>
      <c r="L808" s="349"/>
      <c r="M808" s="349"/>
      <c r="N808" s="421"/>
    </row>
    <row r="809" spans="2:14">
      <c r="B809" s="420"/>
      <c r="C809" s="31"/>
      <c r="D809" s="31"/>
      <c r="E809" s="31"/>
      <c r="F809" s="31"/>
      <c r="G809" s="31"/>
      <c r="H809" s="31"/>
      <c r="I809" s="31"/>
      <c r="J809" s="31"/>
      <c r="K809" s="349"/>
      <c r="L809" s="349"/>
      <c r="M809" s="349"/>
      <c r="N809" s="421"/>
    </row>
    <row r="810" spans="2:14">
      <c r="B810" s="420"/>
      <c r="C810" s="31"/>
      <c r="D810" s="31"/>
      <c r="E810" s="31"/>
      <c r="F810" s="31"/>
      <c r="G810" s="31"/>
      <c r="H810" s="31"/>
      <c r="I810" s="31"/>
      <c r="J810" s="31"/>
      <c r="K810" s="349"/>
      <c r="L810" s="349"/>
      <c r="M810" s="349"/>
      <c r="N810" s="421"/>
    </row>
    <row r="811" spans="2:14">
      <c r="B811" s="420"/>
      <c r="C811" s="31"/>
      <c r="D811" s="31"/>
      <c r="E811" s="31"/>
      <c r="F811" s="31"/>
      <c r="G811" s="31"/>
      <c r="H811" s="31"/>
      <c r="I811" s="31"/>
      <c r="J811" s="31"/>
      <c r="K811" s="349"/>
      <c r="L811" s="349"/>
      <c r="M811" s="349"/>
      <c r="N811" s="421"/>
    </row>
    <row r="812" spans="2:14">
      <c r="B812" s="420"/>
      <c r="C812" s="31"/>
      <c r="D812" s="31"/>
      <c r="E812" s="31"/>
      <c r="F812" s="31"/>
      <c r="G812" s="31"/>
      <c r="H812" s="31"/>
      <c r="I812" s="31"/>
      <c r="J812" s="31"/>
      <c r="K812" s="349"/>
      <c r="L812" s="349"/>
      <c r="M812" s="349"/>
      <c r="N812" s="421"/>
    </row>
    <row r="813" spans="2:14">
      <c r="B813" s="420"/>
      <c r="C813" s="31"/>
      <c r="D813" s="31"/>
      <c r="E813" s="31"/>
      <c r="F813" s="31"/>
      <c r="G813" s="31"/>
      <c r="H813" s="31"/>
      <c r="I813" s="31"/>
      <c r="J813" s="31"/>
      <c r="K813" s="349"/>
      <c r="L813" s="349"/>
      <c r="M813" s="349"/>
      <c r="N813" s="421"/>
    </row>
    <row r="814" spans="2:14">
      <c r="B814" s="420"/>
      <c r="C814" s="31"/>
      <c r="D814" s="31"/>
      <c r="E814" s="31"/>
      <c r="F814" s="31"/>
      <c r="G814" s="31"/>
      <c r="H814" s="31"/>
      <c r="I814" s="31"/>
      <c r="J814" s="31"/>
      <c r="K814" s="349"/>
      <c r="L814" s="349"/>
      <c r="M814" s="349"/>
      <c r="N814" s="421"/>
    </row>
    <row r="815" spans="2:14">
      <c r="B815" s="420"/>
      <c r="C815" s="31"/>
      <c r="D815" s="31"/>
      <c r="E815" s="31"/>
      <c r="F815" s="31"/>
      <c r="G815" s="31"/>
      <c r="H815" s="31"/>
      <c r="I815" s="31"/>
      <c r="J815" s="31"/>
      <c r="K815" s="349"/>
      <c r="L815" s="349"/>
      <c r="M815" s="349"/>
      <c r="N815" s="421"/>
    </row>
    <row r="816" spans="2:14">
      <c r="B816" s="420"/>
      <c r="C816" s="31"/>
      <c r="D816" s="31"/>
      <c r="E816" s="31"/>
      <c r="F816" s="31"/>
      <c r="G816" s="31"/>
      <c r="H816" s="31"/>
      <c r="I816" s="31"/>
      <c r="J816" s="31"/>
      <c r="K816" s="349"/>
      <c r="L816" s="349"/>
      <c r="M816" s="349"/>
      <c r="N816" s="421"/>
    </row>
    <row r="817" spans="2:14">
      <c r="B817" s="420"/>
      <c r="C817" s="31"/>
      <c r="D817" s="31"/>
      <c r="E817" s="31"/>
      <c r="F817" s="31"/>
      <c r="G817" s="31"/>
      <c r="H817" s="31"/>
      <c r="I817" s="31"/>
      <c r="J817" s="31"/>
      <c r="K817" s="349"/>
      <c r="L817" s="349"/>
      <c r="M817" s="349"/>
      <c r="N817" s="421"/>
    </row>
    <row r="818" spans="2:14">
      <c r="B818" s="420"/>
      <c r="C818" s="31"/>
      <c r="D818" s="31"/>
      <c r="E818" s="31"/>
      <c r="F818" s="31"/>
      <c r="G818" s="31"/>
      <c r="H818" s="31"/>
      <c r="I818" s="31"/>
      <c r="J818" s="31"/>
      <c r="K818" s="349"/>
      <c r="L818" s="349"/>
      <c r="M818" s="349"/>
      <c r="N818" s="421"/>
    </row>
    <row r="819" spans="2:14">
      <c r="B819" s="420"/>
      <c r="C819" s="31"/>
      <c r="D819" s="31"/>
      <c r="E819" s="31"/>
      <c r="F819" s="31"/>
      <c r="G819" s="31"/>
      <c r="H819" s="31"/>
      <c r="I819" s="31"/>
      <c r="J819" s="31"/>
      <c r="K819" s="349"/>
      <c r="L819" s="349"/>
      <c r="M819" s="349"/>
      <c r="N819" s="421"/>
    </row>
    <row r="820" spans="2:14">
      <c r="B820" s="420"/>
      <c r="C820" s="31"/>
      <c r="D820" s="31"/>
      <c r="E820" s="31"/>
      <c r="F820" s="31"/>
      <c r="G820" s="31"/>
      <c r="H820" s="31"/>
      <c r="I820" s="31"/>
      <c r="J820" s="31"/>
      <c r="K820" s="349"/>
      <c r="L820" s="349"/>
      <c r="M820" s="349"/>
      <c r="N820" s="421"/>
    </row>
    <row r="821" spans="2:14">
      <c r="B821" s="420"/>
      <c r="C821" s="31"/>
      <c r="D821" s="31"/>
      <c r="E821" s="31"/>
      <c r="F821" s="31"/>
      <c r="G821" s="31"/>
      <c r="H821" s="31"/>
      <c r="I821" s="31"/>
      <c r="J821" s="31"/>
      <c r="K821" s="349"/>
      <c r="L821" s="349"/>
      <c r="M821" s="349"/>
      <c r="N821" s="421"/>
    </row>
    <row r="822" spans="2:14">
      <c r="B822" s="420"/>
      <c r="C822" s="31"/>
      <c r="D822" s="31"/>
      <c r="E822" s="31"/>
      <c r="F822" s="31"/>
      <c r="G822" s="31"/>
      <c r="H822" s="31"/>
      <c r="I822" s="31"/>
      <c r="J822" s="31"/>
      <c r="K822" s="349"/>
      <c r="L822" s="349"/>
      <c r="M822" s="349"/>
      <c r="N822" s="421"/>
    </row>
    <row r="823" spans="2:14">
      <c r="B823" s="420"/>
      <c r="C823" s="31"/>
      <c r="D823" s="31"/>
      <c r="E823" s="31"/>
      <c r="F823" s="31"/>
      <c r="G823" s="31"/>
      <c r="H823" s="31"/>
      <c r="I823" s="31"/>
      <c r="J823" s="31"/>
      <c r="K823" s="349"/>
      <c r="L823" s="349"/>
      <c r="M823" s="349"/>
      <c r="N823" s="421"/>
    </row>
    <row r="824" spans="2:14" ht="18.75">
      <c r="B824" s="420"/>
      <c r="C824" s="1039" t="s">
        <v>759</v>
      </c>
      <c r="D824" s="1040"/>
      <c r="E824" s="1040"/>
      <c r="F824" s="1041"/>
      <c r="G824" s="655" t="s">
        <v>760</v>
      </c>
      <c r="H824" s="644">
        <f>E121-2*(20+H125+E125/2)</f>
        <v>362</v>
      </c>
      <c r="I824" s="654" t="s">
        <v>6</v>
      </c>
      <c r="J824" s="31"/>
      <c r="K824" s="349"/>
      <c r="L824" s="349"/>
      <c r="M824" s="349"/>
      <c r="N824" s="421"/>
    </row>
    <row r="825" spans="2:14" ht="18.75">
      <c r="B825" s="420"/>
      <c r="C825" s="1042"/>
      <c r="D825" s="1043"/>
      <c r="E825" s="1043"/>
      <c r="F825" s="1044"/>
      <c r="G825" s="655" t="s">
        <v>761</v>
      </c>
      <c r="H825" s="645">
        <f>D121-G145-G146</f>
        <v>230</v>
      </c>
      <c r="I825" s="654" t="s">
        <v>6</v>
      </c>
      <c r="J825" s="31"/>
      <c r="K825" s="349"/>
      <c r="L825" s="349"/>
      <c r="M825" s="349"/>
      <c r="N825" s="421"/>
    </row>
    <row r="826" spans="2:14" ht="18.75">
      <c r="B826" s="420"/>
      <c r="C826" s="1045"/>
      <c r="D826" s="1046"/>
      <c r="E826" s="1046"/>
      <c r="F826" s="1047"/>
      <c r="G826" s="656" t="s">
        <v>762</v>
      </c>
      <c r="H826" s="646">
        <f>H824*H825</f>
        <v>83260</v>
      </c>
      <c r="I826" s="653" t="s">
        <v>79</v>
      </c>
      <c r="J826" s="31"/>
      <c r="K826" s="349"/>
      <c r="L826" s="349"/>
      <c r="M826" s="349"/>
      <c r="N826" s="421"/>
    </row>
    <row r="827" spans="2:14" ht="19.5" customHeight="1">
      <c r="B827" s="420"/>
      <c r="C827" s="1048" t="s">
        <v>765</v>
      </c>
      <c r="D827" s="1048"/>
      <c r="E827" s="1048"/>
      <c r="F827" s="1048"/>
      <c r="G827" s="657" t="s">
        <v>764</v>
      </c>
      <c r="H827" s="137">
        <f>MAX((E121*D121)/2/(E121+D121),MIN(2*G145,2*G146))</f>
        <v>93.506493506493513</v>
      </c>
      <c r="I827" s="654" t="s">
        <v>6</v>
      </c>
      <c r="J827" s="31"/>
      <c r="K827" s="349"/>
      <c r="L827" s="349"/>
      <c r="M827" s="349"/>
      <c r="N827" s="421"/>
    </row>
    <row r="828" spans="2:14">
      <c r="B828" s="420"/>
      <c r="C828" s="31"/>
      <c r="D828" s="31"/>
      <c r="E828" s="31"/>
      <c r="F828" s="31"/>
      <c r="G828" s="31"/>
      <c r="H828" s="433"/>
      <c r="I828" s="31"/>
      <c r="J828" s="31"/>
      <c r="K828" s="349"/>
      <c r="L828" s="349"/>
      <c r="M828" s="349"/>
      <c r="N828" s="421"/>
    </row>
    <row r="829" spans="2:14" ht="34.5" customHeight="1">
      <c r="B829" s="420"/>
      <c r="C829" s="658" t="s">
        <v>369</v>
      </c>
      <c r="D829" s="670"/>
      <c r="E829" s="670"/>
      <c r="F829" s="670"/>
      <c r="G829" s="671"/>
      <c r="H829" s="672"/>
      <c r="I829" s="673"/>
      <c r="J829" s="31"/>
      <c r="K829" s="349"/>
      <c r="L829" s="349"/>
      <c r="M829" s="349"/>
      <c r="N829" s="421"/>
    </row>
    <row r="830" spans="2:14" ht="16.5">
      <c r="B830" s="420"/>
      <c r="C830" s="420" t="s">
        <v>370</v>
      </c>
      <c r="D830" s="31"/>
      <c r="E830" s="169"/>
      <c r="F830" s="175" t="s">
        <v>372</v>
      </c>
      <c r="G830" s="170"/>
      <c r="H830" s="24"/>
      <c r="I830" s="659"/>
      <c r="J830" s="31"/>
      <c r="K830" s="349"/>
      <c r="L830" s="349"/>
      <c r="M830" s="349"/>
      <c r="N830" s="421"/>
    </row>
    <row r="831" spans="2:14" ht="18.75" customHeight="1">
      <c r="B831" s="420"/>
      <c r="C831" s="660" t="s">
        <v>374</v>
      </c>
      <c r="D831" s="167"/>
      <c r="E831" s="167"/>
      <c r="F831" s="167"/>
      <c r="G831" s="171"/>
      <c r="H831" s="172"/>
      <c r="I831" s="659"/>
      <c r="J831" s="31"/>
      <c r="K831" s="349"/>
      <c r="L831" s="349"/>
      <c r="M831" s="349"/>
      <c r="N831" s="421"/>
    </row>
    <row r="832" spans="2:14" ht="15">
      <c r="B832" s="420"/>
      <c r="C832" s="661" t="s">
        <v>375</v>
      </c>
      <c r="D832" s="167"/>
      <c r="E832" s="167"/>
      <c r="F832" s="167"/>
      <c r="G832" s="128"/>
      <c r="H832" s="24"/>
      <c r="I832" s="659"/>
      <c r="J832" s="31"/>
      <c r="K832" s="349"/>
      <c r="L832" s="349"/>
      <c r="M832" s="349"/>
      <c r="N832" s="421"/>
    </row>
    <row r="833" spans="2:14" ht="15">
      <c r="B833" s="420"/>
      <c r="C833" s="662" t="s">
        <v>376</v>
      </c>
      <c r="D833" s="167"/>
      <c r="E833" s="167"/>
      <c r="F833" s="167"/>
      <c r="G833" s="171"/>
      <c r="H833" s="24"/>
      <c r="I833" s="659"/>
      <c r="J833" s="31"/>
      <c r="K833" s="349"/>
      <c r="L833" s="349"/>
      <c r="M833" s="349"/>
      <c r="N833" s="421"/>
    </row>
    <row r="834" spans="2:14" ht="16.5">
      <c r="B834" s="420"/>
      <c r="C834" s="662" t="s">
        <v>377</v>
      </c>
      <c r="D834" s="167"/>
      <c r="E834" s="167"/>
      <c r="F834" s="167"/>
      <c r="G834" s="171"/>
      <c r="H834" s="24"/>
      <c r="I834" s="659"/>
      <c r="J834" s="31"/>
      <c r="K834" s="349"/>
      <c r="L834" s="349"/>
      <c r="M834" s="349"/>
      <c r="N834" s="421"/>
    </row>
    <row r="835" spans="2:14" ht="15" customHeight="1">
      <c r="B835" s="420"/>
      <c r="C835" s="660" t="s">
        <v>378</v>
      </c>
      <c r="D835" s="31"/>
      <c r="E835" s="31"/>
      <c r="F835" s="31"/>
      <c r="G835" s="31"/>
      <c r="H835" s="31"/>
      <c r="I835" s="663"/>
      <c r="J835" s="31"/>
      <c r="K835" s="349"/>
      <c r="L835" s="349"/>
      <c r="M835" s="349"/>
      <c r="N835" s="421"/>
    </row>
    <row r="836" spans="2:14" ht="15" customHeight="1">
      <c r="B836" s="420"/>
      <c r="C836" s="420"/>
      <c r="D836" s="31"/>
      <c r="E836" s="31"/>
      <c r="F836" s="31"/>
      <c r="G836" s="31"/>
      <c r="H836" s="31"/>
      <c r="I836" s="663"/>
      <c r="J836" s="31"/>
      <c r="K836" s="349"/>
      <c r="L836" s="349"/>
      <c r="M836" s="349"/>
      <c r="N836" s="421"/>
    </row>
    <row r="837" spans="2:14" ht="15" customHeight="1">
      <c r="B837" s="420"/>
      <c r="C837" s="420" t="s">
        <v>373</v>
      </c>
      <c r="D837" s="31"/>
      <c r="E837" s="31"/>
      <c r="F837" s="31"/>
      <c r="G837" s="31"/>
      <c r="H837" s="31"/>
      <c r="I837" s="663"/>
      <c r="J837" s="31"/>
      <c r="K837" s="349"/>
      <c r="L837" s="349"/>
      <c r="M837" s="349"/>
      <c r="N837" s="421"/>
    </row>
    <row r="838" spans="2:14" ht="15">
      <c r="B838" s="420"/>
      <c r="C838" s="420"/>
      <c r="D838" s="177"/>
      <c r="E838" s="167"/>
      <c r="F838" s="167"/>
      <c r="G838" s="173"/>
      <c r="H838" s="24"/>
      <c r="I838" s="659"/>
      <c r="J838" s="31"/>
      <c r="K838" s="349"/>
      <c r="L838" s="349"/>
      <c r="M838" s="349"/>
      <c r="N838" s="421"/>
    </row>
    <row r="839" spans="2:14" ht="16.5" customHeight="1">
      <c r="B839" s="420"/>
      <c r="C839" s="660" t="s">
        <v>379</v>
      </c>
      <c r="D839" s="178"/>
      <c r="E839" s="178"/>
      <c r="F839" s="178"/>
      <c r="G839" s="178"/>
      <c r="H839" s="178"/>
      <c r="I839" s="664"/>
      <c r="J839" s="31"/>
      <c r="K839" s="349"/>
      <c r="L839" s="349"/>
      <c r="M839" s="349"/>
      <c r="N839" s="421"/>
    </row>
    <row r="840" spans="2:14" ht="27.75" customHeight="1">
      <c r="B840" s="420"/>
      <c r="C840" s="665" t="s">
        <v>380</v>
      </c>
      <c r="D840" s="178"/>
      <c r="E840" s="178"/>
      <c r="F840" s="178"/>
      <c r="G840" s="178"/>
      <c r="H840" s="178"/>
      <c r="I840" s="664"/>
      <c r="J840" s="31"/>
      <c r="K840" s="349"/>
      <c r="L840" s="349"/>
      <c r="M840" s="349"/>
      <c r="N840" s="421"/>
    </row>
    <row r="841" spans="2:14" ht="16.5">
      <c r="B841" s="420"/>
      <c r="C841" s="674" t="s">
        <v>766</v>
      </c>
      <c r="D841" s="31"/>
      <c r="E841" s="31"/>
      <c r="F841" s="31"/>
      <c r="G841" s="178"/>
      <c r="H841" s="178"/>
      <c r="I841" s="664"/>
      <c r="J841" s="31"/>
      <c r="K841" s="349"/>
      <c r="L841" s="349"/>
      <c r="M841" s="349"/>
      <c r="N841" s="421"/>
    </row>
    <row r="842" spans="2:14" ht="14.25" customHeight="1">
      <c r="B842" s="420"/>
      <c r="C842" s="674" t="s">
        <v>388</v>
      </c>
      <c r="D842" s="178"/>
      <c r="E842" s="178"/>
      <c r="F842" s="178"/>
      <c r="G842" s="178"/>
      <c r="H842" s="178"/>
      <c r="I842" s="664"/>
      <c r="J842" s="31"/>
      <c r="K842" s="349"/>
      <c r="L842" s="349"/>
      <c r="M842" s="349"/>
      <c r="N842" s="421"/>
    </row>
    <row r="843" spans="2:14" ht="18.75">
      <c r="B843" s="420"/>
      <c r="C843" s="674" t="s">
        <v>389</v>
      </c>
      <c r="D843" s="174"/>
      <c r="E843" s="174"/>
      <c r="F843" s="174"/>
      <c r="G843" s="112"/>
      <c r="H843" s="31"/>
      <c r="I843" s="675"/>
      <c r="J843" s="31"/>
      <c r="K843" s="349"/>
      <c r="L843" s="349"/>
      <c r="M843" s="349"/>
      <c r="N843" s="421"/>
    </row>
    <row r="844" spans="2:14">
      <c r="B844" s="420"/>
      <c r="C844" s="676" t="s">
        <v>390</v>
      </c>
      <c r="D844" s="174"/>
      <c r="E844" s="174"/>
      <c r="F844" s="174"/>
      <c r="G844" s="112"/>
      <c r="H844" s="31"/>
      <c r="I844" s="675"/>
      <c r="J844" s="31"/>
      <c r="K844" s="349"/>
      <c r="L844" s="349"/>
      <c r="M844" s="349"/>
      <c r="N844" s="421"/>
    </row>
    <row r="845" spans="2:14">
      <c r="B845" s="420"/>
      <c r="C845" s="420"/>
      <c r="D845" s="174"/>
      <c r="E845" s="174"/>
      <c r="F845" s="174"/>
      <c r="G845" s="112"/>
      <c r="H845" s="31"/>
      <c r="I845" s="675"/>
      <c r="J845" s="31"/>
      <c r="K845" s="349"/>
      <c r="L845" s="349"/>
      <c r="M845" s="349"/>
      <c r="N845" s="421"/>
    </row>
    <row r="846" spans="2:14">
      <c r="B846" s="420"/>
      <c r="C846" s="420"/>
      <c r="D846" s="174"/>
      <c r="E846" s="174"/>
      <c r="F846" s="174"/>
      <c r="G846" s="112"/>
      <c r="H846" s="31"/>
      <c r="I846" s="675"/>
      <c r="J846" s="31"/>
      <c r="K846" s="349"/>
      <c r="L846" s="349"/>
      <c r="M846" s="349"/>
      <c r="N846" s="421"/>
    </row>
    <row r="847" spans="2:14">
      <c r="B847" s="420"/>
      <c r="C847" s="471" t="s">
        <v>146</v>
      </c>
      <c r="D847" s="476" t="s">
        <v>393</v>
      </c>
      <c r="E847" s="31"/>
      <c r="F847" s="174"/>
      <c r="G847" s="112"/>
      <c r="H847" s="31"/>
      <c r="I847" s="675"/>
      <c r="J847" s="31"/>
      <c r="K847" s="349"/>
      <c r="L847" s="349"/>
      <c r="M847" s="349"/>
      <c r="N847" s="421"/>
    </row>
    <row r="848" spans="2:14">
      <c r="B848" s="420"/>
      <c r="C848" s="688"/>
      <c r="D848" s="477" t="s">
        <v>394</v>
      </c>
      <c r="E848" s="31"/>
      <c r="F848" s="174"/>
      <c r="G848" s="112"/>
      <c r="H848" s="31"/>
      <c r="I848" s="675"/>
      <c r="J848" s="31"/>
      <c r="K848" s="349"/>
      <c r="L848" s="349"/>
      <c r="M848" s="349"/>
      <c r="N848" s="421"/>
    </row>
    <row r="849" spans="2:19">
      <c r="B849" s="420"/>
      <c r="C849" s="420"/>
      <c r="D849" s="31"/>
      <c r="E849" s="31"/>
      <c r="F849" s="174"/>
      <c r="G849" s="112"/>
      <c r="H849" s="31"/>
      <c r="I849" s="675"/>
      <c r="J849" s="31"/>
      <c r="K849" s="349"/>
      <c r="L849" s="349"/>
      <c r="M849" s="349"/>
      <c r="N849" s="421"/>
    </row>
    <row r="850" spans="2:19" ht="18.75">
      <c r="B850" s="420"/>
      <c r="C850" s="660" t="s">
        <v>385</v>
      </c>
      <c r="D850" s="31"/>
      <c r="E850" s="31"/>
      <c r="F850" s="174"/>
      <c r="G850" s="112"/>
      <c r="H850" s="31"/>
      <c r="I850" s="675"/>
      <c r="J850" s="31"/>
      <c r="K850" s="349"/>
      <c r="L850" s="349"/>
      <c r="M850" s="349"/>
      <c r="N850" s="421"/>
    </row>
    <row r="851" spans="2:19" ht="17.25">
      <c r="B851" s="420"/>
      <c r="C851" s="665" t="s">
        <v>386</v>
      </c>
      <c r="D851" s="31"/>
      <c r="E851" s="31"/>
      <c r="F851" s="174"/>
      <c r="G851" s="112"/>
      <c r="H851" s="31"/>
      <c r="I851" s="675"/>
      <c r="J851" s="31"/>
      <c r="K851" s="349"/>
      <c r="L851" s="349"/>
      <c r="M851" s="349"/>
      <c r="N851" s="421"/>
    </row>
    <row r="852" spans="2:19">
      <c r="B852" s="420"/>
      <c r="C852" s="420"/>
      <c r="D852" s="31"/>
      <c r="E852" s="31"/>
      <c r="F852" s="174"/>
      <c r="G852" s="112"/>
      <c r="H852" s="31"/>
      <c r="I852" s="675"/>
      <c r="J852" s="31"/>
      <c r="K852" s="349"/>
      <c r="L852" s="349"/>
      <c r="M852" s="349"/>
      <c r="N852" s="421"/>
    </row>
    <row r="853" spans="2:19" ht="17.25">
      <c r="B853" s="420"/>
      <c r="C853" s="689" t="s">
        <v>757</v>
      </c>
      <c r="D853" s="648">
        <f>E157</f>
        <v>2.2142857142857144</v>
      </c>
      <c r="E853" s="649" t="s">
        <v>3</v>
      </c>
      <c r="F853" s="174"/>
      <c r="G853" s="112"/>
      <c r="H853" s="31"/>
      <c r="I853" s="675"/>
      <c r="J853" s="31"/>
      <c r="K853" s="349"/>
      <c r="L853" s="349"/>
      <c r="M853" s="349"/>
      <c r="N853" s="421"/>
    </row>
    <row r="854" spans="2:19" ht="15">
      <c r="B854" s="420"/>
      <c r="C854" s="690"/>
      <c r="D854" s="650" t="s">
        <v>391</v>
      </c>
      <c r="E854" s="651"/>
      <c r="F854" s="174"/>
      <c r="G854" s="112"/>
      <c r="H854" s="31"/>
      <c r="I854" s="675"/>
      <c r="J854" s="31"/>
      <c r="K854" s="349"/>
      <c r="L854" s="349"/>
      <c r="M854" s="349"/>
      <c r="N854" s="421"/>
    </row>
    <row r="855" spans="2:19" ht="17.25">
      <c r="B855" s="420"/>
      <c r="C855" s="691" t="s">
        <v>758</v>
      </c>
      <c r="D855" s="652">
        <v>1</v>
      </c>
      <c r="E855" s="692"/>
      <c r="F855" s="642"/>
      <c r="G855" s="677"/>
      <c r="H855" s="576"/>
      <c r="I855" s="678"/>
      <c r="J855" s="31"/>
      <c r="K855" s="349"/>
      <c r="L855" s="349"/>
      <c r="M855" s="349"/>
      <c r="N855" s="421"/>
    </row>
    <row r="856" spans="2:19">
      <c r="B856" s="420"/>
      <c r="F856" s="174"/>
      <c r="G856" s="112"/>
      <c r="H856" s="31"/>
      <c r="I856" s="112"/>
      <c r="J856" s="31"/>
      <c r="K856" s="349"/>
      <c r="L856" s="349"/>
      <c r="M856" s="349"/>
      <c r="N856" s="421"/>
    </row>
    <row r="857" spans="2:19" ht="17.25" customHeight="1">
      <c r="B857" s="420"/>
      <c r="C857" s="1049" t="s">
        <v>751</v>
      </c>
      <c r="D857" s="1049"/>
      <c r="E857" s="1049"/>
      <c r="F857" s="1049"/>
      <c r="G857" s="667" t="s">
        <v>382</v>
      </c>
      <c r="H857" s="632">
        <f>G307</f>
        <v>28.414222031250002</v>
      </c>
      <c r="I857" s="668" t="s">
        <v>59</v>
      </c>
      <c r="J857" s="31"/>
      <c r="K857" s="349"/>
      <c r="L857" s="349"/>
      <c r="M857" s="349"/>
      <c r="N857" s="421"/>
    </row>
    <row r="858" spans="2:19" ht="16.5">
      <c r="B858" s="420"/>
      <c r="C858" s="1032" t="s">
        <v>752</v>
      </c>
      <c r="D858" s="1032"/>
      <c r="E858" s="1032"/>
      <c r="F858" s="1032"/>
      <c r="G858" s="669" t="s">
        <v>381</v>
      </c>
      <c r="H858" s="632">
        <f>0.3*H738</f>
        <v>36.938337332160827</v>
      </c>
      <c r="I858" s="668" t="s">
        <v>46</v>
      </c>
      <c r="J858" s="31"/>
      <c r="K858" s="349"/>
      <c r="L858" s="349"/>
      <c r="M858" s="349"/>
      <c r="N858" s="421"/>
    </row>
    <row r="859" spans="2:19">
      <c r="B859" s="420"/>
      <c r="D859" s="177"/>
      <c r="E859" s="174"/>
      <c r="F859" s="174"/>
      <c r="J859" s="31"/>
      <c r="K859" s="349"/>
      <c r="L859" s="349"/>
      <c r="M859" s="349"/>
      <c r="N859" s="421"/>
    </row>
    <row r="860" spans="2:19" ht="15.75">
      <c r="B860" s="420"/>
      <c r="C860" s="581"/>
      <c r="D860" s="680"/>
      <c r="E860" s="141"/>
      <c r="F860" s="141"/>
      <c r="G860" s="681" t="s">
        <v>384</v>
      </c>
      <c r="H860" s="666">
        <v>0.6</v>
      </c>
      <c r="I860" s="552"/>
      <c r="J860" s="31"/>
      <c r="K860" s="349"/>
      <c r="L860" s="349"/>
      <c r="M860" s="349"/>
      <c r="N860" s="421"/>
    </row>
    <row r="861" spans="2:19" ht="17.25">
      <c r="B861" s="420"/>
      <c r="C861" s="1032" t="s">
        <v>770</v>
      </c>
      <c r="D861" s="1032"/>
      <c r="E861" s="1032"/>
      <c r="F861" s="1032"/>
      <c r="G861" s="682" t="s">
        <v>769</v>
      </c>
      <c r="H861" s="647">
        <f>E121</f>
        <v>450</v>
      </c>
      <c r="I861" s="679" t="s">
        <v>6</v>
      </c>
      <c r="J861" s="31"/>
      <c r="K861" s="349"/>
      <c r="L861" s="349"/>
      <c r="M861" s="349"/>
      <c r="N861" s="421"/>
      <c r="P861" s="565" t="s">
        <v>767</v>
      </c>
      <c r="Q861" s="565"/>
      <c r="R861" s="565"/>
      <c r="S861" s="565"/>
    </row>
    <row r="862" spans="2:19" ht="15">
      <c r="B862" s="420"/>
      <c r="C862" s="1032" t="s">
        <v>768</v>
      </c>
      <c r="D862" s="1032"/>
      <c r="E862" s="1032"/>
      <c r="F862" s="1032"/>
      <c r="G862" s="682" t="s">
        <v>145</v>
      </c>
      <c r="H862" s="647">
        <f>0.9*D121</f>
        <v>288</v>
      </c>
      <c r="I862" s="679" t="s">
        <v>6</v>
      </c>
      <c r="J862" s="31"/>
      <c r="K862" s="349"/>
      <c r="L862" s="349"/>
      <c r="M862" s="349"/>
      <c r="N862" s="421"/>
    </row>
    <row r="863" spans="2:19" ht="21" customHeight="1">
      <c r="B863" s="420"/>
      <c r="C863" s="581"/>
      <c r="D863" s="155"/>
      <c r="E863" s="155"/>
      <c r="F863" s="155"/>
      <c r="G863" s="683" t="s">
        <v>392</v>
      </c>
      <c r="H863" s="632">
        <f>0.6*(1-E154/250)</f>
        <v>0.45599999999999996</v>
      </c>
      <c r="I863" s="138"/>
      <c r="J863" s="31"/>
      <c r="K863" s="349"/>
      <c r="L863" s="349"/>
      <c r="M863" s="349"/>
      <c r="N863" s="421"/>
    </row>
    <row r="864" spans="2:19" ht="19.5" customHeight="1">
      <c r="B864" s="420"/>
      <c r="J864" s="31"/>
      <c r="K864" s="349"/>
      <c r="L864" s="349"/>
      <c r="M864" s="349"/>
      <c r="N864" s="421"/>
    </row>
    <row r="865" spans="2:19" ht="15.75">
      <c r="B865" s="470"/>
      <c r="C865" s="1037" t="s">
        <v>756</v>
      </c>
      <c r="D865" s="1038"/>
      <c r="E865" s="1038"/>
      <c r="F865" s="684"/>
      <c r="G865" s="157"/>
      <c r="H865" s="684"/>
      <c r="I865" s="158"/>
      <c r="J865" s="31"/>
      <c r="K865" s="349"/>
      <c r="L865" s="349"/>
      <c r="M865" s="349"/>
      <c r="N865" s="421"/>
    </row>
    <row r="866" spans="2:19" ht="20.100000000000001" customHeight="1">
      <c r="B866" s="420"/>
      <c r="C866" s="505"/>
      <c r="D866" s="576"/>
      <c r="E866" s="685"/>
      <c r="F866" s="576"/>
      <c r="G866" s="686" t="s">
        <v>383</v>
      </c>
      <c r="H866" s="632">
        <f>H860*G155*(H826/100)*H827/1000</f>
        <v>200.19473098330246</v>
      </c>
      <c r="I866" s="687" t="s">
        <v>59</v>
      </c>
      <c r="J866" s="31"/>
      <c r="K866" s="349"/>
      <c r="L866" s="349"/>
      <c r="M866" s="349"/>
      <c r="N866" s="421"/>
    </row>
    <row r="867" spans="2:19">
      <c r="B867" s="420"/>
      <c r="C867" s="31"/>
      <c r="J867" s="31"/>
      <c r="K867" s="349"/>
      <c r="L867" s="349"/>
      <c r="M867" s="349"/>
      <c r="N867" s="421"/>
    </row>
    <row r="868" spans="2:19" ht="15">
      <c r="B868" s="420"/>
      <c r="C868" s="1037" t="s">
        <v>771</v>
      </c>
      <c r="D868" s="1038"/>
      <c r="E868" s="1038"/>
      <c r="F868" s="157"/>
      <c r="G868" s="693"/>
      <c r="H868" s="157"/>
      <c r="I868" s="158"/>
      <c r="J868" s="31"/>
      <c r="K868" s="349"/>
      <c r="L868" s="349"/>
      <c r="M868" s="349"/>
      <c r="N868" s="421"/>
      <c r="P868" s="565" t="s">
        <v>772</v>
      </c>
      <c r="Q868" s="695"/>
      <c r="R868" s="695"/>
      <c r="S868" s="695"/>
    </row>
    <row r="869" spans="2:19" ht="20.100000000000001" customHeight="1">
      <c r="B869" s="471"/>
      <c r="C869" s="505"/>
      <c r="D869" s="576"/>
      <c r="E869" s="576"/>
      <c r="F869" s="576"/>
      <c r="G869" s="694" t="s">
        <v>387</v>
      </c>
      <c r="H869" s="632">
        <f>H861*H862*H863*G157*0.01</f>
        <v>130.85897142857144</v>
      </c>
      <c r="I869" s="687" t="s">
        <v>46</v>
      </c>
      <c r="J869" s="31"/>
      <c r="K869" s="349"/>
      <c r="L869" s="349"/>
      <c r="M869" s="349"/>
      <c r="N869" s="421"/>
    </row>
    <row r="870" spans="2:19">
      <c r="B870" s="472"/>
      <c r="H870" s="31"/>
      <c r="I870" s="31"/>
      <c r="J870" s="31"/>
      <c r="K870" s="349"/>
      <c r="L870" s="349"/>
      <c r="M870" s="349"/>
      <c r="N870" s="421"/>
    </row>
    <row r="871" spans="2:19">
      <c r="B871" s="472"/>
      <c r="C871" s="31"/>
      <c r="D871" s="473"/>
      <c r="E871" s="206"/>
      <c r="F871" s="206"/>
      <c r="H871" s="31"/>
      <c r="I871" s="31"/>
      <c r="J871" s="31"/>
      <c r="K871" s="349"/>
      <c r="L871" s="349"/>
      <c r="M871" s="349"/>
      <c r="N871" s="421"/>
    </row>
    <row r="872" spans="2:19">
      <c r="B872" s="420"/>
      <c r="C872" s="475"/>
      <c r="D872" s="177"/>
      <c r="E872" s="477"/>
      <c r="F872" s="31"/>
      <c r="G872" s="31"/>
      <c r="H872" s="31"/>
      <c r="I872" s="31"/>
      <c r="J872" s="31"/>
      <c r="K872" s="349"/>
      <c r="L872" s="349"/>
      <c r="M872" s="349"/>
      <c r="N872" s="421"/>
    </row>
    <row r="873" spans="2:19" ht="15">
      <c r="B873" s="420"/>
      <c r="C873" s="529" t="s">
        <v>755</v>
      </c>
      <c r="D873" s="463"/>
      <c r="E873" s="463"/>
      <c r="F873" s="463"/>
      <c r="G873" s="463"/>
      <c r="H873" s="463"/>
      <c r="I873" s="463"/>
      <c r="J873" s="31"/>
      <c r="K873" s="349"/>
      <c r="L873" s="349"/>
      <c r="M873" s="349"/>
      <c r="N873" s="421"/>
    </row>
    <row r="874" spans="2:19">
      <c r="B874" s="420"/>
      <c r="C874" s="475"/>
      <c r="D874" s="177"/>
      <c r="E874" s="477"/>
      <c r="F874" s="31"/>
      <c r="G874" s="31"/>
      <c r="H874" s="31"/>
      <c r="I874" s="31"/>
      <c r="J874" s="31"/>
      <c r="K874" s="349"/>
      <c r="L874" s="349"/>
      <c r="M874" s="349"/>
      <c r="N874" s="421"/>
    </row>
    <row r="875" spans="2:19">
      <c r="B875" s="420"/>
      <c r="C875" s="475"/>
      <c r="D875" s="177"/>
      <c r="E875" s="477"/>
      <c r="F875" s="31"/>
      <c r="G875" s="31"/>
      <c r="H875" s="31"/>
      <c r="I875" s="31"/>
      <c r="J875" s="31"/>
      <c r="K875" s="349"/>
      <c r="L875" s="349"/>
      <c r="M875" s="349"/>
      <c r="N875" s="421"/>
    </row>
    <row r="876" spans="2:19" ht="18.75">
      <c r="B876" s="420"/>
      <c r="C876" s="636" t="s">
        <v>753</v>
      </c>
      <c r="D876" s="637"/>
      <c r="E876" s="638"/>
      <c r="F876" s="637"/>
      <c r="G876" s="637"/>
      <c r="H876" s="637"/>
      <c r="I876" s="639"/>
      <c r="J876" s="31"/>
      <c r="K876" s="349"/>
      <c r="L876" s="349"/>
      <c r="M876" s="349"/>
      <c r="N876" s="421"/>
    </row>
    <row r="877" spans="2:19" ht="18">
      <c r="B877" s="420"/>
      <c r="C877" s="640"/>
      <c r="D877" s="641"/>
      <c r="E877" s="642"/>
      <c r="F877" s="643" t="s">
        <v>754</v>
      </c>
      <c r="G877" s="549">
        <f>$H$857/$H$866+$H$858/$H$869</f>
        <v>0.42420884244949908</v>
      </c>
      <c r="H877" s="591" t="s">
        <v>706</v>
      </c>
      <c r="I877" s="549">
        <v>1</v>
      </c>
      <c r="J877" s="31"/>
      <c r="K877" s="349"/>
      <c r="L877" s="349"/>
      <c r="M877" s="349"/>
      <c r="N877" s="421"/>
    </row>
    <row r="878" spans="2:19">
      <c r="B878" s="420"/>
      <c r="C878" s="475"/>
      <c r="D878" s="177"/>
      <c r="E878" s="477"/>
      <c r="F878" s="31"/>
      <c r="G878" s="31"/>
      <c r="H878" s="31"/>
      <c r="I878" s="534">
        <f>G877/I877</f>
        <v>0.42420884244949908</v>
      </c>
      <c r="J878" s="128" t="str">
        <f>IF(G877&lt;=I877,"OK","niespełniony")</f>
        <v>OK</v>
      </c>
      <c r="K878" s="349"/>
      <c r="L878" s="349"/>
      <c r="M878" s="349"/>
      <c r="N878" s="421"/>
    </row>
    <row r="879" spans="2:19">
      <c r="B879" s="420"/>
      <c r="C879" s="475"/>
      <c r="D879" s="177"/>
      <c r="E879" s="477"/>
      <c r="F879" s="31"/>
      <c r="G879" s="31"/>
      <c r="H879" s="31"/>
      <c r="I879" s="31"/>
      <c r="J879" s="31"/>
      <c r="K879" s="349"/>
      <c r="L879" s="349"/>
      <c r="M879" s="349"/>
      <c r="N879" s="421"/>
    </row>
    <row r="880" spans="2:19">
      <c r="B880" s="420"/>
      <c r="C880" s="475"/>
      <c r="D880" s="177"/>
      <c r="E880" s="477"/>
      <c r="F880" s="31"/>
      <c r="G880" s="31"/>
      <c r="H880" s="31"/>
      <c r="I880" s="31"/>
      <c r="J880" s="31"/>
      <c r="K880" s="349"/>
      <c r="L880" s="349"/>
      <c r="M880" s="349"/>
      <c r="N880" s="421"/>
    </row>
    <row r="881" spans="2:14">
      <c r="B881" s="420"/>
      <c r="C881" s="475"/>
      <c r="D881" s="177"/>
      <c r="E881" s="477"/>
      <c r="F881" s="31"/>
      <c r="G881" s="31"/>
      <c r="H881" s="31"/>
      <c r="I881" s="31"/>
      <c r="J881" s="31"/>
      <c r="K881" s="349"/>
      <c r="L881" s="349"/>
      <c r="M881" s="349"/>
      <c r="N881" s="421"/>
    </row>
    <row r="882" spans="2:14">
      <c r="B882" s="420"/>
      <c r="C882" s="475"/>
      <c r="D882" s="177"/>
      <c r="E882" s="477"/>
      <c r="F882" s="31"/>
      <c r="G882" s="31"/>
      <c r="H882" s="31"/>
      <c r="I882" s="31"/>
      <c r="J882" s="31"/>
      <c r="K882" s="349"/>
      <c r="L882" s="349"/>
      <c r="M882" s="349"/>
      <c r="N882" s="421"/>
    </row>
    <row r="883" spans="2:14">
      <c r="B883" s="420"/>
      <c r="C883" s="475"/>
      <c r="D883" s="177"/>
      <c r="E883" s="477"/>
      <c r="F883" s="31"/>
      <c r="G883" s="31"/>
      <c r="H883" s="31"/>
      <c r="I883" s="31"/>
      <c r="J883" s="31"/>
      <c r="K883" s="349"/>
      <c r="L883" s="349"/>
      <c r="M883" s="349"/>
      <c r="N883" s="421"/>
    </row>
    <row r="884" spans="2:14">
      <c r="B884" s="420"/>
      <c r="C884" s="475"/>
      <c r="D884" s="177"/>
      <c r="E884" s="477"/>
      <c r="F884" s="31"/>
      <c r="G884" s="31"/>
      <c r="H884" s="31"/>
      <c r="I884" s="31"/>
      <c r="J884" s="31"/>
      <c r="K884" s="349"/>
      <c r="L884" s="349"/>
      <c r="M884" s="349"/>
      <c r="N884" s="421"/>
    </row>
    <row r="885" spans="2:14" ht="30" customHeight="1">
      <c r="B885" s="420"/>
      <c r="C885" s="7" t="s">
        <v>148</v>
      </c>
      <c r="D885" s="8"/>
      <c r="E885" s="8"/>
      <c r="F885" s="8"/>
      <c r="G885" s="8"/>
      <c r="H885" s="8"/>
      <c r="I885" s="8"/>
      <c r="J885" s="8"/>
      <c r="K885" s="349"/>
      <c r="L885" s="349"/>
      <c r="M885" s="349"/>
      <c r="N885" s="421"/>
    </row>
    <row r="886" spans="2:14">
      <c r="B886" s="420"/>
      <c r="C886" s="475"/>
      <c r="D886" s="177"/>
      <c r="E886" s="477"/>
      <c r="F886" s="31"/>
      <c r="G886" s="31"/>
      <c r="H886" s="31"/>
      <c r="I886" s="31"/>
      <c r="J886" s="31"/>
      <c r="K886" s="349"/>
      <c r="L886" s="349"/>
      <c r="M886" s="349"/>
      <c r="N886" s="421"/>
    </row>
    <row r="887" spans="2:14" ht="15">
      <c r="B887" s="420"/>
      <c r="C887" s="475" t="s">
        <v>395</v>
      </c>
      <c r="D887" s="163">
        <f>G337/2</f>
        <v>321.64990453125006</v>
      </c>
      <c r="E887" s="34" t="s">
        <v>46</v>
      </c>
      <c r="F887" s="31"/>
      <c r="G887" s="31"/>
      <c r="H887" s="31"/>
      <c r="I887" s="31"/>
      <c r="J887" s="31"/>
      <c r="K887" s="349"/>
      <c r="L887" s="349"/>
      <c r="M887" s="349"/>
      <c r="N887" s="421"/>
    </row>
    <row r="888" spans="2:14" ht="15">
      <c r="B888" s="420"/>
      <c r="C888" s="475" t="s">
        <v>396</v>
      </c>
      <c r="D888" s="163">
        <f>G333/(E121+E129)*1000</f>
        <v>132.95593272379912</v>
      </c>
      <c r="E888" s="34" t="s">
        <v>46</v>
      </c>
      <c r="F888" s="31"/>
      <c r="G888" s="31"/>
      <c r="H888" s="31"/>
      <c r="I888" s="31"/>
      <c r="J888" s="31"/>
      <c r="K888" s="349"/>
      <c r="L888" s="349"/>
      <c r="M888" s="349"/>
      <c r="N888" s="421"/>
    </row>
    <row r="889" spans="2:14" ht="3.75" customHeight="1">
      <c r="B889" s="420"/>
      <c r="C889" s="475"/>
      <c r="D889" s="163"/>
      <c r="E889" s="34"/>
      <c r="F889" s="31"/>
      <c r="G889" s="31"/>
      <c r="H889" s="31"/>
      <c r="I889" s="31"/>
      <c r="J889" s="31"/>
      <c r="K889" s="349"/>
      <c r="L889" s="349"/>
      <c r="M889" s="349"/>
      <c r="N889" s="421"/>
    </row>
    <row r="890" spans="2:14" ht="15">
      <c r="B890" s="420"/>
      <c r="C890" s="475" t="s">
        <v>397</v>
      </c>
      <c r="D890" s="163">
        <f>D887+D888</f>
        <v>454.60583725504921</v>
      </c>
      <c r="E890" s="34" t="s">
        <v>46</v>
      </c>
      <c r="F890" s="31"/>
      <c r="G890" s="31"/>
      <c r="H890" s="31"/>
      <c r="I890" s="31"/>
      <c r="J890" s="31"/>
      <c r="K890" s="349"/>
      <c r="L890" s="349"/>
      <c r="M890" s="349"/>
      <c r="N890" s="421"/>
    </row>
    <row r="891" spans="2:14">
      <c r="B891" s="420"/>
      <c r="C891" s="475"/>
      <c r="D891" s="177"/>
      <c r="E891" s="477"/>
      <c r="F891" s="31"/>
      <c r="G891" s="31"/>
      <c r="H891" s="31"/>
      <c r="I891" s="31"/>
      <c r="J891" s="31"/>
      <c r="K891" s="349"/>
      <c r="L891" s="349"/>
      <c r="M891" s="349"/>
      <c r="N891" s="421"/>
    </row>
    <row r="892" spans="2:14">
      <c r="B892" s="420"/>
      <c r="C892" s="700" t="s">
        <v>776</v>
      </c>
      <c r="D892" s="698"/>
      <c r="E892" s="699"/>
      <c r="F892" s="463"/>
      <c r="G892" s="463"/>
      <c r="H892" s="31"/>
      <c r="I892" s="31"/>
      <c r="J892" s="31"/>
      <c r="K892" s="349"/>
      <c r="L892" s="349"/>
      <c r="M892" s="349"/>
      <c r="N892" s="421"/>
    </row>
    <row r="893" spans="2:14" ht="16.5">
      <c r="B893" s="420"/>
      <c r="C893" s="475"/>
      <c r="D893" s="181" t="s">
        <v>398</v>
      </c>
      <c r="E893" s="24">
        <f>D890/(D129*E129/100)</f>
        <v>22.284599865443589</v>
      </c>
      <c r="F893" s="176" t="s">
        <v>71</v>
      </c>
      <c r="G893" s="206"/>
      <c r="H893" s="31"/>
      <c r="I893" s="31"/>
      <c r="J893" s="31"/>
      <c r="K893" s="349"/>
      <c r="L893" s="349"/>
      <c r="M893" s="349"/>
      <c r="N893" s="421"/>
    </row>
    <row r="894" spans="2:14" ht="16.5">
      <c r="B894" s="420"/>
      <c r="C894" s="475"/>
      <c r="D894" s="183" t="s">
        <v>399</v>
      </c>
      <c r="E894" s="33">
        <f>$H$739/($F$133*$E$129/100)</f>
        <v>4.6654418538223457</v>
      </c>
      <c r="F894" s="184" t="s">
        <v>71</v>
      </c>
      <c r="G894" s="186" t="s">
        <v>149</v>
      </c>
      <c r="H894" s="33">
        <f>0.9*$G$180/$E$181</f>
        <v>38.880000000000003</v>
      </c>
      <c r="I894" s="185" t="s">
        <v>71</v>
      </c>
      <c r="J894" s="31"/>
      <c r="K894" s="349"/>
      <c r="L894" s="349"/>
      <c r="M894" s="349"/>
      <c r="N894" s="421"/>
    </row>
    <row r="895" spans="2:14" ht="16.5">
      <c r="B895" s="420"/>
      <c r="C895" s="31"/>
      <c r="D895" s="181" t="s">
        <v>400</v>
      </c>
      <c r="E895" s="24">
        <f>H739/(F133*E129/100)</f>
        <v>4.6654418538223457</v>
      </c>
      <c r="F895" s="176" t="s">
        <v>71</v>
      </c>
      <c r="G895" s="31"/>
      <c r="H895" s="31"/>
      <c r="I895" s="31"/>
      <c r="J895" s="31"/>
      <c r="K895" s="349"/>
      <c r="L895" s="349"/>
      <c r="M895" s="349"/>
      <c r="N895" s="421"/>
    </row>
    <row r="896" spans="2:14">
      <c r="B896" s="478"/>
      <c r="C896" s="31"/>
      <c r="D896" s="31"/>
      <c r="E896" s="206"/>
      <c r="F896" s="206"/>
      <c r="G896" s="206"/>
      <c r="H896" s="206"/>
      <c r="I896" s="206"/>
      <c r="J896" s="31"/>
      <c r="K896" s="349"/>
      <c r="L896" s="349"/>
      <c r="M896" s="349"/>
      <c r="N896" s="421"/>
    </row>
    <row r="897" spans="2:14" ht="16.5">
      <c r="B897" s="478"/>
      <c r="C897" s="31"/>
      <c r="D897" s="183" t="s">
        <v>401</v>
      </c>
      <c r="E897" s="33">
        <f>($E$894^2+3*($E$895^2+$E$893^2))^0.5</f>
        <v>39.709892523833076</v>
      </c>
      <c r="F897" s="184" t="s">
        <v>71</v>
      </c>
      <c r="G897" s="186" t="s">
        <v>149</v>
      </c>
      <c r="H897" s="33">
        <f>$G$180/$E$181</f>
        <v>43.2</v>
      </c>
      <c r="I897" s="185" t="s">
        <v>71</v>
      </c>
      <c r="J897" s="31"/>
      <c r="K897" s="349"/>
      <c r="L897" s="349"/>
      <c r="M897" s="349"/>
      <c r="N897" s="421"/>
    </row>
    <row r="898" spans="2:14">
      <c r="B898" s="478"/>
      <c r="C898" s="206"/>
      <c r="D898" s="206"/>
      <c r="E898" s="206"/>
      <c r="F898" s="206"/>
      <c r="G898" s="206"/>
      <c r="H898" s="206"/>
      <c r="I898" s="206"/>
      <c r="J898" s="31"/>
      <c r="K898" s="349"/>
      <c r="L898" s="349"/>
      <c r="M898" s="349"/>
      <c r="N898" s="421"/>
    </row>
    <row r="899" spans="2:14" ht="30" customHeight="1">
      <c r="B899" s="478"/>
      <c r="C899" s="7" t="s">
        <v>405</v>
      </c>
      <c r="D899" s="8"/>
      <c r="E899" s="8"/>
      <c r="F899" s="8"/>
      <c r="G899" s="8"/>
      <c r="H899" s="8"/>
      <c r="I899" s="8"/>
      <c r="J899" s="8"/>
      <c r="K899" s="349"/>
      <c r="L899" s="349"/>
      <c r="M899" s="349"/>
      <c r="N899" s="421"/>
    </row>
    <row r="900" spans="2:14">
      <c r="B900" s="478"/>
      <c r="C900" s="31"/>
      <c r="D900" s="31"/>
      <c r="E900" s="31"/>
      <c r="F900" s="206"/>
      <c r="G900" s="473"/>
      <c r="H900" s="206"/>
      <c r="I900" s="206"/>
      <c r="J900" s="31"/>
      <c r="K900" s="349"/>
      <c r="L900" s="349"/>
      <c r="M900" s="349"/>
      <c r="N900" s="421"/>
    </row>
    <row r="901" spans="2:14" ht="15.75">
      <c r="B901" s="478"/>
      <c r="C901" s="187" t="s">
        <v>192</v>
      </c>
      <c r="D901" s="241">
        <f>E171</f>
        <v>460</v>
      </c>
      <c r="E901" s="206" t="s">
        <v>3</v>
      </c>
      <c r="F901" s="31"/>
      <c r="G901" s="187" t="s">
        <v>193</v>
      </c>
      <c r="H901" s="241">
        <f>E171*(D121-G146-G121)/(D129-G146)</f>
        <v>360.95693779904309</v>
      </c>
      <c r="I901" s="206" t="s">
        <v>3</v>
      </c>
      <c r="J901" s="31"/>
      <c r="K901" s="349"/>
      <c r="L901" s="349"/>
      <c r="M901" s="349"/>
      <c r="N901" s="421"/>
    </row>
    <row r="902" spans="2:14">
      <c r="B902" s="478"/>
      <c r="C902" s="31"/>
      <c r="D902" s="31"/>
      <c r="E902" s="31"/>
      <c r="F902" s="31"/>
      <c r="G902" s="31"/>
      <c r="H902" s="31"/>
      <c r="I902" s="31"/>
      <c r="J902" s="31"/>
      <c r="K902" s="349"/>
      <c r="L902" s="426"/>
      <c r="M902" s="453"/>
      <c r="N902" s="421"/>
    </row>
    <row r="903" spans="2:14" ht="15">
      <c r="B903" s="478"/>
      <c r="C903" s="725" t="s">
        <v>406</v>
      </c>
      <c r="D903" s="707"/>
      <c r="E903" s="707"/>
      <c r="F903" s="726"/>
      <c r="G903" s="727"/>
      <c r="H903" s="728"/>
      <c r="I903" s="707"/>
      <c r="J903" s="707"/>
      <c r="K903" s="349"/>
      <c r="N903" s="421"/>
    </row>
    <row r="904" spans="2:14">
      <c r="B904" s="478"/>
      <c r="C904" s="31"/>
      <c r="D904" s="31"/>
      <c r="E904" s="31"/>
      <c r="F904" s="31"/>
      <c r="G904" s="31"/>
      <c r="H904" s="31"/>
      <c r="I904" s="206"/>
      <c r="J904" s="31"/>
      <c r="K904" s="349"/>
      <c r="L904" s="349"/>
      <c r="M904" s="349"/>
      <c r="N904" s="421"/>
    </row>
    <row r="905" spans="2:14" ht="15">
      <c r="B905" s="478"/>
      <c r="C905" s="123" t="s">
        <v>311</v>
      </c>
      <c r="D905" s="122" t="s">
        <v>313</v>
      </c>
      <c r="E905" s="100"/>
      <c r="F905" s="101"/>
      <c r="G905" s="101"/>
      <c r="H905" s="102" t="s">
        <v>319</v>
      </c>
      <c r="I905" s="103">
        <f>(-E408)*(G176-G154)+(E129*G171*(2*D121-D129)+2*E129*F121*L905+G171*H129*F129)/100</f>
        <v>5201.504681284956</v>
      </c>
      <c r="J905" s="104" t="s">
        <v>46</v>
      </c>
      <c r="K905" s="349"/>
      <c r="L905" s="479">
        <f>G171*(D121-G146-G121)/(D129-G146)</f>
        <v>36.095693779904309</v>
      </c>
      <c r="M905" s="453" t="s">
        <v>462</v>
      </c>
      <c r="N905" s="421"/>
    </row>
    <row r="906" spans="2:14" ht="17.25">
      <c r="B906" s="478"/>
      <c r="C906" s="105"/>
      <c r="D906" s="106" t="s">
        <v>314</v>
      </c>
      <c r="E906" s="107" t="s">
        <v>315</v>
      </c>
      <c r="F906" s="108"/>
      <c r="G906" s="108"/>
      <c r="H906" s="109" t="s">
        <v>318</v>
      </c>
      <c r="I906" s="131">
        <f>(E121*0.5*G154+2*E129*G171)/10</f>
        <v>208.6</v>
      </c>
      <c r="J906" s="110" t="s">
        <v>73</v>
      </c>
      <c r="K906" s="349"/>
      <c r="L906" s="349"/>
      <c r="M906" s="349"/>
      <c r="N906" s="421"/>
    </row>
    <row r="907" spans="2:14" ht="17.25">
      <c r="B907" s="478"/>
      <c r="C907" s="105"/>
      <c r="D907" s="106" t="s">
        <v>314</v>
      </c>
      <c r="E907" s="111" t="s">
        <v>402</v>
      </c>
      <c r="F907" s="108"/>
      <c r="G907" s="108"/>
      <c r="H907" s="187"/>
      <c r="I907" s="131"/>
      <c r="J907" s="110"/>
      <c r="K907" s="349"/>
      <c r="L907" s="349"/>
      <c r="M907" s="349"/>
      <c r="N907" s="421"/>
    </row>
    <row r="908" spans="2:14" ht="17.25" thickBot="1">
      <c r="B908" s="478"/>
      <c r="C908" s="105"/>
      <c r="D908" s="106" t="s">
        <v>314</v>
      </c>
      <c r="E908" s="130" t="s">
        <v>403</v>
      </c>
      <c r="F908" s="108"/>
      <c r="G908" s="108"/>
      <c r="H908" s="187"/>
      <c r="I908" s="131"/>
      <c r="J908" s="110"/>
      <c r="K908" s="349"/>
      <c r="L908" s="349"/>
      <c r="M908" s="349"/>
      <c r="N908" s="421"/>
    </row>
    <row r="909" spans="2:14" ht="15.75" thickBot="1">
      <c r="B909" s="478"/>
      <c r="C909" s="114"/>
      <c r="D909" s="37"/>
      <c r="E909" s="37"/>
      <c r="F909" s="117"/>
      <c r="G909" s="117"/>
      <c r="H909" s="98" t="s">
        <v>404</v>
      </c>
      <c r="I909" s="17">
        <f>I905/I906</f>
        <v>24.935305279410144</v>
      </c>
      <c r="J909" s="99" t="s">
        <v>4</v>
      </c>
      <c r="K909" s="349"/>
      <c r="L909" s="480"/>
      <c r="M909" s="480"/>
      <c r="N909" s="421"/>
    </row>
    <row r="910" spans="2:14">
      <c r="B910" s="478"/>
      <c r="C910" s="206"/>
      <c r="D910" s="206"/>
      <c r="E910" s="206"/>
      <c r="F910" s="206"/>
      <c r="G910" s="206"/>
      <c r="H910" s="206"/>
      <c r="I910" s="206"/>
      <c r="J910" s="31"/>
      <c r="K910" s="349"/>
      <c r="L910" s="349"/>
      <c r="M910" s="349"/>
      <c r="N910" s="421"/>
    </row>
    <row r="911" spans="2:14">
      <c r="B911" s="478"/>
      <c r="J911" s="31"/>
      <c r="K911" s="349"/>
      <c r="L911" s="349"/>
      <c r="M911" s="349"/>
      <c r="N911" s="421"/>
    </row>
    <row r="912" spans="2:14">
      <c r="B912" s="478"/>
      <c r="C912" s="700" t="s">
        <v>787</v>
      </c>
      <c r="D912" s="463"/>
      <c r="E912" s="463"/>
      <c r="F912" s="463"/>
      <c r="G912" s="735"/>
      <c r="H912" s="735"/>
      <c r="I912" s="735"/>
      <c r="J912" s="31"/>
      <c r="K912" s="349"/>
      <c r="L912" s="349"/>
      <c r="M912" s="349"/>
      <c r="N912" s="421"/>
    </row>
    <row r="913" spans="2:37" ht="15.75">
      <c r="B913" s="478"/>
      <c r="C913" s="481" t="s">
        <v>194</v>
      </c>
      <c r="D913" s="241">
        <f>$E$154*($D$121-$I$909*10)/($I$909*10*$E$159*$H$717)</f>
        <v>8.4972728745809736</v>
      </c>
      <c r="E913" s="206" t="s">
        <v>3</v>
      </c>
      <c r="F913" s="744" t="s">
        <v>167</v>
      </c>
      <c r="G913" s="187" t="s">
        <v>195</v>
      </c>
      <c r="H913" s="482">
        <f>$E$156</f>
        <v>3.1</v>
      </c>
      <c r="I913" s="206" t="s">
        <v>3</v>
      </c>
      <c r="J913" s="31"/>
      <c r="K913" s="349"/>
      <c r="L913" s="349"/>
      <c r="M913" s="349"/>
      <c r="N913" s="421"/>
    </row>
    <row r="914" spans="2:37" s="733" customFormat="1">
      <c r="B914" s="478"/>
      <c r="J914" s="735"/>
      <c r="K914" s="349"/>
      <c r="L914" s="349"/>
      <c r="M914" s="349"/>
      <c r="N914" s="421"/>
      <c r="O914" s="740"/>
      <c r="P914" s="739"/>
      <c r="Q914" s="739"/>
      <c r="R914" s="739"/>
      <c r="S914" s="739"/>
      <c r="T914" s="739"/>
      <c r="U914" s="739"/>
      <c r="V914" s="739"/>
      <c r="W914" s="739"/>
      <c r="X914" s="739"/>
      <c r="Y914" s="739"/>
      <c r="Z914" s="739"/>
      <c r="AA914" s="739"/>
      <c r="AB914" s="739"/>
      <c r="AC914" s="739"/>
      <c r="AD914" s="739"/>
      <c r="AE914" s="739"/>
      <c r="AF914" s="739"/>
      <c r="AG914" s="739"/>
      <c r="AH914" s="739"/>
      <c r="AI914" s="739"/>
      <c r="AJ914" s="739"/>
      <c r="AK914" s="739"/>
    </row>
    <row r="915" spans="2:37" s="733" customFormat="1">
      <c r="B915" s="478"/>
      <c r="J915" s="735"/>
      <c r="K915" s="349"/>
      <c r="L915" s="349"/>
      <c r="M915" s="349"/>
      <c r="N915" s="421"/>
      <c r="O915" s="740"/>
      <c r="P915" s="739"/>
      <c r="Q915" s="739"/>
      <c r="R915" s="739"/>
      <c r="S915" s="739"/>
      <c r="T915" s="739"/>
      <c r="U915" s="739"/>
      <c r="V915" s="739"/>
      <c r="W915" s="739"/>
      <c r="X915" s="739"/>
      <c r="Y915" s="739"/>
      <c r="Z915" s="739"/>
      <c r="AA915" s="739"/>
      <c r="AB915" s="739"/>
      <c r="AC915" s="739"/>
      <c r="AD915" s="739"/>
      <c r="AE915" s="739"/>
      <c r="AF915" s="739"/>
      <c r="AG915" s="739"/>
      <c r="AH915" s="739"/>
      <c r="AI915" s="739"/>
      <c r="AJ915" s="739"/>
      <c r="AK915" s="739"/>
    </row>
    <row r="916" spans="2:37" s="733" customFormat="1">
      <c r="B916" s="478"/>
      <c r="C916" s="735"/>
      <c r="D916" s="735"/>
      <c r="E916" s="735"/>
      <c r="F916" s="735"/>
      <c r="G916" s="735"/>
      <c r="H916" s="735"/>
      <c r="I916" s="735"/>
      <c r="J916" s="735"/>
      <c r="K916" s="349"/>
      <c r="L916" s="349"/>
      <c r="M916" s="349"/>
      <c r="N916" s="421"/>
      <c r="O916" s="740"/>
      <c r="P916" s="739"/>
      <c r="Q916" s="739"/>
      <c r="R916" s="739"/>
      <c r="S916" s="739"/>
      <c r="T916" s="739"/>
      <c r="U916" s="739"/>
      <c r="V916" s="739"/>
      <c r="W916" s="739"/>
      <c r="X916" s="739"/>
      <c r="Y916" s="739"/>
      <c r="Z916" s="739"/>
      <c r="AA916" s="739"/>
      <c r="AB916" s="739"/>
      <c r="AC916" s="739"/>
      <c r="AD916" s="739"/>
      <c r="AE916" s="739"/>
      <c r="AF916" s="739"/>
      <c r="AG916" s="739"/>
      <c r="AH916" s="739"/>
      <c r="AI916" s="739"/>
      <c r="AJ916" s="739"/>
      <c r="AK916" s="739"/>
    </row>
    <row r="917" spans="2:37">
      <c r="B917" s="478"/>
      <c r="C917" s="31"/>
      <c r="D917" s="31"/>
      <c r="E917" s="31"/>
      <c r="F917" s="31"/>
      <c r="G917" s="31"/>
      <c r="H917" s="31"/>
      <c r="I917" s="31"/>
      <c r="J917" s="31"/>
      <c r="K917" s="349"/>
      <c r="L917" s="349"/>
      <c r="M917" s="349"/>
      <c r="N917" s="421"/>
    </row>
    <row r="918" spans="2:37" ht="15">
      <c r="B918" s="478"/>
      <c r="C918" s="111" t="s">
        <v>407</v>
      </c>
      <c r="D918" s="112"/>
      <c r="E918" s="112"/>
      <c r="F918" s="112"/>
      <c r="G918" s="112"/>
      <c r="H918" s="31"/>
      <c r="I918" s="112"/>
      <c r="J918" s="31"/>
      <c r="K918" s="349"/>
      <c r="L918" s="349"/>
      <c r="M918" s="349"/>
      <c r="N918" s="421"/>
    </row>
    <row r="919" spans="2:37" ht="15">
      <c r="B919" s="478"/>
      <c r="C919" s="1015" t="s">
        <v>165</v>
      </c>
      <c r="D919" s="1016"/>
      <c r="E919" s="1016"/>
      <c r="F919" s="1016"/>
      <c r="G919" s="1016"/>
      <c r="H919" s="1016"/>
      <c r="I919" s="1017"/>
      <c r="J919" s="31"/>
      <c r="K919" s="349"/>
      <c r="L919" s="349"/>
      <c r="M919" s="349"/>
      <c r="N919" s="421"/>
    </row>
    <row r="920" spans="2:37" ht="16.5">
      <c r="B920" s="478"/>
      <c r="C920" s="193" t="s">
        <v>229</v>
      </c>
      <c r="D920" s="188">
        <f>F129*H129*H923/100+2*E129*D129*H923/100+(E408+E409)*(H923-1)</f>
        <v>2330.6507328087196</v>
      </c>
      <c r="E920" s="195" t="s">
        <v>417</v>
      </c>
      <c r="F920" s="42"/>
      <c r="G920" s="218" t="s">
        <v>408</v>
      </c>
      <c r="H920" s="188">
        <f>210000</f>
        <v>210000</v>
      </c>
      <c r="I920" s="219" t="s">
        <v>3</v>
      </c>
      <c r="J920" s="31"/>
      <c r="K920" s="349"/>
      <c r="L920" s="349"/>
      <c r="M920" s="349"/>
      <c r="N920" s="421"/>
    </row>
    <row r="921" spans="2:37" ht="18.75">
      <c r="B921" s="478"/>
      <c r="C921" s="196" t="s">
        <v>92</v>
      </c>
      <c r="D921" s="190">
        <f>E121/20</f>
        <v>22.5</v>
      </c>
      <c r="E921" s="198" t="s">
        <v>4</v>
      </c>
      <c r="F921" s="31"/>
      <c r="G921" s="217" t="s">
        <v>409</v>
      </c>
      <c r="H921" s="190">
        <v>1</v>
      </c>
      <c r="I921" s="110"/>
      <c r="J921" s="31"/>
      <c r="K921" s="349"/>
      <c r="L921" s="349"/>
      <c r="M921" s="349"/>
      <c r="N921" s="421"/>
    </row>
    <row r="922" spans="2:37" ht="16.5">
      <c r="B922" s="478"/>
      <c r="C922" s="196" t="s">
        <v>412</v>
      </c>
      <c r="D922" s="190">
        <f>D924+D925</f>
        <v>10955480.239609193</v>
      </c>
      <c r="E922" s="198" t="s">
        <v>418</v>
      </c>
      <c r="F922" s="31"/>
      <c r="G922" s="181" t="s">
        <v>410</v>
      </c>
      <c r="H922" s="190">
        <f>H920/E158</f>
        <v>5.384615384615385</v>
      </c>
      <c r="I922" s="110"/>
      <c r="J922" s="31"/>
      <c r="K922" s="349"/>
      <c r="L922" s="349"/>
      <c r="M922" s="349"/>
      <c r="N922" s="421"/>
    </row>
    <row r="923" spans="2:37" ht="16.5">
      <c r="B923" s="478"/>
      <c r="C923" s="196" t="s">
        <v>413</v>
      </c>
      <c r="D923" s="190">
        <f>SQRT(D922)</f>
        <v>3309.9063792816246</v>
      </c>
      <c r="E923" s="198" t="s">
        <v>417</v>
      </c>
      <c r="F923" s="31"/>
      <c r="G923" s="170" t="s">
        <v>411</v>
      </c>
      <c r="H923" s="190">
        <f>H922*(1+H921)</f>
        <v>10.76923076923077</v>
      </c>
      <c r="I923" s="110"/>
      <c r="J923" s="31"/>
      <c r="K923" s="349"/>
      <c r="L923" s="349"/>
      <c r="M923" s="349"/>
      <c r="N923" s="421"/>
    </row>
    <row r="924" spans="2:37" ht="17.25">
      <c r="B924" s="478"/>
      <c r="C924" s="196" t="s">
        <v>414</v>
      </c>
      <c r="D924" s="190">
        <f>D920*D920</f>
        <v>5431932.8383418219</v>
      </c>
      <c r="E924" s="198" t="s">
        <v>418</v>
      </c>
      <c r="F924" s="31"/>
      <c r="G924" s="31"/>
      <c r="H924" s="31"/>
      <c r="I924" s="110"/>
      <c r="J924" s="31"/>
      <c r="K924" s="349"/>
      <c r="L924" s="349"/>
      <c r="M924" s="349"/>
      <c r="N924" s="421"/>
    </row>
    <row r="925" spans="2:37" ht="17.25">
      <c r="B925" s="478"/>
      <c r="C925" s="196" t="s">
        <v>415</v>
      </c>
      <c r="D925" s="190">
        <f>2*E121*((F129*H129*H923*(D121+E129/2)+2*E129*D129*H923*(D121-E129/2))/10000+(H923-1)*(E408*G145+E409*(D121-G146))/100)</f>
        <v>5523547.4012673711</v>
      </c>
      <c r="E925" s="198" t="s">
        <v>418</v>
      </c>
      <c r="F925" s="31"/>
      <c r="G925" s="31"/>
      <c r="H925" s="31"/>
      <c r="I925" s="110"/>
      <c r="J925" s="31"/>
      <c r="K925" s="349"/>
      <c r="L925" s="349"/>
      <c r="M925" s="349"/>
      <c r="N925" s="421"/>
    </row>
    <row r="926" spans="2:37" ht="15">
      <c r="B926" s="478"/>
      <c r="C926" s="196" t="s">
        <v>416</v>
      </c>
      <c r="D926" s="190">
        <f>(D923-D920)/(2*D921)</f>
        <v>21.761236588286778</v>
      </c>
      <c r="E926" s="216" t="s">
        <v>4</v>
      </c>
      <c r="F926" s="31"/>
      <c r="G926" s="31"/>
      <c r="H926" s="31"/>
      <c r="I926" s="110"/>
      <c r="J926" s="31"/>
      <c r="K926" s="349"/>
      <c r="L926" s="349"/>
      <c r="M926" s="349"/>
      <c r="N926" s="421"/>
    </row>
    <row r="927" spans="2:37">
      <c r="B927" s="478"/>
      <c r="C927" s="199"/>
      <c r="D927" s="192"/>
      <c r="E927" s="220"/>
      <c r="F927" s="37"/>
      <c r="G927" s="37"/>
      <c r="H927" s="37"/>
      <c r="I927" s="47"/>
      <c r="J927" s="31"/>
      <c r="K927" s="349"/>
      <c r="L927" s="349"/>
      <c r="M927" s="349"/>
      <c r="N927" s="421"/>
    </row>
    <row r="928" spans="2:37" ht="17.25">
      <c r="B928" s="478"/>
      <c r="C928" s="193" t="s">
        <v>419</v>
      </c>
      <c r="D928" s="194">
        <f>D190*H923*(D121+H129/2-L935)^2/100+2*E129*D129*H923*(D129/2+L935-D121)^2/10000</f>
        <v>159991.19880019774</v>
      </c>
      <c r="E928" s="195" t="s">
        <v>418</v>
      </c>
      <c r="F928" s="42"/>
      <c r="G928" s="42"/>
      <c r="H928" s="42"/>
      <c r="I928" s="104"/>
      <c r="J928" s="31"/>
      <c r="K928" s="349"/>
      <c r="L928" s="349"/>
      <c r="M928" s="349"/>
      <c r="N928" s="421"/>
    </row>
    <row r="929" spans="2:14" ht="17.25">
      <c r="B929" s="478"/>
      <c r="C929" s="196" t="s">
        <v>420</v>
      </c>
      <c r="D929" s="197">
        <f>F129*H129*H923/100+(E408+E409)*(H923-1)</f>
        <v>1891.2661174241043</v>
      </c>
      <c r="E929" s="198" t="s">
        <v>418</v>
      </c>
      <c r="F929" s="31"/>
      <c r="G929" s="31"/>
      <c r="H929" s="31"/>
      <c r="I929" s="110"/>
      <c r="J929" s="31"/>
      <c r="K929" s="349"/>
      <c r="L929" s="349"/>
      <c r="M929" s="349"/>
      <c r="N929" s="421"/>
    </row>
    <row r="930" spans="2:14" ht="17.25">
      <c r="B930" s="478"/>
      <c r="C930" s="196" t="s">
        <v>421</v>
      </c>
      <c r="D930" s="197">
        <f>(E408*(H923-1)*(L935-G145)^2+E409*(H923-1)*(D121-G146-L935)^2)/100</f>
        <v>145836.9759830095</v>
      </c>
      <c r="E930" s="198" t="s">
        <v>418</v>
      </c>
      <c r="F930" s="31"/>
      <c r="G930" s="31"/>
      <c r="H930" s="31"/>
      <c r="I930" s="110"/>
      <c r="J930" s="31"/>
      <c r="K930" s="349"/>
      <c r="L930" s="349"/>
      <c r="M930" s="349"/>
      <c r="N930" s="421"/>
    </row>
    <row r="931" spans="2:14" ht="17.25">
      <c r="B931" s="478"/>
      <c r="C931" s="199" t="s">
        <v>422</v>
      </c>
      <c r="D931" s="200">
        <f>E121*L935^3/30000</f>
        <v>154575.96660874164</v>
      </c>
      <c r="E931" s="201" t="s">
        <v>418</v>
      </c>
      <c r="F931" s="37"/>
      <c r="G931" s="37"/>
      <c r="H931" s="37"/>
      <c r="I931" s="47"/>
      <c r="J931" s="31"/>
      <c r="K931" s="349"/>
      <c r="L931" s="349"/>
      <c r="M931" s="349"/>
      <c r="N931" s="421"/>
    </row>
    <row r="932" spans="2:14">
      <c r="B932" s="478"/>
      <c r="C932" s="202"/>
      <c r="D932" s="42"/>
      <c r="E932" s="42"/>
      <c r="F932" s="42"/>
      <c r="G932" s="42"/>
      <c r="H932" s="42"/>
      <c r="I932" s="104"/>
      <c r="J932" s="31"/>
      <c r="K932" s="349"/>
      <c r="L932" s="349"/>
      <c r="M932" s="349"/>
      <c r="N932" s="421"/>
    </row>
    <row r="933" spans="2:14">
      <c r="B933" s="478"/>
      <c r="C933" s="203" t="s">
        <v>425</v>
      </c>
      <c r="D933" s="31"/>
      <c r="E933" s="31"/>
      <c r="F933" s="31"/>
      <c r="G933" s="31"/>
      <c r="H933" s="31"/>
      <c r="I933" s="110"/>
      <c r="J933" s="31"/>
      <c r="K933" s="349"/>
      <c r="L933" s="349"/>
      <c r="M933" s="349"/>
      <c r="N933" s="421"/>
    </row>
    <row r="934" spans="2:14" ht="17.25">
      <c r="B934" s="478"/>
      <c r="C934" s="196" t="s">
        <v>423</v>
      </c>
      <c r="D934" s="204">
        <f>D928+D929+D930+D931</f>
        <v>462295.40750937304</v>
      </c>
      <c r="E934" s="198" t="s">
        <v>418</v>
      </c>
      <c r="F934" s="31"/>
      <c r="G934" s="31"/>
      <c r="H934" s="31"/>
      <c r="I934" s="110"/>
      <c r="J934" s="31"/>
      <c r="K934" s="349"/>
      <c r="L934" s="349"/>
      <c r="M934" s="349"/>
      <c r="N934" s="421"/>
    </row>
    <row r="935" spans="2:14">
      <c r="B935" s="478"/>
      <c r="C935" s="205"/>
      <c r="D935" s="206"/>
      <c r="E935" s="206"/>
      <c r="F935" s="206"/>
      <c r="G935" s="31"/>
      <c r="H935" s="31"/>
      <c r="I935" s="110"/>
      <c r="J935" s="31"/>
      <c r="K935" s="349"/>
      <c r="L935" s="480">
        <f>D926*10</f>
        <v>217.61236588286778</v>
      </c>
      <c r="M935" s="480" t="s">
        <v>6</v>
      </c>
      <c r="N935" s="421"/>
    </row>
    <row r="936" spans="2:14">
      <c r="B936" s="478"/>
      <c r="C936" s="207" t="s">
        <v>424</v>
      </c>
      <c r="D936" s="206"/>
      <c r="E936" s="206"/>
      <c r="F936" s="206"/>
      <c r="G936" s="31"/>
      <c r="H936" s="31"/>
      <c r="I936" s="110"/>
      <c r="J936" s="31"/>
      <c r="K936" s="349"/>
      <c r="L936" s="349"/>
      <c r="M936" s="349"/>
      <c r="N936" s="421"/>
    </row>
    <row r="937" spans="2:14" ht="18.75">
      <c r="B937" s="478"/>
      <c r="C937" s="189" t="s">
        <v>426</v>
      </c>
      <c r="D937" s="24">
        <f>G158*D934/(1+H921)</f>
        <v>901476044.64327741</v>
      </c>
      <c r="E937" s="206" t="s">
        <v>199</v>
      </c>
      <c r="F937" s="31"/>
      <c r="G937" s="31"/>
      <c r="H937" s="31"/>
      <c r="I937" s="110"/>
      <c r="J937" s="31"/>
      <c r="K937" s="349"/>
      <c r="L937" s="349"/>
      <c r="M937" s="349"/>
      <c r="N937" s="421"/>
    </row>
    <row r="938" spans="2:14">
      <c r="B938" s="478"/>
      <c r="C938" s="208"/>
      <c r="D938" s="37"/>
      <c r="E938" s="37"/>
      <c r="F938" s="37"/>
      <c r="G938" s="37"/>
      <c r="H938" s="37"/>
      <c r="I938" s="47"/>
      <c r="J938" s="31"/>
      <c r="K938" s="349"/>
      <c r="L938" s="349"/>
      <c r="M938" s="349"/>
      <c r="N938" s="421"/>
    </row>
    <row r="939" spans="2:14">
      <c r="B939" s="478"/>
      <c r="C939" s="202"/>
      <c r="D939" s="42"/>
      <c r="E939" s="42"/>
      <c r="F939" s="42"/>
      <c r="G939" s="42"/>
      <c r="H939" s="42"/>
      <c r="I939" s="104"/>
      <c r="J939" s="31"/>
      <c r="K939" s="349"/>
      <c r="L939" s="349"/>
      <c r="M939" s="349"/>
      <c r="N939" s="421"/>
    </row>
    <row r="940" spans="2:14" ht="15">
      <c r="B940" s="478"/>
      <c r="C940" s="191" t="s">
        <v>163</v>
      </c>
      <c r="D940" s="221">
        <f>(E239+E220)/100</f>
        <v>1.20904345</v>
      </c>
      <c r="E940" s="209" t="s">
        <v>73</v>
      </c>
      <c r="F940" s="31"/>
      <c r="G940" s="31"/>
      <c r="H940" s="31"/>
      <c r="I940" s="110"/>
      <c r="J940" s="31"/>
      <c r="K940" s="349"/>
      <c r="L940" s="349"/>
      <c r="M940" s="349"/>
      <c r="N940" s="421"/>
    </row>
    <row r="941" spans="2:14" ht="15">
      <c r="B941" s="478"/>
      <c r="C941" s="191" t="s">
        <v>164</v>
      </c>
      <c r="D941" s="221">
        <f>F186*100</f>
        <v>750</v>
      </c>
      <c r="E941" s="209" t="s">
        <v>4</v>
      </c>
      <c r="F941" s="31"/>
      <c r="G941" s="31"/>
      <c r="H941" s="31"/>
      <c r="I941" s="110"/>
      <c r="J941" s="31"/>
      <c r="K941" s="349"/>
      <c r="L941" s="483"/>
      <c r="M941" s="349"/>
      <c r="N941" s="421"/>
    </row>
    <row r="942" spans="2:14">
      <c r="B942" s="478"/>
      <c r="C942" s="210"/>
      <c r="D942" s="31"/>
      <c r="E942" s="31"/>
      <c r="F942" s="31"/>
      <c r="G942" s="31"/>
      <c r="H942" s="31"/>
      <c r="I942" s="110"/>
      <c r="J942" s="31"/>
      <c r="K942" s="349"/>
      <c r="L942" s="349"/>
      <c r="M942" s="349"/>
      <c r="N942" s="421"/>
    </row>
    <row r="943" spans="2:14">
      <c r="B943" s="478"/>
      <c r="C943" s="207" t="s">
        <v>427</v>
      </c>
      <c r="D943" s="197"/>
      <c r="E943" s="198"/>
      <c r="F943" s="31"/>
      <c r="G943" s="31"/>
      <c r="H943" s="31"/>
      <c r="I943" s="110"/>
      <c r="J943" s="31"/>
      <c r="K943" s="349"/>
      <c r="L943" s="349"/>
      <c r="M943" s="349"/>
      <c r="N943" s="421"/>
    </row>
    <row r="944" spans="2:14" ht="15">
      <c r="B944" s="478"/>
      <c r="C944" s="214" t="s">
        <v>428</v>
      </c>
      <c r="D944" s="92">
        <f>5*D940*D941^4/(384*D937)</f>
        <v>5.5254995978587891</v>
      </c>
      <c r="E944" s="215" t="s">
        <v>4</v>
      </c>
      <c r="F944" s="31"/>
      <c r="G944" s="31"/>
      <c r="H944" s="31"/>
      <c r="I944" s="110"/>
      <c r="J944" s="31"/>
      <c r="K944" s="349"/>
      <c r="L944" s="349"/>
      <c r="M944" s="349"/>
      <c r="N944" s="421"/>
    </row>
    <row r="945" spans="2:14" ht="15">
      <c r="B945" s="478"/>
      <c r="C945" s="211"/>
      <c r="D945" s="212"/>
      <c r="E945" s="213"/>
      <c r="F945" s="37"/>
      <c r="G945" s="37"/>
      <c r="H945" s="37"/>
      <c r="I945" s="47"/>
      <c r="J945" s="31"/>
      <c r="K945" s="349"/>
      <c r="L945" s="349"/>
      <c r="M945" s="349"/>
      <c r="N945" s="421"/>
    </row>
    <row r="946" spans="2:14" ht="15">
      <c r="B946" s="478"/>
      <c r="C946" s="1015" t="s">
        <v>166</v>
      </c>
      <c r="D946" s="1016"/>
      <c r="E946" s="1016"/>
      <c r="F946" s="1016"/>
      <c r="G946" s="1016"/>
      <c r="H946" s="1016"/>
      <c r="I946" s="1017"/>
      <c r="J946" s="31"/>
      <c r="K946" s="349"/>
      <c r="L946" s="349"/>
      <c r="M946" s="349"/>
      <c r="N946" s="421"/>
    </row>
    <row r="947" spans="2:14" ht="16.5">
      <c r="B947" s="478"/>
      <c r="C947" s="193" t="s">
        <v>229</v>
      </c>
      <c r="D947" s="194">
        <f>F129*H129*H922/100+(E408+E409)*(H922-1)+2*E129*D129*H923/100</f>
        <v>1354.8583846222054</v>
      </c>
      <c r="E947" s="195" t="s">
        <v>417</v>
      </c>
      <c r="F947" s="42"/>
      <c r="G947" s="222"/>
      <c r="H947" s="222"/>
      <c r="I947" s="223"/>
      <c r="J947" s="31"/>
      <c r="K947" s="349"/>
      <c r="L947" s="349"/>
      <c r="M947" s="349"/>
      <c r="N947" s="421"/>
    </row>
    <row r="948" spans="2:14">
      <c r="B948" s="478"/>
      <c r="C948" s="196" t="s">
        <v>92</v>
      </c>
      <c r="D948" s="224">
        <f>E121/20</f>
        <v>22.5</v>
      </c>
      <c r="E948" s="198" t="s">
        <v>4</v>
      </c>
      <c r="F948" s="31"/>
      <c r="G948" s="206"/>
      <c r="H948" s="206"/>
      <c r="I948" s="225"/>
      <c r="J948" s="31"/>
      <c r="K948" s="349"/>
      <c r="L948" s="349"/>
      <c r="M948" s="349"/>
      <c r="N948" s="421"/>
    </row>
    <row r="949" spans="2:14" ht="16.5">
      <c r="B949" s="478"/>
      <c r="C949" s="196" t="s">
        <v>412</v>
      </c>
      <c r="D949" s="197">
        <f>D951+D952</f>
        <v>4836067.7205715394</v>
      </c>
      <c r="E949" s="198" t="s">
        <v>418</v>
      </c>
      <c r="F949" s="31"/>
      <c r="G949" s="206"/>
      <c r="H949" s="206"/>
      <c r="I949" s="225"/>
      <c r="J949" s="31"/>
      <c r="K949" s="349"/>
      <c r="L949" s="349"/>
      <c r="M949" s="349"/>
      <c r="N949" s="421"/>
    </row>
    <row r="950" spans="2:14" ht="16.5">
      <c r="B950" s="478"/>
      <c r="C950" s="196" t="s">
        <v>413</v>
      </c>
      <c r="D950" s="197">
        <f>SQRT(D949)</f>
        <v>2199.1061185335143</v>
      </c>
      <c r="E950" s="198" t="s">
        <v>417</v>
      </c>
      <c r="F950" s="31"/>
      <c r="G950" s="206"/>
      <c r="H950" s="206"/>
      <c r="I950" s="225"/>
      <c r="J950" s="31"/>
      <c r="K950" s="349"/>
      <c r="L950" s="349"/>
      <c r="M950" s="349"/>
      <c r="N950" s="421"/>
    </row>
    <row r="951" spans="2:14" ht="17.25">
      <c r="B951" s="478"/>
      <c r="C951" s="196" t="s">
        <v>414</v>
      </c>
      <c r="D951" s="197">
        <f>D947*D947</f>
        <v>1835641.2423810919</v>
      </c>
      <c r="E951" s="198" t="s">
        <v>418</v>
      </c>
      <c r="F951" s="31"/>
      <c r="G951" s="206"/>
      <c r="H951" s="206"/>
      <c r="I951" s="225"/>
      <c r="J951" s="31"/>
      <c r="K951" s="349"/>
      <c r="L951" s="349"/>
      <c r="M951" s="349"/>
      <c r="N951" s="421"/>
    </row>
    <row r="952" spans="2:14" ht="17.25">
      <c r="B952" s="478"/>
      <c r="C952" s="196" t="s">
        <v>415</v>
      </c>
      <c r="D952" s="197">
        <f>2*E121*((F129*H129*H922*(D121+E129/2)+2*E129*D129*H922*(D121-E129/2))/10000+(H923-1)*(E408*G145+E409*(D121-G146))/100)</f>
        <v>3000426.4781904477</v>
      </c>
      <c r="E952" s="198" t="s">
        <v>418</v>
      </c>
      <c r="F952" s="31"/>
      <c r="G952" s="206"/>
      <c r="H952" s="206"/>
      <c r="I952" s="225"/>
      <c r="J952" s="31"/>
      <c r="K952" s="349"/>
      <c r="L952" s="349"/>
      <c r="M952" s="349"/>
      <c r="N952" s="421"/>
    </row>
    <row r="953" spans="2:14" ht="15">
      <c r="B953" s="478"/>
      <c r="C953" s="196" t="s">
        <v>416</v>
      </c>
      <c r="D953" s="197">
        <f>(-D947+D950)/(2*D948)</f>
        <v>18.761060753584641</v>
      </c>
      <c r="E953" s="198" t="s">
        <v>4</v>
      </c>
      <c r="F953" s="31"/>
      <c r="G953" s="206"/>
      <c r="H953" s="206"/>
      <c r="I953" s="225"/>
      <c r="J953" s="31"/>
      <c r="K953" s="349"/>
      <c r="L953" s="480">
        <f>D953*10</f>
        <v>187.61060753584641</v>
      </c>
      <c r="M953" s="480" t="s">
        <v>6</v>
      </c>
      <c r="N953" s="421"/>
    </row>
    <row r="954" spans="2:14">
      <c r="B954" s="478"/>
      <c r="C954" s="208"/>
      <c r="D954" s="37"/>
      <c r="E954" s="37"/>
      <c r="F954" s="37"/>
      <c r="G954" s="37"/>
      <c r="H954" s="226"/>
      <c r="I954" s="227"/>
      <c r="J954" s="31"/>
      <c r="K954" s="349"/>
      <c r="L954" s="349"/>
      <c r="M954" s="349"/>
      <c r="N954" s="421"/>
    </row>
    <row r="955" spans="2:14" ht="17.25">
      <c r="B955" s="478"/>
      <c r="C955" s="193" t="s">
        <v>419</v>
      </c>
      <c r="D955" s="228">
        <f>D190*H922*(D121+H129/2-L953)^2/100+2*E129*D129*H922*(D129/2+L953-D121)^2/10000</f>
        <v>127446.98421883433</v>
      </c>
      <c r="E955" s="229" t="s">
        <v>418</v>
      </c>
      <c r="F955" s="42"/>
      <c r="G955" s="42"/>
      <c r="H955" s="222"/>
      <c r="I955" s="223"/>
      <c r="J955" s="31"/>
      <c r="K955" s="349"/>
      <c r="L955" s="349"/>
      <c r="M955" s="349"/>
      <c r="N955" s="421"/>
    </row>
    <row r="956" spans="2:14" ht="17.25">
      <c r="B956" s="478"/>
      <c r="C956" s="196" t="s">
        <v>420</v>
      </c>
      <c r="D956" s="230">
        <f>F129*H129^3*H922/120000+2*E129*(D129^3)*H922/120000</f>
        <v>12026.639423076924</v>
      </c>
      <c r="E956" s="182" t="s">
        <v>418</v>
      </c>
      <c r="F956" s="31"/>
      <c r="G956" s="31"/>
      <c r="H956" s="206"/>
      <c r="I956" s="225"/>
      <c r="J956" s="31"/>
      <c r="K956" s="349"/>
      <c r="L956" s="349"/>
      <c r="M956" s="349"/>
      <c r="N956" s="421"/>
    </row>
    <row r="957" spans="2:14" ht="17.25">
      <c r="B957" s="478"/>
      <c r="C957" s="196" t="s">
        <v>429</v>
      </c>
      <c r="D957" s="230">
        <f>(E408*(H922-1)*(L953-G145)^2+E409*(H922-1)*(D121-G146-L953)^2)/100</f>
        <v>47583.672816437502</v>
      </c>
      <c r="E957" s="182" t="s">
        <v>418</v>
      </c>
      <c r="F957" s="31"/>
      <c r="G957" s="31"/>
      <c r="H957" s="206"/>
      <c r="I957" s="225"/>
      <c r="J957" s="31"/>
      <c r="K957" s="349"/>
      <c r="L957" s="349"/>
      <c r="M957" s="349"/>
      <c r="N957" s="421"/>
    </row>
    <row r="958" spans="2:14" ht="17.25">
      <c r="B958" s="478"/>
      <c r="C958" s="196" t="s">
        <v>422</v>
      </c>
      <c r="D958" s="230">
        <f>E121*L953^3/30000</f>
        <v>99052.040948094858</v>
      </c>
      <c r="E958" s="182" t="s">
        <v>418</v>
      </c>
      <c r="F958" s="31"/>
      <c r="G958" s="31"/>
      <c r="H958" s="206"/>
      <c r="I958" s="225"/>
      <c r="J958" s="31"/>
      <c r="K958" s="349"/>
      <c r="L958" s="349"/>
      <c r="M958" s="349"/>
      <c r="N958" s="421"/>
    </row>
    <row r="959" spans="2:14" ht="16.5">
      <c r="B959" s="478"/>
      <c r="C959" s="199" t="s">
        <v>157</v>
      </c>
      <c r="D959" s="231">
        <f>D957+D958</f>
        <v>146635.71376453235</v>
      </c>
      <c r="E959" s="232" t="s">
        <v>418</v>
      </c>
      <c r="F959" s="37"/>
      <c r="G959" s="37"/>
      <c r="H959" s="226"/>
      <c r="I959" s="227"/>
      <c r="J959" s="31"/>
      <c r="K959" s="349"/>
      <c r="L959" s="349"/>
      <c r="M959" s="349"/>
      <c r="N959" s="421"/>
    </row>
    <row r="960" spans="2:14">
      <c r="B960" s="478"/>
      <c r="C960" s="202"/>
      <c r="D960" s="42"/>
      <c r="E960" s="42"/>
      <c r="F960" s="42"/>
      <c r="G960" s="42"/>
      <c r="H960" s="222"/>
      <c r="I960" s="223"/>
      <c r="J960" s="31"/>
      <c r="K960" s="349"/>
      <c r="L960" s="349"/>
      <c r="M960" s="349"/>
      <c r="N960" s="421"/>
    </row>
    <row r="961" spans="2:14">
      <c r="B961" s="478"/>
      <c r="C961" s="203" t="s">
        <v>425</v>
      </c>
      <c r="D961" s="31"/>
      <c r="E961" s="31"/>
      <c r="F961" s="31"/>
      <c r="G961" s="31"/>
      <c r="H961" s="206"/>
      <c r="I961" s="225"/>
      <c r="J961" s="31"/>
      <c r="K961" s="349"/>
      <c r="L961" s="349"/>
      <c r="M961" s="349"/>
      <c r="N961" s="421"/>
    </row>
    <row r="962" spans="2:14" ht="15">
      <c r="B962" s="478"/>
      <c r="C962" s="196" t="s">
        <v>201</v>
      </c>
      <c r="D962" s="204">
        <f>D955+D956+D957+D958</f>
        <v>286109.33740644361</v>
      </c>
      <c r="E962" s="198" t="s">
        <v>198</v>
      </c>
      <c r="F962" s="31"/>
      <c r="G962" s="31"/>
      <c r="H962" s="206"/>
      <c r="I962" s="225"/>
      <c r="J962" s="31"/>
      <c r="K962" s="349"/>
      <c r="L962" s="349"/>
      <c r="M962" s="349"/>
      <c r="N962" s="421"/>
    </row>
    <row r="963" spans="2:14">
      <c r="B963" s="478"/>
      <c r="C963" s="210"/>
      <c r="D963" s="31"/>
      <c r="E963" s="31"/>
      <c r="F963" s="31"/>
      <c r="G963" s="31"/>
      <c r="H963" s="206"/>
      <c r="I963" s="225"/>
      <c r="J963" s="31"/>
      <c r="K963" s="349"/>
      <c r="L963" s="349"/>
      <c r="M963" s="349"/>
      <c r="N963" s="421"/>
    </row>
    <row r="964" spans="2:14">
      <c r="B964" s="478"/>
      <c r="C964" s="207" t="s">
        <v>430</v>
      </c>
      <c r="D964" s="31"/>
      <c r="E964" s="31"/>
      <c r="F964" s="31"/>
      <c r="G964" s="31"/>
      <c r="H964" s="206"/>
      <c r="I964" s="225"/>
      <c r="J964" s="31"/>
      <c r="K964" s="349"/>
      <c r="L964" s="349"/>
      <c r="M964" s="349"/>
      <c r="N964" s="421"/>
    </row>
    <row r="965" spans="2:14" ht="16.5">
      <c r="B965" s="478"/>
      <c r="C965" s="189" t="s">
        <v>431</v>
      </c>
      <c r="D965" s="24">
        <f>G158*D962</f>
        <v>1115826415.8851302</v>
      </c>
      <c r="E965" s="198" t="s">
        <v>199</v>
      </c>
      <c r="F965" s="31"/>
      <c r="G965" s="31"/>
      <c r="H965" s="206"/>
      <c r="I965" s="225"/>
      <c r="J965" s="31"/>
      <c r="K965" s="349"/>
      <c r="L965" s="349"/>
      <c r="M965" s="349"/>
      <c r="N965" s="421"/>
    </row>
    <row r="966" spans="2:14">
      <c r="B966" s="478"/>
      <c r="C966" s="208"/>
      <c r="D966" s="37"/>
      <c r="E966" s="37"/>
      <c r="F966" s="37"/>
      <c r="G966" s="37"/>
      <c r="H966" s="226"/>
      <c r="I966" s="227"/>
      <c r="J966" s="31"/>
      <c r="K966" s="349"/>
      <c r="L966" s="349"/>
      <c r="M966" s="349"/>
      <c r="N966" s="421"/>
    </row>
    <row r="967" spans="2:14">
      <c r="B967" s="478"/>
      <c r="C967" s="202"/>
      <c r="D967" s="42"/>
      <c r="E967" s="42"/>
      <c r="F967" s="42"/>
      <c r="G967" s="42"/>
      <c r="H967" s="222"/>
      <c r="I967" s="223"/>
      <c r="J967" s="31"/>
      <c r="K967" s="349"/>
      <c r="L967" s="349"/>
      <c r="M967" s="349"/>
      <c r="N967" s="421"/>
    </row>
    <row r="968" spans="2:14" ht="15">
      <c r="B968" s="478"/>
      <c r="C968" s="191" t="s">
        <v>163</v>
      </c>
      <c r="D968" s="221">
        <f>D940</f>
        <v>1.20904345</v>
      </c>
      <c r="E968" s="209" t="s">
        <v>73</v>
      </c>
      <c r="F968" s="31"/>
      <c r="G968" s="31"/>
      <c r="H968" s="206"/>
      <c r="I968" s="225"/>
      <c r="J968" s="31"/>
      <c r="K968" s="349"/>
      <c r="L968" s="349"/>
      <c r="M968" s="349"/>
      <c r="N968" s="421"/>
    </row>
    <row r="969" spans="2:14" ht="15">
      <c r="B969" s="478"/>
      <c r="C969" s="191" t="s">
        <v>164</v>
      </c>
      <c r="D969" s="221">
        <f>D941</f>
        <v>750</v>
      </c>
      <c r="E969" s="209" t="s">
        <v>4</v>
      </c>
      <c r="F969" s="31"/>
      <c r="G969" s="31"/>
      <c r="H969" s="206"/>
      <c r="I969" s="225"/>
      <c r="J969" s="31"/>
      <c r="K969" s="349"/>
      <c r="L969" s="349"/>
      <c r="M969" s="349"/>
      <c r="N969" s="421"/>
    </row>
    <row r="970" spans="2:14" ht="15">
      <c r="B970" s="478"/>
      <c r="C970" s="191" t="s">
        <v>221</v>
      </c>
      <c r="D970" s="221">
        <f>D968*D969</f>
        <v>906.78258749999998</v>
      </c>
      <c r="E970" s="209" t="s">
        <v>46</v>
      </c>
      <c r="F970" s="31"/>
      <c r="G970" s="31"/>
      <c r="H970" s="206"/>
      <c r="I970" s="225"/>
      <c r="J970" s="31"/>
      <c r="K970" s="349"/>
      <c r="L970" s="480">
        <f>(E239+E220)/100</f>
        <v>1.20904345</v>
      </c>
      <c r="M970" s="349"/>
      <c r="N970" s="421"/>
    </row>
    <row r="971" spans="2:14">
      <c r="B971" s="478"/>
      <c r="C971" s="210"/>
      <c r="D971" s="31"/>
      <c r="E971" s="31"/>
      <c r="F971" s="31"/>
      <c r="G971" s="31"/>
      <c r="H971" s="206"/>
      <c r="I971" s="225"/>
      <c r="J971" s="31"/>
      <c r="K971" s="349"/>
      <c r="L971" s="349"/>
      <c r="M971" s="349"/>
      <c r="N971" s="421"/>
    </row>
    <row r="972" spans="2:14">
      <c r="B972" s="478"/>
      <c r="C972" s="207" t="s">
        <v>166</v>
      </c>
      <c r="D972" s="31"/>
      <c r="E972" s="31"/>
      <c r="F972" s="31"/>
      <c r="G972" s="31"/>
      <c r="H972" s="206"/>
      <c r="I972" s="225"/>
      <c r="J972" s="31"/>
      <c r="K972" s="349"/>
      <c r="L972" s="349"/>
      <c r="M972" s="349"/>
      <c r="N972" s="421"/>
    </row>
    <row r="973" spans="2:14" ht="15">
      <c r="B973" s="478"/>
      <c r="C973" s="214" t="s">
        <v>202</v>
      </c>
      <c r="D973" s="92">
        <f>5*D940*D941^4/(384*D965)</f>
        <v>4.4640505469701539</v>
      </c>
      <c r="E973" s="215" t="s">
        <v>4</v>
      </c>
      <c r="F973" s="31"/>
      <c r="G973" s="31"/>
      <c r="H973" s="206"/>
      <c r="I973" s="225"/>
      <c r="J973" s="31"/>
      <c r="K973" s="349"/>
      <c r="L973" s="349"/>
      <c r="M973" s="349"/>
      <c r="N973" s="421"/>
    </row>
    <row r="974" spans="2:14">
      <c r="B974" s="478"/>
      <c r="C974" s="208"/>
      <c r="D974" s="37"/>
      <c r="E974" s="37"/>
      <c r="F974" s="37"/>
      <c r="G974" s="37"/>
      <c r="H974" s="226"/>
      <c r="I974" s="227"/>
      <c r="J974" s="31"/>
      <c r="K974" s="349"/>
      <c r="L974" s="349"/>
      <c r="M974" s="349"/>
      <c r="N974" s="421"/>
    </row>
    <row r="975" spans="2:14" ht="15">
      <c r="B975" s="478"/>
      <c r="C975" s="1015" t="s">
        <v>432</v>
      </c>
      <c r="D975" s="1016"/>
      <c r="E975" s="1016"/>
      <c r="F975" s="1016"/>
      <c r="G975" s="1016"/>
      <c r="H975" s="1016"/>
      <c r="I975" s="1017"/>
      <c r="J975" s="31"/>
      <c r="K975" s="349"/>
      <c r="L975" s="349"/>
      <c r="M975" s="349"/>
      <c r="N975" s="421"/>
    </row>
    <row r="976" spans="2:14" ht="15">
      <c r="B976" s="478"/>
      <c r="C976" s="235"/>
      <c r="D976" s="236"/>
      <c r="E976" s="236"/>
      <c r="F976" s="236"/>
      <c r="G976" s="236"/>
      <c r="H976" s="236"/>
      <c r="I976" s="237"/>
      <c r="J976" s="31"/>
      <c r="K976" s="349"/>
      <c r="L976" s="349"/>
      <c r="M976" s="349"/>
      <c r="N976" s="421"/>
    </row>
    <row r="977" spans="2:14" ht="15">
      <c r="B977" s="478"/>
      <c r="C977" s="191" t="s">
        <v>203</v>
      </c>
      <c r="D977" s="221">
        <f>(E239*0.5+E220)/100</f>
        <v>0.89304344999999996</v>
      </c>
      <c r="E977" s="209" t="s">
        <v>73</v>
      </c>
      <c r="F977" s="31"/>
      <c r="G977" s="31"/>
      <c r="H977" s="206"/>
      <c r="I977" s="225"/>
      <c r="J977" s="31"/>
      <c r="K977" s="349"/>
      <c r="L977" s="349"/>
      <c r="M977" s="349"/>
      <c r="N977" s="421"/>
    </row>
    <row r="978" spans="2:14">
      <c r="B978" s="478"/>
      <c r="C978" s="210"/>
      <c r="D978" s="31"/>
      <c r="E978" s="31"/>
      <c r="F978" s="31"/>
      <c r="G978" s="31"/>
      <c r="H978" s="206"/>
      <c r="I978" s="225"/>
      <c r="J978" s="31"/>
      <c r="K978" s="349"/>
      <c r="L978" s="349"/>
      <c r="M978" s="349"/>
      <c r="N978" s="421"/>
    </row>
    <row r="979" spans="2:14" ht="15">
      <c r="B979" s="478"/>
      <c r="C979" s="713" t="s">
        <v>204</v>
      </c>
      <c r="D979" s="714">
        <f>5*$D$977*$D$941^4/(384*$D$965)</f>
        <v>3.2973100358308982</v>
      </c>
      <c r="E979" s="715" t="s">
        <v>4</v>
      </c>
      <c r="F979" s="31"/>
      <c r="G979" s="730" t="s">
        <v>786</v>
      </c>
      <c r="H979" s="732">
        <f>$F$186*100/300</f>
        <v>2.5</v>
      </c>
      <c r="I979" s="731" t="s">
        <v>4</v>
      </c>
      <c r="J979" s="31"/>
      <c r="K979" s="349"/>
      <c r="L979" s="349"/>
      <c r="M979" s="349"/>
      <c r="N979" s="421"/>
    </row>
    <row r="980" spans="2:14">
      <c r="B980" s="478"/>
      <c r="C980" s="208"/>
      <c r="D980" s="37"/>
      <c r="E980" s="37"/>
      <c r="F980" s="37"/>
      <c r="G980" s="37"/>
      <c r="H980" s="226"/>
      <c r="I980" s="227"/>
      <c r="J980" s="31"/>
      <c r="K980" s="349"/>
      <c r="L980" s="349"/>
      <c r="M980" s="349"/>
      <c r="N980" s="421"/>
    </row>
    <row r="981" spans="2:14" ht="15">
      <c r="B981" s="478"/>
      <c r="C981" s="1015" t="s">
        <v>433</v>
      </c>
      <c r="D981" s="1016"/>
      <c r="E981" s="1016"/>
      <c r="F981" s="1016"/>
      <c r="G981" s="1016"/>
      <c r="H981" s="1016"/>
      <c r="I981" s="1017"/>
      <c r="J981" s="31"/>
      <c r="K981" s="349"/>
      <c r="L981" s="349"/>
      <c r="M981" s="349"/>
      <c r="N981" s="421"/>
    </row>
    <row r="982" spans="2:14" ht="15">
      <c r="B982" s="478"/>
      <c r="C982" s="235"/>
      <c r="D982" s="236"/>
      <c r="E982" s="236"/>
      <c r="F982" s="236"/>
      <c r="G982" s="236"/>
      <c r="H982" s="236"/>
      <c r="I982" s="237"/>
      <c r="J982" s="31"/>
      <c r="K982" s="349"/>
      <c r="L982" s="349"/>
      <c r="M982" s="349"/>
      <c r="N982" s="421"/>
    </row>
    <row r="983" spans="2:14" ht="15">
      <c r="B983" s="478"/>
      <c r="C983" s="191" t="s">
        <v>203</v>
      </c>
      <c r="D983" s="221">
        <f>D977</f>
        <v>0.89304344999999996</v>
      </c>
      <c r="E983" s="209" t="s">
        <v>73</v>
      </c>
      <c r="F983" s="31"/>
      <c r="G983" s="31"/>
      <c r="H983" s="206"/>
      <c r="I983" s="225"/>
      <c r="J983" s="31"/>
      <c r="K983" s="349"/>
      <c r="L983" s="349"/>
      <c r="M983" s="349"/>
      <c r="N983" s="421"/>
    </row>
    <row r="984" spans="2:14">
      <c r="B984" s="478"/>
      <c r="C984" s="210"/>
      <c r="D984" s="31"/>
      <c r="E984" s="31"/>
      <c r="F984" s="31"/>
      <c r="G984" s="31"/>
      <c r="H984" s="206"/>
      <c r="I984" s="225"/>
      <c r="J984" s="31"/>
      <c r="K984" s="349"/>
      <c r="L984" s="349"/>
      <c r="M984" s="349"/>
      <c r="N984" s="421"/>
    </row>
    <row r="985" spans="2:14" ht="15">
      <c r="B985" s="478"/>
      <c r="C985" s="214" t="s">
        <v>205</v>
      </c>
      <c r="D985" s="92">
        <f>5*D977*D941^4/(384*D937)</f>
        <v>4.0813348964798788</v>
      </c>
      <c r="E985" s="215" t="s">
        <v>4</v>
      </c>
      <c r="F985" s="31"/>
      <c r="G985" s="31"/>
      <c r="H985" s="206"/>
      <c r="I985" s="225"/>
      <c r="J985" s="31"/>
      <c r="K985" s="349"/>
      <c r="L985" s="349"/>
      <c r="M985" s="349"/>
      <c r="N985" s="421"/>
    </row>
    <row r="986" spans="2:14" ht="15">
      <c r="B986" s="478"/>
      <c r="C986" s="233"/>
      <c r="D986" s="212"/>
      <c r="E986" s="234"/>
      <c r="F986" s="37"/>
      <c r="G986" s="37"/>
      <c r="H986" s="226"/>
      <c r="I986" s="227"/>
      <c r="J986" s="31"/>
      <c r="K986" s="349"/>
      <c r="L986" s="349"/>
      <c r="M986" s="349"/>
      <c r="N986" s="421"/>
    </row>
    <row r="987" spans="2:14" ht="15">
      <c r="B987" s="478"/>
      <c r="C987" s="1015" t="s">
        <v>165</v>
      </c>
      <c r="D987" s="1016"/>
      <c r="E987" s="1016"/>
      <c r="F987" s="1016"/>
      <c r="G987" s="1016"/>
      <c r="H987" s="1016"/>
      <c r="I987" s="1017"/>
      <c r="J987" s="31"/>
      <c r="K987" s="349"/>
      <c r="L987" s="349"/>
      <c r="M987" s="349"/>
      <c r="N987" s="421"/>
    </row>
    <row r="988" spans="2:14">
      <c r="B988" s="478"/>
      <c r="C988" s="207"/>
      <c r="D988" s="31"/>
      <c r="E988" s="31"/>
      <c r="F988" s="31"/>
      <c r="G988" s="31"/>
      <c r="H988" s="206"/>
      <c r="I988" s="225"/>
      <c r="J988" s="31"/>
      <c r="K988" s="349"/>
      <c r="L988" s="349"/>
      <c r="M988" s="349"/>
      <c r="N988" s="421"/>
    </row>
    <row r="989" spans="2:14" ht="15">
      <c r="B989" s="478"/>
      <c r="C989" s="214" t="s">
        <v>206</v>
      </c>
      <c r="D989" s="92">
        <f>D973-D979+D985</f>
        <v>5.2480754076191349</v>
      </c>
      <c r="E989" s="215" t="s">
        <v>4</v>
      </c>
      <c r="F989" s="31"/>
      <c r="G989" s="31"/>
      <c r="H989" s="206"/>
      <c r="I989" s="225"/>
      <c r="J989" s="31"/>
      <c r="K989" s="349"/>
      <c r="L989" s="349"/>
      <c r="M989" s="349"/>
      <c r="N989" s="421"/>
    </row>
    <row r="990" spans="2:14">
      <c r="B990" s="478"/>
      <c r="C990" s="208"/>
      <c r="D990" s="37"/>
      <c r="E990" s="37"/>
      <c r="F990" s="37"/>
      <c r="G990" s="37"/>
      <c r="H990" s="226"/>
      <c r="I990" s="227"/>
      <c r="J990" s="31"/>
      <c r="K990" s="349"/>
      <c r="L990" s="349"/>
      <c r="M990" s="349"/>
      <c r="N990" s="421"/>
    </row>
    <row r="991" spans="2:14">
      <c r="B991" s="478"/>
      <c r="C991" s="206"/>
      <c r="D991" s="31"/>
      <c r="E991" s="206"/>
      <c r="F991" s="31"/>
      <c r="G991" s="31"/>
      <c r="H991" s="206"/>
      <c r="I991" s="206"/>
      <c r="J991" s="31"/>
      <c r="K991" s="349"/>
      <c r="L991" s="349"/>
      <c r="M991" s="349"/>
      <c r="N991" s="421"/>
    </row>
    <row r="992" spans="2:14">
      <c r="B992" s="478"/>
      <c r="C992" s="206"/>
      <c r="D992" s="484"/>
      <c r="E992" s="206"/>
      <c r="F992" s="31"/>
      <c r="G992" s="31"/>
      <c r="H992" s="206"/>
      <c r="I992" s="206"/>
      <c r="J992" s="31"/>
      <c r="K992" s="349"/>
      <c r="L992" s="349"/>
      <c r="M992" s="349"/>
      <c r="N992" s="421"/>
    </row>
    <row r="993" spans="2:14" ht="15">
      <c r="B993" s="478"/>
      <c r="C993" s="725" t="s">
        <v>434</v>
      </c>
      <c r="D993" s="707"/>
      <c r="E993" s="707"/>
      <c r="F993" s="707"/>
      <c r="G993" s="707"/>
      <c r="H993" s="728"/>
      <c r="I993" s="728"/>
      <c r="J993" s="31"/>
      <c r="K993" s="349"/>
      <c r="L993" s="349"/>
      <c r="M993" s="349"/>
      <c r="N993" s="421"/>
    </row>
    <row r="994" spans="2:14">
      <c r="B994" s="420"/>
      <c r="C994" s="31"/>
      <c r="D994" s="31"/>
      <c r="E994" s="31"/>
      <c r="F994" s="31"/>
      <c r="G994" s="31"/>
      <c r="H994" s="31"/>
      <c r="I994" s="206"/>
      <c r="J994" s="31"/>
      <c r="K994" s="349"/>
      <c r="L994" s="349"/>
      <c r="M994" s="349"/>
      <c r="N994" s="421"/>
    </row>
    <row r="995" spans="2:14" ht="15">
      <c r="B995" s="420"/>
      <c r="C995" s="123" t="s">
        <v>311</v>
      </c>
      <c r="D995" s="122" t="s">
        <v>313</v>
      </c>
      <c r="E995" s="100"/>
      <c r="F995" s="101"/>
      <c r="G995" s="101"/>
      <c r="H995" s="102" t="s">
        <v>319</v>
      </c>
      <c r="I995" s="103">
        <f>(-E408)*(G176-G154)+(E129*G171*(2*D121-D129)+2*E129*F121*L905+G171*H129*F129)/100</f>
        <v>5201.504681284956</v>
      </c>
      <c r="J995" s="104" t="s">
        <v>46</v>
      </c>
      <c r="K995" s="349"/>
      <c r="L995" s="349"/>
      <c r="M995" s="349"/>
      <c r="N995" s="421"/>
    </row>
    <row r="996" spans="2:14" ht="17.25">
      <c r="B996" s="420"/>
      <c r="C996" s="105"/>
      <c r="D996" s="106" t="s">
        <v>314</v>
      </c>
      <c r="E996" s="107" t="s">
        <v>315</v>
      </c>
      <c r="F996" s="108"/>
      <c r="G996" s="108"/>
      <c r="H996" s="109" t="s">
        <v>318</v>
      </c>
      <c r="I996" s="131">
        <f>(I574*0.5*G154+2*E129*G171)/10</f>
        <v>235.04517744586229</v>
      </c>
      <c r="J996" s="110" t="s">
        <v>73</v>
      </c>
      <c r="K996" s="349"/>
      <c r="L996" s="349"/>
      <c r="M996" s="349"/>
      <c r="N996" s="421"/>
    </row>
    <row r="997" spans="2:14" ht="17.25">
      <c r="B997" s="420"/>
      <c r="C997" s="105"/>
      <c r="D997" s="106" t="s">
        <v>314</v>
      </c>
      <c r="E997" s="111" t="s">
        <v>402</v>
      </c>
      <c r="F997" s="108"/>
      <c r="G997" s="108"/>
      <c r="H997" s="187"/>
      <c r="I997" s="131"/>
      <c r="J997" s="110"/>
      <c r="K997" s="349"/>
      <c r="L997" s="349"/>
      <c r="M997" s="349"/>
      <c r="N997" s="421"/>
    </row>
    <row r="998" spans="2:14" ht="17.25" thickBot="1">
      <c r="B998" s="420"/>
      <c r="C998" s="105"/>
      <c r="D998" s="106" t="s">
        <v>314</v>
      </c>
      <c r="E998" s="130" t="s">
        <v>403</v>
      </c>
      <c r="F998" s="108"/>
      <c r="G998" s="108"/>
      <c r="H998" s="187"/>
      <c r="I998" s="131"/>
      <c r="J998" s="110"/>
      <c r="K998" s="349"/>
      <c r="L998" s="349"/>
      <c r="M998" s="349"/>
      <c r="N998" s="421"/>
    </row>
    <row r="999" spans="2:14" ht="15.75" thickBot="1">
      <c r="B999" s="420"/>
      <c r="C999" s="114"/>
      <c r="D999" s="37"/>
      <c r="E999" s="37"/>
      <c r="F999" s="117"/>
      <c r="G999" s="117"/>
      <c r="H999" s="98" t="s">
        <v>404</v>
      </c>
      <c r="I999" s="17">
        <f>I995/I996</f>
        <v>22.129808140747805</v>
      </c>
      <c r="J999" s="99" t="s">
        <v>4</v>
      </c>
      <c r="K999" s="349"/>
      <c r="L999" s="480">
        <f>I999*10</f>
        <v>221.29808140747804</v>
      </c>
      <c r="M999" s="480" t="s">
        <v>6</v>
      </c>
      <c r="N999" s="421"/>
    </row>
    <row r="1000" spans="2:14">
      <c r="B1000" s="420"/>
      <c r="C1000" s="31"/>
      <c r="D1000" s="31"/>
      <c r="E1000" s="31"/>
      <c r="F1000" s="31"/>
      <c r="G1000" s="31"/>
      <c r="H1000" s="31"/>
      <c r="I1000" s="206"/>
      <c r="J1000" s="31"/>
      <c r="K1000" s="349"/>
      <c r="L1000" s="349"/>
      <c r="M1000" s="349"/>
      <c r="N1000" s="421"/>
    </row>
    <row r="1001" spans="2:14" ht="15">
      <c r="B1001" s="420"/>
      <c r="C1001" s="111" t="s">
        <v>407</v>
      </c>
      <c r="D1001" s="112"/>
      <c r="E1001" s="112"/>
      <c r="F1001" s="112"/>
      <c r="G1001" s="112"/>
      <c r="H1001" s="31"/>
      <c r="I1001" s="112"/>
      <c r="J1001" s="31"/>
      <c r="K1001" s="349"/>
      <c r="L1001" s="349"/>
      <c r="M1001" s="349"/>
      <c r="N1001" s="421"/>
    </row>
    <row r="1002" spans="2:14" ht="15">
      <c r="B1002" s="420"/>
      <c r="C1002" s="1015" t="s">
        <v>165</v>
      </c>
      <c r="D1002" s="1016"/>
      <c r="E1002" s="1016"/>
      <c r="F1002" s="1016"/>
      <c r="G1002" s="1016"/>
      <c r="H1002" s="1016"/>
      <c r="I1002" s="1017"/>
      <c r="J1002" s="31"/>
      <c r="K1002" s="349"/>
      <c r="L1002" s="349"/>
      <c r="M1002" s="349"/>
      <c r="N1002" s="421"/>
    </row>
    <row r="1003" spans="2:14">
      <c r="B1003" s="420"/>
      <c r="C1003" s="193" t="s">
        <v>152</v>
      </c>
      <c r="D1003" s="188">
        <f>D190*H923+2*E129*(D129)*H923/100+D193+E408*(H923-1)+E409*(H923-1)+M583*I582/100</f>
        <v>4065.9052202557273</v>
      </c>
      <c r="E1003" s="195" t="s">
        <v>196</v>
      </c>
      <c r="F1003" s="239"/>
      <c r="G1003" s="188"/>
      <c r="H1003" s="188"/>
      <c r="I1003" s="219"/>
      <c r="J1003" s="31"/>
      <c r="K1003" s="349"/>
      <c r="L1003" s="349"/>
      <c r="M1003" s="349"/>
      <c r="N1003" s="421"/>
    </row>
    <row r="1004" spans="2:14">
      <c r="B1004" s="420"/>
      <c r="C1004" s="196" t="s">
        <v>153</v>
      </c>
      <c r="D1004" s="190">
        <f>D1005+D1006</f>
        <v>82738.499173953373</v>
      </c>
      <c r="E1004" s="198" t="s">
        <v>197</v>
      </c>
      <c r="F1004" s="238"/>
      <c r="G1004" s="190"/>
      <c r="H1004" s="190"/>
      <c r="I1004" s="110"/>
      <c r="J1004" s="31"/>
      <c r="K1004" s="349"/>
      <c r="L1004" s="349"/>
      <c r="M1004" s="349"/>
      <c r="N1004" s="421"/>
    </row>
    <row r="1005" spans="2:14">
      <c r="B1005" s="420"/>
      <c r="C1005" s="196" t="s">
        <v>154</v>
      </c>
      <c r="D1005" s="190">
        <f>D190*H923*(D121+H129/2)/10+2*E129*D129*H923*(D121-D129/2)/1000</f>
        <v>51098.653846153851</v>
      </c>
      <c r="E1005" s="198" t="s">
        <v>197</v>
      </c>
      <c r="F1005" s="238"/>
      <c r="G1005" s="190"/>
      <c r="H1005" s="31"/>
      <c r="I1005" s="225"/>
      <c r="J1005" s="31"/>
      <c r="K1005" s="349"/>
      <c r="L1005" s="349"/>
      <c r="M1005" s="349"/>
      <c r="N1005" s="421"/>
    </row>
    <row r="1006" spans="2:14">
      <c r="B1006" s="420"/>
      <c r="C1006" s="196" t="s">
        <v>155</v>
      </c>
      <c r="D1006" s="190">
        <f>D193*D121/20+(E408*(H923-1)*(G145)+E409*(H923-1)*(D121-G146))/10+I582*M583^2/2000</f>
        <v>31639.845327799518</v>
      </c>
      <c r="E1006" s="198" t="s">
        <v>197</v>
      </c>
      <c r="F1006" s="238"/>
      <c r="G1006" s="190"/>
      <c r="H1006" s="31"/>
      <c r="I1006" s="225"/>
      <c r="J1006" s="31"/>
      <c r="K1006" s="349"/>
      <c r="L1006" s="349"/>
      <c r="M1006" s="349"/>
      <c r="N1006" s="421"/>
    </row>
    <row r="1007" spans="2:14">
      <c r="B1007" s="420"/>
      <c r="C1007" s="196" t="s">
        <v>219</v>
      </c>
      <c r="D1007" s="190">
        <f>D1004/D1003</f>
        <v>20.349342813443521</v>
      </c>
      <c r="E1007" s="198" t="s">
        <v>4</v>
      </c>
      <c r="F1007" s="31"/>
      <c r="G1007" s="31"/>
      <c r="H1007" s="31"/>
      <c r="I1007" s="225"/>
      <c r="J1007" s="31"/>
      <c r="K1007" s="349"/>
      <c r="L1007" s="480">
        <f>D1007*10</f>
        <v>203.49342813443519</v>
      </c>
      <c r="M1007" s="480" t="s">
        <v>6</v>
      </c>
      <c r="N1007" s="421"/>
    </row>
    <row r="1008" spans="2:14">
      <c r="B1008" s="420"/>
      <c r="C1008" s="208"/>
      <c r="D1008" s="37"/>
      <c r="E1008" s="37"/>
      <c r="F1008" s="37"/>
      <c r="G1008" s="37"/>
      <c r="H1008" s="37"/>
      <c r="I1008" s="227"/>
      <c r="J1008" s="31"/>
      <c r="K1008" s="349"/>
      <c r="L1008" s="349"/>
      <c r="M1008" s="349"/>
      <c r="N1008" s="421"/>
    </row>
    <row r="1009" spans="2:14">
      <c r="B1009" s="420"/>
      <c r="C1009" s="193" t="s">
        <v>156</v>
      </c>
      <c r="D1009" s="228">
        <f>D190*H923*(D121+H129/2-L1007)^2/100+2*E129*D129*H923*(D129/2+L1007-D121)^2/10000</f>
        <v>200747.76116088621</v>
      </c>
      <c r="E1009" s="229" t="s">
        <v>198</v>
      </c>
      <c r="F1009" s="42"/>
      <c r="G1009" s="42"/>
      <c r="H1009" s="42"/>
      <c r="I1009" s="223"/>
      <c r="J1009" s="31"/>
      <c r="K1009" s="349"/>
      <c r="L1009" s="349"/>
      <c r="M1009" s="349"/>
      <c r="N1009" s="421"/>
    </row>
    <row r="1010" spans="2:14">
      <c r="B1010" s="420"/>
      <c r="C1010" s="196" t="s">
        <v>159</v>
      </c>
      <c r="D1010" s="230">
        <f>F129*H129^3*H923/120000+2*E129*(D129^3)*H923/120000</f>
        <v>24053.278846153848</v>
      </c>
      <c r="E1010" s="182" t="s">
        <v>198</v>
      </c>
      <c r="F1010" s="31"/>
      <c r="G1010" s="31"/>
      <c r="H1010" s="31"/>
      <c r="I1010" s="225"/>
      <c r="J1010" s="31"/>
      <c r="K1010" s="349"/>
      <c r="L1010" s="349"/>
      <c r="M1010" s="349"/>
      <c r="N1010" s="421"/>
    </row>
    <row r="1011" spans="2:14">
      <c r="B1011" s="478"/>
      <c r="C1011" s="196" t="s">
        <v>157</v>
      </c>
      <c r="D1011" s="230">
        <f>E121*D121*(L1007-D121/2)^2/10000+(E408*(H923-1)*(L1007-G145)^2+E409*(H923-1)*(D121-G146-L1007)^2)/100</f>
        <v>153017.59548249969</v>
      </c>
      <c r="E1011" s="182" t="s">
        <v>198</v>
      </c>
      <c r="F1011" s="31"/>
      <c r="G1011" s="31"/>
      <c r="H1011" s="206"/>
      <c r="I1011" s="225"/>
      <c r="J1011" s="31"/>
      <c r="K1011" s="349"/>
      <c r="L1011" s="349"/>
      <c r="M1011" s="349"/>
      <c r="N1011" s="421"/>
    </row>
    <row r="1012" spans="2:14">
      <c r="B1012" s="485"/>
      <c r="C1012" s="196" t="s">
        <v>160</v>
      </c>
      <c r="D1012" s="230">
        <f>E121*D121^3/120000+I582*M583^3/120000+I582*M583*(L1007-M583/2)^2/10000</f>
        <v>160054.60868046657</v>
      </c>
      <c r="E1012" s="182" t="s">
        <v>198</v>
      </c>
      <c r="F1012" s="31"/>
      <c r="G1012" s="31"/>
      <c r="H1012" s="206"/>
      <c r="I1012" s="225"/>
      <c r="J1012" s="31"/>
      <c r="K1012" s="349"/>
      <c r="L1012" s="349"/>
      <c r="M1012" s="349"/>
      <c r="N1012" s="421"/>
    </row>
    <row r="1013" spans="2:14">
      <c r="B1013" s="420"/>
      <c r="C1013" s="199"/>
      <c r="D1013" s="231"/>
      <c r="E1013" s="232"/>
      <c r="F1013" s="37"/>
      <c r="G1013" s="37"/>
      <c r="H1013" s="37"/>
      <c r="I1013" s="47"/>
      <c r="J1013" s="112"/>
      <c r="K1013" s="267"/>
      <c r="L1013" s="267"/>
      <c r="M1013" s="267"/>
      <c r="N1013" s="421"/>
    </row>
    <row r="1014" spans="2:14">
      <c r="B1014" s="420"/>
      <c r="C1014" s="193"/>
      <c r="D1014" s="228"/>
      <c r="E1014" s="229"/>
      <c r="F1014" s="42"/>
      <c r="G1014" s="42"/>
      <c r="H1014" s="42"/>
      <c r="I1014" s="104"/>
      <c r="J1014" s="112"/>
      <c r="K1014" s="267"/>
      <c r="L1014" s="267"/>
      <c r="M1014" s="267"/>
      <c r="N1014" s="421"/>
    </row>
    <row r="1015" spans="2:14">
      <c r="B1015" s="420"/>
      <c r="C1015" s="203" t="s">
        <v>425</v>
      </c>
      <c r="D1015" s="230"/>
      <c r="E1015" s="182"/>
      <c r="F1015" s="31"/>
      <c r="G1015" s="31"/>
      <c r="H1015" s="31"/>
      <c r="I1015" s="110"/>
      <c r="J1015" s="112"/>
      <c r="K1015" s="267"/>
      <c r="L1015" s="267"/>
      <c r="M1015" s="267"/>
      <c r="N1015" s="421"/>
    </row>
    <row r="1016" spans="2:14" ht="15">
      <c r="B1016" s="486"/>
      <c r="C1016" s="196" t="s">
        <v>162</v>
      </c>
      <c r="D1016" s="204">
        <f>D1009+D1010+D1011+D1012</f>
        <v>537873.24417000625</v>
      </c>
      <c r="E1016" s="198" t="s">
        <v>198</v>
      </c>
      <c r="F1016" s="31"/>
      <c r="G1016" s="241"/>
      <c r="H1016" s="206"/>
      <c r="I1016" s="110"/>
      <c r="J1016" s="31"/>
      <c r="K1016" s="349"/>
      <c r="L1016" s="349"/>
      <c r="M1016" s="349"/>
      <c r="N1016" s="421"/>
    </row>
    <row r="1017" spans="2:14">
      <c r="B1017" s="486"/>
      <c r="C1017" s="242"/>
      <c r="D1017" s="31"/>
      <c r="E1017" s="31"/>
      <c r="F1017" s="31"/>
      <c r="G1017" s="206"/>
      <c r="H1017" s="206"/>
      <c r="I1017" s="110"/>
      <c r="J1017" s="31"/>
      <c r="K1017" s="349"/>
      <c r="L1017" s="349"/>
      <c r="M1017" s="349"/>
      <c r="N1017" s="421"/>
    </row>
    <row r="1018" spans="2:14">
      <c r="B1018" s="486"/>
      <c r="C1018" s="203" t="s">
        <v>424</v>
      </c>
      <c r="D1018" s="31"/>
      <c r="E1018" s="31"/>
      <c r="F1018" s="31"/>
      <c r="G1018" s="206"/>
      <c r="H1018" s="206"/>
      <c r="I1018" s="110"/>
      <c r="J1018" s="31"/>
      <c r="K1018" s="349"/>
      <c r="L1018" s="349"/>
      <c r="M1018" s="349"/>
      <c r="N1018" s="421"/>
    </row>
    <row r="1019" spans="2:14" ht="18.75">
      <c r="B1019" s="478"/>
      <c r="C1019" s="189" t="s">
        <v>426</v>
      </c>
      <c r="D1019" s="24">
        <f>G158*D1016/(1+H921)</f>
        <v>1048852826.1315122</v>
      </c>
      <c r="E1019" s="198" t="s">
        <v>228</v>
      </c>
      <c r="F1019" s="31"/>
      <c r="G1019" s="206"/>
      <c r="H1019" s="206"/>
      <c r="I1019" s="110"/>
      <c r="J1019" s="31"/>
      <c r="K1019" s="349"/>
      <c r="L1019" s="349"/>
      <c r="M1019" s="349"/>
      <c r="N1019" s="421"/>
    </row>
    <row r="1020" spans="2:14">
      <c r="B1020" s="478"/>
      <c r="C1020" s="243"/>
      <c r="D1020" s="37"/>
      <c r="E1020" s="37"/>
      <c r="F1020" s="37"/>
      <c r="G1020" s="226"/>
      <c r="H1020" s="226"/>
      <c r="I1020" s="47"/>
      <c r="J1020" s="31"/>
      <c r="K1020" s="349"/>
      <c r="L1020" s="349"/>
      <c r="M1020" s="349"/>
      <c r="N1020" s="421"/>
    </row>
    <row r="1021" spans="2:14">
      <c r="B1021" s="478"/>
      <c r="C1021" s="244"/>
      <c r="D1021" s="42"/>
      <c r="E1021" s="42"/>
      <c r="F1021" s="42"/>
      <c r="G1021" s="222"/>
      <c r="H1021" s="222"/>
      <c r="I1021" s="104"/>
      <c r="J1021" s="31"/>
      <c r="K1021" s="349"/>
      <c r="L1021" s="349"/>
      <c r="M1021" s="349"/>
      <c r="N1021" s="421"/>
    </row>
    <row r="1022" spans="2:14" ht="15">
      <c r="B1022" s="478"/>
      <c r="C1022" s="191" t="s">
        <v>163</v>
      </c>
      <c r="D1022" s="221">
        <f>(E239+E220)/100</f>
        <v>1.20904345</v>
      </c>
      <c r="E1022" s="209" t="s">
        <v>73</v>
      </c>
      <c r="F1022" s="245"/>
      <c r="G1022" s="206"/>
      <c r="H1022" s="206"/>
      <c r="I1022" s="110"/>
      <c r="J1022" s="31"/>
      <c r="K1022" s="349"/>
      <c r="L1022" s="349"/>
      <c r="M1022" s="349"/>
      <c r="N1022" s="421"/>
    </row>
    <row r="1023" spans="2:14" ht="15">
      <c r="B1023" s="478"/>
      <c r="C1023" s="191" t="s">
        <v>164</v>
      </c>
      <c r="D1023" s="221">
        <f>F186*100</f>
        <v>750</v>
      </c>
      <c r="E1023" s="209" t="s">
        <v>4</v>
      </c>
      <c r="F1023" s="246"/>
      <c r="G1023" s="31"/>
      <c r="H1023" s="31"/>
      <c r="I1023" s="110"/>
      <c r="J1023" s="31"/>
      <c r="K1023" s="349"/>
      <c r="L1023" s="349"/>
      <c r="M1023" s="349"/>
      <c r="N1023" s="421"/>
    </row>
    <row r="1024" spans="2:14">
      <c r="B1024" s="478"/>
      <c r="C1024" s="205"/>
      <c r="D1024" s="247"/>
      <c r="E1024" s="245"/>
      <c r="F1024" s="245"/>
      <c r="G1024" s="206"/>
      <c r="H1024" s="206"/>
      <c r="I1024" s="110"/>
      <c r="J1024" s="31"/>
      <c r="K1024" s="349"/>
      <c r="L1024" s="349"/>
      <c r="M1024" s="349"/>
      <c r="N1024" s="421"/>
    </row>
    <row r="1025" spans="2:16">
      <c r="B1025" s="478"/>
      <c r="C1025" s="207" t="s">
        <v>427</v>
      </c>
      <c r="D1025" s="197"/>
      <c r="E1025" s="198"/>
      <c r="F1025" s="31"/>
      <c r="G1025" s="206"/>
      <c r="H1025" s="206"/>
      <c r="I1025" s="110"/>
      <c r="J1025" s="31"/>
      <c r="K1025" s="349"/>
      <c r="L1025" s="349"/>
      <c r="M1025" s="349"/>
      <c r="N1025" s="421"/>
    </row>
    <row r="1026" spans="2:16" ht="15">
      <c r="B1026" s="478"/>
      <c r="C1026" s="214" t="s">
        <v>200</v>
      </c>
      <c r="D1026" s="92">
        <f>5*D1022*D1023^4/(384*D1019)</f>
        <v>4.7490986323863877</v>
      </c>
      <c r="E1026" s="215" t="s">
        <v>4</v>
      </c>
      <c r="F1026" s="248"/>
      <c r="G1026" s="249"/>
      <c r="H1026" s="206"/>
      <c r="I1026" s="110"/>
      <c r="J1026" s="31"/>
      <c r="K1026" s="349"/>
      <c r="L1026" s="349"/>
      <c r="M1026" s="349"/>
      <c r="N1026" s="421"/>
    </row>
    <row r="1027" spans="2:16">
      <c r="B1027" s="478"/>
      <c r="C1027" s="243"/>
      <c r="D1027" s="37"/>
      <c r="E1027" s="37"/>
      <c r="F1027" s="37"/>
      <c r="G1027" s="226"/>
      <c r="H1027" s="226"/>
      <c r="I1027" s="47"/>
      <c r="J1027" s="31"/>
      <c r="K1027" s="349"/>
      <c r="L1027" s="349"/>
      <c r="M1027" s="349"/>
      <c r="N1027" s="421"/>
    </row>
    <row r="1028" spans="2:16" ht="15">
      <c r="B1028" s="478"/>
      <c r="C1028" s="1015" t="s">
        <v>166</v>
      </c>
      <c r="D1028" s="1016"/>
      <c r="E1028" s="1016"/>
      <c r="F1028" s="1016"/>
      <c r="G1028" s="1016"/>
      <c r="H1028" s="1016"/>
      <c r="I1028" s="1017"/>
      <c r="J1028" s="31"/>
      <c r="K1028" s="349"/>
      <c r="L1028" s="349"/>
      <c r="M1028" s="349"/>
      <c r="N1028" s="421"/>
    </row>
    <row r="1029" spans="2:16">
      <c r="B1029" s="487"/>
      <c r="C1029" s="193" t="s">
        <v>152</v>
      </c>
      <c r="D1029" s="188">
        <f>D190*H922+2*E129*(D129)*H922/100+I574*D121/100+E408*(H922-1)+E409*(H922-1)+M583*I582/100</f>
        <v>3152.5024571327704</v>
      </c>
      <c r="E1029" s="195" t="s">
        <v>196</v>
      </c>
      <c r="F1029" s="250" t="s">
        <v>435</v>
      </c>
      <c r="G1029" s="222"/>
      <c r="H1029" s="222"/>
      <c r="I1029" s="104"/>
      <c r="J1029" s="31"/>
      <c r="K1029" s="349"/>
      <c r="L1029" s="349"/>
      <c r="M1029" s="349"/>
      <c r="N1029" s="421"/>
    </row>
    <row r="1030" spans="2:16">
      <c r="B1030" s="487"/>
      <c r="C1030" s="196" t="s">
        <v>153</v>
      </c>
      <c r="D1030" s="190">
        <f>D1031+D1032</f>
        <v>58779.351401291657</v>
      </c>
      <c r="E1030" s="198" t="s">
        <v>197</v>
      </c>
      <c r="F1030" s="251" t="s">
        <v>436</v>
      </c>
      <c r="G1030" s="206"/>
      <c r="H1030" s="206"/>
      <c r="I1030" s="225"/>
      <c r="J1030" s="251"/>
      <c r="K1030" s="426"/>
      <c r="L1030" s="426"/>
      <c r="M1030" s="426"/>
      <c r="N1030" s="488"/>
      <c r="O1030" s="367"/>
      <c r="P1030" s="259"/>
    </row>
    <row r="1031" spans="2:16">
      <c r="B1031" s="478"/>
      <c r="C1031" s="196" t="s">
        <v>154</v>
      </c>
      <c r="D1031" s="190">
        <f>D190*H922*(D121+H129/2)/10+2*E129*D129*H922*(D121-D129/2)/1000</f>
        <v>25549.326923076926</v>
      </c>
      <c r="E1031" s="198" t="s">
        <v>197</v>
      </c>
      <c r="F1031" s="206"/>
      <c r="G1031" s="206"/>
      <c r="H1031" s="206"/>
      <c r="I1031" s="225"/>
      <c r="J1031" s="206"/>
      <c r="K1031" s="426"/>
      <c r="L1031" s="426"/>
      <c r="M1031" s="426"/>
      <c r="N1031" s="488"/>
      <c r="O1031" s="367"/>
      <c r="P1031" s="259"/>
    </row>
    <row r="1032" spans="2:16">
      <c r="B1032" s="478"/>
      <c r="C1032" s="196" t="s">
        <v>155</v>
      </c>
      <c r="D1032" s="190">
        <f>I574*D121*D121/2000+(E408*(H922-1)*(G145)+E409*(H922-1)*(D121-G146))/10+I582*M583^2/2000</f>
        <v>33230.024478214727</v>
      </c>
      <c r="E1032" s="198" t="s">
        <v>197</v>
      </c>
      <c r="F1032" s="206"/>
      <c r="G1032" s="206"/>
      <c r="H1032" s="31"/>
      <c r="I1032" s="225"/>
      <c r="J1032" s="31"/>
      <c r="K1032" s="349"/>
      <c r="L1032" s="349"/>
      <c r="M1032" s="426"/>
      <c r="N1032" s="421"/>
    </row>
    <row r="1033" spans="2:16" ht="15.75">
      <c r="B1033" s="487"/>
      <c r="C1033" s="196" t="s">
        <v>158</v>
      </c>
      <c r="D1033" s="190">
        <f>D1030/D1029</f>
        <v>18.645299155373859</v>
      </c>
      <c r="E1033" s="198" t="s">
        <v>4</v>
      </c>
      <c r="F1033" s="251" t="s">
        <v>437</v>
      </c>
      <c r="G1033" s="31"/>
      <c r="H1033" s="206"/>
      <c r="I1033" s="225"/>
      <c r="J1033" s="206"/>
      <c r="K1033" s="426"/>
      <c r="L1033" s="480">
        <f>D1033*10</f>
        <v>186.4529915537386</v>
      </c>
      <c r="M1033" s="480" t="s">
        <v>6</v>
      </c>
      <c r="N1033" s="488"/>
      <c r="O1033" s="367"/>
      <c r="P1033" s="259"/>
    </row>
    <row r="1034" spans="2:16">
      <c r="B1034" s="478"/>
      <c r="C1034" s="208"/>
      <c r="D1034" s="226"/>
      <c r="E1034" s="226"/>
      <c r="F1034" s="226"/>
      <c r="G1034" s="226"/>
      <c r="H1034" s="226"/>
      <c r="I1034" s="227"/>
      <c r="J1034" s="206"/>
      <c r="K1034" s="426"/>
      <c r="L1034" s="426"/>
      <c r="M1034" s="426"/>
      <c r="N1034" s="488"/>
      <c r="O1034" s="367"/>
      <c r="P1034" s="259"/>
    </row>
    <row r="1035" spans="2:16">
      <c r="B1035" s="420"/>
      <c r="C1035" s="193" t="s">
        <v>156</v>
      </c>
      <c r="D1035" s="228">
        <f>D190*H922*(D121+H129/2-L1033)^2/100+2*E129*D129*H922*(D129/2+L1033-D121)^2/10000</f>
        <v>129591.95680437623</v>
      </c>
      <c r="E1035" s="229" t="s">
        <v>198</v>
      </c>
      <c r="F1035" s="222"/>
      <c r="G1035" s="222"/>
      <c r="H1035" s="222"/>
      <c r="I1035" s="223"/>
      <c r="J1035" s="31"/>
      <c r="K1035" s="349"/>
      <c r="L1035" s="349"/>
      <c r="M1035" s="426"/>
      <c r="N1035" s="488"/>
      <c r="O1035" s="367"/>
      <c r="P1035" s="259"/>
    </row>
    <row r="1036" spans="2:16">
      <c r="B1036" s="478"/>
      <c r="C1036" s="196" t="s">
        <v>159</v>
      </c>
      <c r="D1036" s="230">
        <f>F129*H129^3*H922/120000+2*E129*(D129^3)*H922/120000</f>
        <v>12026.639423076924</v>
      </c>
      <c r="E1036" s="182" t="s">
        <v>198</v>
      </c>
      <c r="F1036" s="206"/>
      <c r="G1036" s="206"/>
      <c r="H1036" s="206"/>
      <c r="I1036" s="225"/>
      <c r="J1036" s="206"/>
      <c r="K1036" s="426"/>
      <c r="L1036" s="426"/>
      <c r="M1036" s="426"/>
      <c r="N1036" s="488"/>
      <c r="O1036" s="367"/>
      <c r="P1036" s="259"/>
    </row>
    <row r="1037" spans="2:16">
      <c r="B1037" s="478"/>
      <c r="C1037" s="196" t="s">
        <v>157</v>
      </c>
      <c r="D1037" s="230">
        <f>E121*D121*(L1033-D121/2)^2/10000+(E408*(H922-1)*(L1033-G145)^2+E409*(H922-1)*(D121-G146-L1033)^2)/100</f>
        <v>57066.084496400115</v>
      </c>
      <c r="E1037" s="182" t="s">
        <v>198</v>
      </c>
      <c r="F1037" s="249"/>
      <c r="G1037" s="249"/>
      <c r="H1037" s="206"/>
      <c r="I1037" s="225"/>
      <c r="J1037" s="206"/>
      <c r="K1037" s="426"/>
      <c r="L1037" s="426"/>
      <c r="M1037" s="426"/>
      <c r="N1037" s="488"/>
      <c r="O1037" s="367"/>
      <c r="P1037" s="259"/>
    </row>
    <row r="1038" spans="2:16">
      <c r="B1038" s="478"/>
      <c r="C1038" s="196" t="s">
        <v>160</v>
      </c>
      <c r="D1038" s="230">
        <f>E121*D121^3/120000+I582*M583^3/120000+I582*M583*(L1033-M583/2)^2/10000</f>
        <v>151669.95986778301</v>
      </c>
      <c r="E1038" s="182" t="s">
        <v>198</v>
      </c>
      <c r="F1038" s="112"/>
      <c r="G1038" s="249"/>
      <c r="H1038" s="206"/>
      <c r="I1038" s="225"/>
      <c r="J1038" s="206"/>
      <c r="K1038" s="426"/>
      <c r="L1038" s="426"/>
      <c r="M1038" s="426"/>
      <c r="N1038" s="488"/>
      <c r="O1038" s="367"/>
      <c r="P1038" s="259"/>
    </row>
    <row r="1039" spans="2:16">
      <c r="B1039" s="486"/>
      <c r="C1039" s="252"/>
      <c r="D1039" s="240"/>
      <c r="E1039" s="240"/>
      <c r="F1039" s="240"/>
      <c r="G1039" s="253"/>
      <c r="H1039" s="226"/>
      <c r="I1039" s="227"/>
      <c r="J1039" s="473"/>
      <c r="K1039" s="349"/>
      <c r="L1039" s="349"/>
      <c r="M1039" s="349"/>
      <c r="N1039" s="421"/>
    </row>
    <row r="1040" spans="2:16">
      <c r="B1040" s="486"/>
      <c r="C1040" s="202"/>
      <c r="D1040" s="42"/>
      <c r="E1040" s="42"/>
      <c r="F1040" s="42"/>
      <c r="G1040" s="42"/>
      <c r="H1040" s="222"/>
      <c r="I1040" s="223"/>
      <c r="J1040" s="473"/>
      <c r="K1040" s="349"/>
      <c r="L1040" s="349"/>
      <c r="M1040" s="349"/>
      <c r="N1040" s="421"/>
    </row>
    <row r="1041" spans="2:16">
      <c r="B1041" s="486"/>
      <c r="C1041" s="203" t="s">
        <v>425</v>
      </c>
      <c r="D1041" s="31"/>
      <c r="E1041" s="31"/>
      <c r="F1041" s="31"/>
      <c r="G1041" s="31"/>
      <c r="H1041" s="206"/>
      <c r="I1041" s="225"/>
      <c r="J1041" s="473"/>
      <c r="K1041" s="349"/>
      <c r="L1041" s="349"/>
      <c r="M1041" s="349"/>
      <c r="N1041" s="421"/>
    </row>
    <row r="1042" spans="2:16" ht="15">
      <c r="B1042" s="478"/>
      <c r="C1042" s="196" t="s">
        <v>201</v>
      </c>
      <c r="D1042" s="204">
        <f>D1035+D1036+D1037+D1038</f>
        <v>350354.6405916363</v>
      </c>
      <c r="E1042" s="198" t="s">
        <v>198</v>
      </c>
      <c r="F1042" s="112"/>
      <c r="G1042" s="249"/>
      <c r="H1042" s="206"/>
      <c r="I1042" s="225"/>
      <c r="J1042" s="206"/>
      <c r="K1042" s="349"/>
      <c r="L1042" s="349"/>
      <c r="M1042" s="349"/>
      <c r="N1042" s="421"/>
    </row>
    <row r="1043" spans="2:16">
      <c r="B1043" s="478"/>
      <c r="C1043" s="205"/>
      <c r="D1043" s="31"/>
      <c r="E1043" s="31"/>
      <c r="F1043" s="31"/>
      <c r="G1043" s="206"/>
      <c r="H1043" s="206"/>
      <c r="I1043" s="225"/>
      <c r="J1043" s="206"/>
      <c r="K1043" s="349"/>
      <c r="L1043" s="349"/>
      <c r="M1043" s="349"/>
      <c r="N1043" s="421"/>
    </row>
    <row r="1044" spans="2:16">
      <c r="B1044" s="478"/>
      <c r="C1044" s="207" t="s">
        <v>430</v>
      </c>
      <c r="D1044" s="31"/>
      <c r="E1044" s="31"/>
      <c r="F1044" s="31"/>
      <c r="G1044" s="206"/>
      <c r="H1044" s="206"/>
      <c r="I1044" s="225"/>
      <c r="J1044" s="206"/>
      <c r="K1044" s="349"/>
      <c r="L1044" s="349"/>
      <c r="M1044" s="349"/>
      <c r="N1044" s="421"/>
    </row>
    <row r="1045" spans="2:16" ht="16.5">
      <c r="B1045" s="478"/>
      <c r="C1045" s="189" t="s">
        <v>431</v>
      </c>
      <c r="D1045" s="24">
        <f>G158*D1042</f>
        <v>1366383098.3073816</v>
      </c>
      <c r="E1045" s="198" t="s">
        <v>199</v>
      </c>
      <c r="F1045" s="31"/>
      <c r="G1045" s="206"/>
      <c r="H1045" s="206"/>
      <c r="I1045" s="225"/>
      <c r="J1045" s="206"/>
      <c r="K1045" s="349"/>
      <c r="L1045" s="349"/>
      <c r="M1045" s="349"/>
      <c r="N1045" s="421"/>
    </row>
    <row r="1046" spans="2:16">
      <c r="B1046" s="478"/>
      <c r="C1046" s="242"/>
      <c r="D1046" s="31"/>
      <c r="E1046" s="31"/>
      <c r="F1046" s="31"/>
      <c r="G1046" s="31"/>
      <c r="H1046" s="31"/>
      <c r="I1046" s="225"/>
      <c r="J1046" s="206"/>
      <c r="K1046" s="349"/>
      <c r="L1046" s="349"/>
      <c r="M1046" s="349"/>
      <c r="N1046" s="421"/>
    </row>
    <row r="1047" spans="2:16">
      <c r="B1047" s="478"/>
      <c r="C1047" s="244"/>
      <c r="D1047" s="254"/>
      <c r="E1047" s="222"/>
      <c r="F1047" s="222"/>
      <c r="G1047" s="222"/>
      <c r="H1047" s="222"/>
      <c r="I1047" s="223"/>
      <c r="J1047" s="206"/>
      <c r="K1047" s="426"/>
      <c r="L1047" s="489"/>
      <c r="M1047" s="426"/>
      <c r="N1047" s="488"/>
      <c r="O1047" s="367"/>
      <c r="P1047" s="259"/>
    </row>
    <row r="1048" spans="2:16" ht="15">
      <c r="B1048" s="478"/>
      <c r="C1048" s="191" t="s">
        <v>163</v>
      </c>
      <c r="D1048" s="221">
        <f>D1022</f>
        <v>1.20904345</v>
      </c>
      <c r="E1048" s="209" t="s">
        <v>73</v>
      </c>
      <c r="F1048" s="31"/>
      <c r="G1048" s="206"/>
      <c r="H1048" s="206"/>
      <c r="I1048" s="225"/>
      <c r="J1048" s="206"/>
      <c r="K1048" s="453"/>
      <c r="L1048" s="349"/>
      <c r="M1048" s="349"/>
      <c r="N1048" s="421"/>
      <c r="O1048" s="367"/>
      <c r="P1048" s="259"/>
    </row>
    <row r="1049" spans="2:16" ht="15">
      <c r="B1049" s="478"/>
      <c r="C1049" s="191" t="s">
        <v>164</v>
      </c>
      <c r="D1049" s="221">
        <f>D1023</f>
        <v>750</v>
      </c>
      <c r="E1049" s="209" t="s">
        <v>4</v>
      </c>
      <c r="F1049" s="206"/>
      <c r="G1049" s="206"/>
      <c r="H1049" s="206"/>
      <c r="I1049" s="225"/>
      <c r="J1049" s="206"/>
      <c r="K1049" s="490"/>
      <c r="L1049" s="491"/>
      <c r="M1049" s="426"/>
      <c r="N1049" s="488"/>
      <c r="O1049" s="367"/>
      <c r="P1049" s="259"/>
    </row>
    <row r="1050" spans="2:16">
      <c r="B1050" s="478"/>
      <c r="C1050" s="205"/>
      <c r="D1050" s="31"/>
      <c r="E1050" s="31"/>
      <c r="F1050" s="31"/>
      <c r="G1050" s="206"/>
      <c r="H1050" s="206"/>
      <c r="I1050" s="225"/>
      <c r="J1050" s="206"/>
      <c r="K1050" s="426"/>
      <c r="L1050" s="349"/>
      <c r="M1050" s="349"/>
      <c r="N1050" s="421"/>
      <c r="O1050" s="367"/>
      <c r="P1050" s="259"/>
    </row>
    <row r="1051" spans="2:16">
      <c r="B1051" s="478"/>
      <c r="C1051" s="207" t="s">
        <v>166</v>
      </c>
      <c r="D1051" s="31"/>
      <c r="E1051" s="31"/>
      <c r="F1051" s="31"/>
      <c r="G1051" s="206"/>
      <c r="H1051" s="206"/>
      <c r="I1051" s="225"/>
      <c r="J1051" s="206"/>
      <c r="K1051" s="426"/>
      <c r="L1051" s="349"/>
      <c r="M1051" s="349"/>
      <c r="N1051" s="421"/>
      <c r="O1051" s="367"/>
      <c r="P1051" s="259"/>
    </row>
    <row r="1052" spans="2:16" ht="15">
      <c r="B1052" s="420"/>
      <c r="C1052" s="233" t="s">
        <v>202</v>
      </c>
      <c r="D1052" s="212">
        <f>5*D1022*D1023^4/(384*D1045)</f>
        <v>3.6454677522915406</v>
      </c>
      <c r="E1052" s="234" t="s">
        <v>4</v>
      </c>
      <c r="F1052" s="37"/>
      <c r="G1052" s="226"/>
      <c r="H1052" s="226"/>
      <c r="I1052" s="227"/>
      <c r="J1052" s="206"/>
      <c r="K1052" s="426"/>
      <c r="L1052" s="480">
        <f>L970</f>
        <v>1.20904345</v>
      </c>
      <c r="M1052" s="349"/>
      <c r="N1052" s="421"/>
      <c r="O1052" s="367"/>
      <c r="P1052" s="259"/>
    </row>
    <row r="1053" spans="2:16" ht="15">
      <c r="B1053" s="478"/>
      <c r="C1053" s="1015" t="s">
        <v>432</v>
      </c>
      <c r="D1053" s="1016"/>
      <c r="E1053" s="1016"/>
      <c r="F1053" s="1016"/>
      <c r="G1053" s="1016"/>
      <c r="H1053" s="1016"/>
      <c r="I1053" s="1017"/>
      <c r="J1053" s="206"/>
      <c r="K1053" s="426"/>
      <c r="L1053" s="349"/>
      <c r="M1053" s="349"/>
      <c r="N1053" s="421"/>
      <c r="O1053" s="367"/>
      <c r="P1053" s="259"/>
    </row>
    <row r="1054" spans="2:16" ht="15">
      <c r="B1054" s="492"/>
      <c r="C1054" s="235"/>
      <c r="D1054" s="236"/>
      <c r="E1054" s="236"/>
      <c r="F1054" s="236"/>
      <c r="G1054" s="236"/>
      <c r="H1054" s="236"/>
      <c r="I1054" s="237"/>
      <c r="J1054" s="251"/>
      <c r="K1054" s="426"/>
      <c r="L1054" s="426"/>
      <c r="M1054" s="426"/>
      <c r="N1054" s="488"/>
      <c r="O1054" s="367"/>
      <c r="P1054" s="259"/>
    </row>
    <row r="1055" spans="2:16" ht="15">
      <c r="B1055" s="478"/>
      <c r="C1055" s="191" t="s">
        <v>203</v>
      </c>
      <c r="D1055" s="221">
        <f>D977</f>
        <v>0.89304344999999996</v>
      </c>
      <c r="E1055" s="209" t="s">
        <v>73</v>
      </c>
      <c r="F1055" s="31"/>
      <c r="G1055" s="31"/>
      <c r="H1055" s="206"/>
      <c r="I1055" s="225"/>
      <c r="J1055" s="206"/>
      <c r="K1055" s="426"/>
      <c r="L1055" s="426"/>
      <c r="M1055" s="426"/>
      <c r="N1055" s="488"/>
      <c r="O1055" s="367"/>
      <c r="P1055" s="259"/>
    </row>
    <row r="1056" spans="2:16">
      <c r="B1056" s="478"/>
      <c r="C1056" s="210"/>
      <c r="D1056" s="31"/>
      <c r="E1056" s="31"/>
      <c r="F1056" s="31"/>
      <c r="G1056" s="31"/>
      <c r="H1056" s="206"/>
      <c r="I1056" s="225"/>
      <c r="J1056" s="206"/>
      <c r="K1056" s="426"/>
      <c r="L1056" s="426"/>
      <c r="M1056" s="426"/>
      <c r="N1056" s="488"/>
      <c r="O1056" s="367"/>
      <c r="P1056" s="259"/>
    </row>
    <row r="1057" spans="2:16" ht="15">
      <c r="B1057" s="420"/>
      <c r="C1057" s="214" t="s">
        <v>204</v>
      </c>
      <c r="D1057" s="92">
        <f>5*D977*D941^4/(384*D1045)</f>
        <v>2.6926750220351328</v>
      </c>
      <c r="E1057" s="215" t="s">
        <v>4</v>
      </c>
      <c r="F1057" s="31"/>
      <c r="G1057" s="31"/>
      <c r="H1057" s="206"/>
      <c r="I1057" s="225"/>
      <c r="J1057" s="31"/>
      <c r="K1057" s="349"/>
      <c r="L1057" s="349"/>
      <c r="M1057" s="426"/>
      <c r="N1057" s="421"/>
    </row>
    <row r="1058" spans="2:16">
      <c r="B1058" s="478"/>
      <c r="C1058" s="208"/>
      <c r="D1058" s="37"/>
      <c r="E1058" s="37"/>
      <c r="F1058" s="37"/>
      <c r="G1058" s="37"/>
      <c r="H1058" s="226"/>
      <c r="I1058" s="227"/>
      <c r="J1058" s="206"/>
      <c r="K1058" s="426"/>
      <c r="L1058" s="426"/>
      <c r="M1058" s="426"/>
      <c r="N1058" s="421"/>
    </row>
    <row r="1059" spans="2:16" ht="15">
      <c r="B1059" s="478"/>
      <c r="C1059" s="1015" t="s">
        <v>433</v>
      </c>
      <c r="D1059" s="1016"/>
      <c r="E1059" s="1016"/>
      <c r="F1059" s="1016"/>
      <c r="G1059" s="1016"/>
      <c r="H1059" s="1016"/>
      <c r="I1059" s="1017"/>
      <c r="J1059" s="206"/>
      <c r="K1059" s="426"/>
      <c r="L1059" s="426"/>
      <c r="M1059" s="426"/>
      <c r="N1059" s="488"/>
      <c r="O1059" s="367"/>
      <c r="P1059" s="259"/>
    </row>
    <row r="1060" spans="2:16" ht="15">
      <c r="B1060" s="478"/>
      <c r="C1060" s="235"/>
      <c r="D1060" s="236"/>
      <c r="E1060" s="236"/>
      <c r="F1060" s="236"/>
      <c r="G1060" s="236"/>
      <c r="H1060" s="236"/>
      <c r="I1060" s="237"/>
      <c r="J1060" s="206"/>
      <c r="K1060" s="426"/>
      <c r="L1060" s="426"/>
      <c r="M1060" s="426"/>
      <c r="N1060" s="488"/>
      <c r="O1060" s="367"/>
      <c r="P1060" s="259"/>
    </row>
    <row r="1061" spans="2:16" ht="15">
      <c r="B1061" s="478"/>
      <c r="C1061" s="191" t="s">
        <v>203</v>
      </c>
      <c r="D1061" s="221">
        <f>D1055</f>
        <v>0.89304344999999996</v>
      </c>
      <c r="E1061" s="209" t="s">
        <v>73</v>
      </c>
      <c r="F1061" s="31"/>
      <c r="G1061" s="31"/>
      <c r="H1061" s="206"/>
      <c r="I1061" s="225"/>
      <c r="J1061" s="206"/>
      <c r="K1061" s="426"/>
      <c r="L1061" s="426"/>
      <c r="M1061" s="426"/>
      <c r="N1061" s="488"/>
      <c r="O1061" s="367"/>
      <c r="P1061" s="259"/>
    </row>
    <row r="1062" spans="2:16">
      <c r="B1062" s="420"/>
      <c r="C1062" s="210"/>
      <c r="D1062" s="31"/>
      <c r="E1062" s="31"/>
      <c r="F1062" s="31"/>
      <c r="G1062" s="31"/>
      <c r="H1062" s="206"/>
      <c r="I1062" s="225"/>
      <c r="J1062" s="31"/>
      <c r="K1062" s="349"/>
      <c r="L1062" s="349"/>
      <c r="M1062" s="426"/>
      <c r="N1062" s="488"/>
      <c r="P1062" s="259"/>
    </row>
    <row r="1063" spans="2:16" ht="15">
      <c r="B1063" s="478"/>
      <c r="C1063" s="214" t="s">
        <v>205</v>
      </c>
      <c r="D1063" s="92">
        <f>5*D1055*D1023^4/(384*D1019)</f>
        <v>3.5078569153628192</v>
      </c>
      <c r="E1063" s="215" t="s">
        <v>4</v>
      </c>
      <c r="F1063" s="31"/>
      <c r="G1063" s="31"/>
      <c r="H1063" s="206"/>
      <c r="I1063" s="225"/>
      <c r="J1063" s="206"/>
      <c r="K1063" s="426"/>
      <c r="L1063" s="426"/>
      <c r="M1063" s="426"/>
      <c r="N1063" s="488"/>
      <c r="O1063" s="367"/>
      <c r="P1063" s="259"/>
    </row>
    <row r="1064" spans="2:16" ht="15">
      <c r="B1064" s="478"/>
      <c r="C1064" s="233"/>
      <c r="D1064" s="212"/>
      <c r="E1064" s="234"/>
      <c r="F1064" s="37"/>
      <c r="G1064" s="37"/>
      <c r="H1064" s="226"/>
      <c r="I1064" s="227"/>
      <c r="J1064" s="206"/>
      <c r="K1064" s="426"/>
      <c r="L1064" s="426"/>
      <c r="M1064" s="426"/>
      <c r="N1064" s="493"/>
      <c r="P1064" s="265"/>
    </row>
    <row r="1065" spans="2:16" ht="15">
      <c r="B1065" s="478"/>
      <c r="C1065" s="1015" t="s">
        <v>165</v>
      </c>
      <c r="D1065" s="1016"/>
      <c r="E1065" s="1016"/>
      <c r="F1065" s="1016"/>
      <c r="G1065" s="1016"/>
      <c r="H1065" s="1016"/>
      <c r="I1065" s="1017"/>
      <c r="J1065" s="206"/>
      <c r="K1065" s="453"/>
      <c r="L1065" s="426"/>
      <c r="M1065" s="426"/>
      <c r="N1065" s="488"/>
      <c r="O1065" s="367"/>
      <c r="P1065" s="259"/>
    </row>
    <row r="1066" spans="2:16">
      <c r="B1066" s="420"/>
      <c r="C1066" s="207"/>
      <c r="D1066" s="31"/>
      <c r="E1066" s="31"/>
      <c r="F1066" s="31"/>
      <c r="G1066" s="31"/>
      <c r="H1066" s="206"/>
      <c r="I1066" s="225"/>
      <c r="J1066" s="481"/>
      <c r="K1066" s="349"/>
      <c r="L1066" s="426"/>
      <c r="M1066" s="426"/>
      <c r="N1066" s="488"/>
      <c r="O1066" s="367"/>
      <c r="P1066" s="259"/>
    </row>
    <row r="1067" spans="2:16" ht="15">
      <c r="B1067" s="478"/>
      <c r="C1067" s="729" t="s">
        <v>206</v>
      </c>
      <c r="D1067" s="730">
        <f>$D$1052-$D$1057+$D$1063</f>
        <v>4.4606496456192275</v>
      </c>
      <c r="E1067" s="731" t="s">
        <v>4</v>
      </c>
      <c r="F1067" s="31"/>
      <c r="G1067" s="742" t="s">
        <v>786</v>
      </c>
      <c r="H1067" s="732">
        <f>$F$186*100/300</f>
        <v>2.5</v>
      </c>
      <c r="I1067" s="743" t="s">
        <v>4</v>
      </c>
      <c r="J1067" s="206"/>
      <c r="K1067" s="426"/>
      <c r="L1067" s="426"/>
      <c r="M1067" s="426"/>
      <c r="N1067" s="488"/>
      <c r="O1067" s="367"/>
      <c r="P1067" s="259"/>
    </row>
    <row r="1068" spans="2:16">
      <c r="B1068" s="420"/>
      <c r="C1068" s="208"/>
      <c r="D1068" s="37"/>
      <c r="E1068" s="37"/>
      <c r="F1068" s="37"/>
      <c r="G1068" s="37"/>
      <c r="H1068" s="226"/>
      <c r="I1068" s="227"/>
      <c r="J1068" s="206"/>
      <c r="K1068" s="426"/>
      <c r="L1068" s="426"/>
      <c r="M1068" s="426"/>
      <c r="N1068" s="493"/>
      <c r="P1068" s="265"/>
    </row>
    <row r="1069" spans="2:16" ht="15">
      <c r="B1069" s="420"/>
      <c r="C1069" s="1015" t="s">
        <v>438</v>
      </c>
      <c r="D1069" s="1016"/>
      <c r="E1069" s="1016"/>
      <c r="F1069" s="1016"/>
      <c r="G1069" s="1016"/>
      <c r="H1069" s="1016"/>
      <c r="I1069" s="1017"/>
      <c r="J1069" s="206"/>
      <c r="K1069" s="453"/>
      <c r="L1069" s="426"/>
      <c r="M1069" s="426"/>
      <c r="N1069" s="488"/>
      <c r="O1069" s="367"/>
      <c r="P1069" s="259"/>
    </row>
    <row r="1070" spans="2:16" ht="15">
      <c r="B1070" s="420"/>
      <c r="C1070" s="235"/>
      <c r="D1070" s="236"/>
      <c r="E1070" s="236"/>
      <c r="F1070" s="236"/>
      <c r="G1070" s="236"/>
      <c r="H1070" s="236"/>
      <c r="I1070" s="237"/>
      <c r="J1070" s="206"/>
      <c r="K1070" s="453"/>
      <c r="L1070" s="426"/>
      <c r="M1070" s="426"/>
      <c r="N1070" s="488"/>
      <c r="O1070" s="367"/>
      <c r="P1070" s="259"/>
    </row>
    <row r="1071" spans="2:16" ht="15">
      <c r="B1071" s="420"/>
      <c r="C1071" s="191" t="s">
        <v>163</v>
      </c>
      <c r="D1071" s="221">
        <f>(E197)/100</f>
        <v>4.8693449999999992E-2</v>
      </c>
      <c r="E1071" s="209" t="s">
        <v>73</v>
      </c>
      <c r="F1071" s="31"/>
      <c r="G1071" s="31"/>
      <c r="H1071" s="206"/>
      <c r="I1071" s="225"/>
      <c r="J1071" s="206"/>
      <c r="K1071" s="453"/>
      <c r="L1071" s="426"/>
      <c r="M1071" s="426"/>
      <c r="N1071" s="488"/>
      <c r="O1071" s="367"/>
      <c r="P1071" s="259"/>
    </row>
    <row r="1072" spans="2:16">
      <c r="B1072" s="420"/>
      <c r="C1072" s="210"/>
      <c r="D1072" s="31"/>
      <c r="E1072" s="31"/>
      <c r="F1072" s="31"/>
      <c r="G1072" s="31"/>
      <c r="H1072" s="206"/>
      <c r="I1072" s="225"/>
      <c r="J1072" s="206"/>
      <c r="K1072" s="453"/>
      <c r="L1072" s="426"/>
      <c r="M1072" s="426"/>
      <c r="N1072" s="488"/>
      <c r="O1072" s="367"/>
      <c r="P1072" s="259"/>
    </row>
    <row r="1073" spans="2:37" ht="15">
      <c r="B1073" s="420"/>
      <c r="C1073" s="214" t="s">
        <v>220</v>
      </c>
      <c r="D1073" s="92">
        <f>5*D1071*D1023^4/(384*D1045)</f>
        <v>0.14681887712374644</v>
      </c>
      <c r="E1073" s="215" t="s">
        <v>4</v>
      </c>
      <c r="F1073" s="31"/>
      <c r="G1073" s="31"/>
      <c r="H1073" s="206"/>
      <c r="I1073" s="225"/>
      <c r="J1073" s="206"/>
      <c r="K1073" s="453"/>
      <c r="L1073" s="426"/>
      <c r="M1073" s="426"/>
      <c r="N1073" s="488"/>
      <c r="O1073" s="367"/>
      <c r="P1073" s="259"/>
    </row>
    <row r="1074" spans="2:37" ht="15">
      <c r="B1074" s="420"/>
      <c r="C1074" s="233"/>
      <c r="D1074" s="212"/>
      <c r="E1074" s="234"/>
      <c r="F1074" s="37"/>
      <c r="G1074" s="37"/>
      <c r="H1074" s="226"/>
      <c r="I1074" s="227"/>
      <c r="J1074" s="481"/>
      <c r="K1074" s="349"/>
      <c r="L1074" s="426"/>
      <c r="M1074" s="426"/>
      <c r="N1074" s="488"/>
      <c r="O1074" s="367"/>
      <c r="P1074" s="259"/>
    </row>
    <row r="1075" spans="2:37">
      <c r="B1075" s="478"/>
      <c r="C1075" s="31"/>
      <c r="D1075" s="206"/>
      <c r="E1075" s="206"/>
      <c r="F1075" s="206"/>
      <c r="G1075" s="206"/>
      <c r="H1075" s="206"/>
      <c r="I1075" s="206"/>
      <c r="J1075" s="206"/>
      <c r="K1075" s="426"/>
      <c r="L1075" s="426"/>
      <c r="M1075" s="426"/>
      <c r="N1075" s="488"/>
      <c r="O1075" s="367"/>
      <c r="P1075" s="259"/>
    </row>
    <row r="1076" spans="2:37">
      <c r="B1076" s="478"/>
      <c r="C1076" s="31"/>
      <c r="D1076" s="206"/>
      <c r="E1076" s="206"/>
      <c r="F1076" s="206"/>
      <c r="G1076" s="206"/>
      <c r="H1076" s="206"/>
      <c r="I1076" s="206"/>
      <c r="J1076" s="206"/>
      <c r="K1076" s="426"/>
      <c r="L1076" s="426"/>
      <c r="M1076" s="426"/>
      <c r="N1076" s="488"/>
      <c r="O1076" s="367"/>
      <c r="P1076" s="259"/>
    </row>
    <row r="1077" spans="2:37" ht="30" customHeight="1">
      <c r="B1077" s="478"/>
      <c r="C1077" s="7" t="s">
        <v>168</v>
      </c>
      <c r="D1077" s="8"/>
      <c r="E1077" s="8"/>
      <c r="F1077" s="8"/>
      <c r="G1077" s="8"/>
      <c r="H1077" s="8"/>
      <c r="I1077" s="8"/>
      <c r="J1077" s="8"/>
      <c r="K1077" s="426"/>
      <c r="L1077" s="426"/>
      <c r="M1077" s="426"/>
      <c r="N1077" s="488"/>
      <c r="O1077" s="367"/>
      <c r="P1077" s="259"/>
    </row>
    <row r="1078" spans="2:37" s="788" customFormat="1" ht="15" customHeight="1">
      <c r="B1078" s="478"/>
      <c r="C1078" s="136"/>
      <c r="D1078" s="889"/>
      <c r="E1078" s="889"/>
      <c r="F1078" s="889"/>
      <c r="G1078" s="889"/>
      <c r="H1078" s="889"/>
      <c r="I1078" s="889"/>
      <c r="J1078" s="889"/>
      <c r="K1078" s="426"/>
      <c r="L1078" s="426"/>
      <c r="M1078" s="426"/>
      <c r="N1078" s="488"/>
      <c r="O1078" s="367"/>
      <c r="P1078" s="259"/>
      <c r="Q1078" s="789"/>
      <c r="R1078" s="789"/>
      <c r="S1078" s="789"/>
      <c r="T1078" s="789"/>
      <c r="U1078" s="789"/>
      <c r="V1078" s="789"/>
      <c r="W1078" s="789"/>
      <c r="X1078" s="789"/>
      <c r="Y1078" s="789"/>
      <c r="Z1078" s="789"/>
      <c r="AA1078" s="789"/>
      <c r="AB1078" s="789"/>
      <c r="AC1078" s="789"/>
      <c r="AD1078" s="789"/>
      <c r="AE1078" s="789"/>
      <c r="AF1078" s="789"/>
      <c r="AG1078" s="789"/>
      <c r="AH1078" s="789"/>
      <c r="AI1078" s="789"/>
      <c r="AJ1078" s="789"/>
      <c r="AK1078" s="789"/>
    </row>
    <row r="1079" spans="2:37" ht="15">
      <c r="B1079" s="478"/>
      <c r="C1079" s="1032" t="s">
        <v>928</v>
      </c>
      <c r="D1079" s="1032"/>
      <c r="E1079" s="1032"/>
      <c r="F1079" s="1032"/>
      <c r="G1079" s="885" t="s">
        <v>929</v>
      </c>
      <c r="H1079" s="890">
        <f>C76</f>
        <v>12</v>
      </c>
      <c r="I1079" s="679" t="s">
        <v>6</v>
      </c>
      <c r="J1079" s="206"/>
      <c r="K1079" s="426"/>
      <c r="L1079" s="426"/>
      <c r="M1079" s="426"/>
      <c r="N1079" s="488"/>
      <c r="O1079" s="367"/>
      <c r="P1079" s="259"/>
    </row>
    <row r="1080" spans="2:37" s="788" customFormat="1" ht="15.75">
      <c r="B1080" s="478"/>
      <c r="C1080" s="1032" t="s">
        <v>930</v>
      </c>
      <c r="D1080" s="1032"/>
      <c r="E1080" s="1032"/>
      <c r="F1080" s="1032"/>
      <c r="G1080" s="181" t="s">
        <v>174</v>
      </c>
      <c r="H1080" s="890">
        <f>PI()*H1079^2/4</f>
        <v>113.09733552923255</v>
      </c>
      <c r="I1080" s="891" t="s">
        <v>175</v>
      </c>
      <c r="J1080" s="206"/>
      <c r="K1080" s="426"/>
      <c r="L1080" s="426"/>
      <c r="M1080" s="426"/>
      <c r="N1080" s="488"/>
      <c r="O1080" s="367"/>
      <c r="P1080" s="259"/>
      <c r="Q1080" s="789"/>
      <c r="R1080" s="789"/>
      <c r="S1080" s="789"/>
      <c r="T1080" s="789"/>
      <c r="U1080" s="789"/>
      <c r="V1080" s="789"/>
      <c r="W1080" s="789"/>
      <c r="X1080" s="789"/>
      <c r="Y1080" s="789"/>
      <c r="Z1080" s="789"/>
      <c r="AA1080" s="789"/>
      <c r="AB1080" s="789"/>
      <c r="AC1080" s="789"/>
      <c r="AD1080" s="789"/>
      <c r="AE1080" s="789"/>
      <c r="AF1080" s="789"/>
      <c r="AG1080" s="789"/>
      <c r="AH1080" s="789"/>
      <c r="AI1080" s="789"/>
      <c r="AJ1080" s="789"/>
      <c r="AK1080" s="789"/>
    </row>
    <row r="1081" spans="2:37" ht="15">
      <c r="B1081" s="478"/>
      <c r="C1081" s="1032" t="s">
        <v>925</v>
      </c>
      <c r="D1081" s="1032"/>
      <c r="E1081" s="1032"/>
      <c r="F1081" s="1032"/>
      <c r="G1081" s="892" t="s">
        <v>924</v>
      </c>
      <c r="H1081" s="893">
        <v>185</v>
      </c>
      <c r="I1081" s="894" t="s">
        <v>6</v>
      </c>
      <c r="J1081" s="206"/>
      <c r="K1081" s="426"/>
      <c r="L1081" s="426"/>
      <c r="M1081" s="426"/>
      <c r="N1081" s="488"/>
      <c r="O1081" s="367"/>
      <c r="P1081" s="259"/>
    </row>
    <row r="1082" spans="2:37" s="788" customFormat="1" ht="15.75">
      <c r="B1082" s="478"/>
      <c r="C1082" s="1032" t="s">
        <v>931</v>
      </c>
      <c r="D1082" s="1032"/>
      <c r="E1082" s="1032"/>
      <c r="F1082" s="1032"/>
      <c r="G1082" s="887" t="s">
        <v>446</v>
      </c>
      <c r="H1082" s="898">
        <f>F137</f>
        <v>18869</v>
      </c>
      <c r="I1082" s="891" t="s">
        <v>175</v>
      </c>
      <c r="J1082" s="206"/>
      <c r="K1082" s="426"/>
      <c r="L1082" s="426"/>
      <c r="M1082" s="426"/>
      <c r="N1082" s="488"/>
      <c r="O1082" s="367"/>
      <c r="P1082" s="259"/>
      <c r="Q1082" s="789"/>
      <c r="R1082" s="789"/>
      <c r="S1082" s="789"/>
      <c r="T1082" s="789"/>
      <c r="U1082" s="789"/>
      <c r="V1082" s="789"/>
      <c r="W1082" s="789"/>
      <c r="X1082" s="789"/>
      <c r="Y1082" s="789"/>
      <c r="Z1082" s="789"/>
      <c r="AA1082" s="789"/>
      <c r="AB1082" s="789"/>
      <c r="AC1082" s="789"/>
      <c r="AD1082" s="789"/>
      <c r="AE1082" s="789"/>
      <c r="AF1082" s="789"/>
      <c r="AG1082" s="789"/>
      <c r="AH1082" s="789"/>
      <c r="AI1082" s="789"/>
      <c r="AJ1082" s="789"/>
      <c r="AK1082" s="789"/>
    </row>
    <row r="1083" spans="2:37" s="788" customFormat="1" ht="15">
      <c r="B1083" s="478"/>
      <c r="C1083" s="1032" t="s">
        <v>932</v>
      </c>
      <c r="D1083" s="1032"/>
      <c r="E1083" s="1032"/>
      <c r="F1083" s="1032"/>
      <c r="G1083" s="887" t="s">
        <v>170</v>
      </c>
      <c r="H1083" s="899">
        <f>MIN(H1080/H1082,2)</f>
        <v>5.993817135472603E-3</v>
      </c>
      <c r="I1083" s="891"/>
      <c r="J1083" s="206"/>
      <c r="K1083" s="426"/>
      <c r="L1083" s="426"/>
      <c r="M1083" s="426"/>
      <c r="N1083" s="488"/>
      <c r="O1083" s="367"/>
      <c r="P1083" s="259"/>
      <c r="Q1083" s="789"/>
      <c r="R1083" s="789"/>
      <c r="S1083" s="789"/>
      <c r="T1083" s="789"/>
      <c r="U1083" s="789"/>
      <c r="V1083" s="789"/>
      <c r="W1083" s="789"/>
      <c r="X1083" s="789"/>
      <c r="Y1083" s="789"/>
      <c r="Z1083" s="789"/>
      <c r="AA1083" s="789"/>
      <c r="AB1083" s="789"/>
      <c r="AC1083" s="789"/>
      <c r="AD1083" s="789"/>
      <c r="AE1083" s="789"/>
      <c r="AF1083" s="789"/>
      <c r="AG1083" s="789"/>
      <c r="AH1083" s="789"/>
      <c r="AI1083" s="789"/>
      <c r="AJ1083" s="789"/>
      <c r="AK1083" s="789"/>
    </row>
    <row r="1084" spans="2:37" ht="33" customHeight="1">
      <c r="B1084" s="478"/>
      <c r="F1084" s="206"/>
      <c r="G1084" s="895" t="s">
        <v>172</v>
      </c>
      <c r="H1084" s="896">
        <f>MIN(1+SQRT(200/H1081),2)</f>
        <v>2</v>
      </c>
      <c r="I1084" s="897" t="s">
        <v>926</v>
      </c>
      <c r="J1084" s="206"/>
      <c r="K1084" s="426"/>
      <c r="L1084" s="426"/>
      <c r="M1084" s="426"/>
      <c r="N1084" s="488"/>
      <c r="O1084" s="367"/>
      <c r="P1084" s="259"/>
    </row>
    <row r="1085" spans="2:37" ht="15.75">
      <c r="B1085" s="478"/>
      <c r="C1085" s="1032" t="s">
        <v>927</v>
      </c>
      <c r="D1085" s="1032"/>
      <c r="E1085" s="1032"/>
      <c r="F1085" s="1032"/>
      <c r="G1085" s="887" t="s">
        <v>173</v>
      </c>
      <c r="H1085" s="888">
        <v>0</v>
      </c>
      <c r="I1085" s="886" t="s">
        <v>926</v>
      </c>
      <c r="J1085" s="494" t="s">
        <v>171</v>
      </c>
      <c r="K1085" s="495" t="s">
        <v>443</v>
      </c>
      <c r="L1085" s="206"/>
      <c r="M1085" s="426"/>
      <c r="N1085" s="488"/>
      <c r="O1085" s="367"/>
      <c r="P1085" s="259"/>
    </row>
    <row r="1086" spans="2:37" ht="15">
      <c r="B1086" s="478"/>
      <c r="C1086" s="181"/>
      <c r="D1086" s="256"/>
      <c r="E1086" s="206"/>
      <c r="F1086" s="206"/>
      <c r="G1086" s="206"/>
      <c r="H1086" s="206"/>
      <c r="I1086" s="206"/>
      <c r="J1086" s="206"/>
      <c r="K1086" s="426"/>
      <c r="L1086" s="426"/>
      <c r="M1086" s="426"/>
      <c r="N1086" s="488"/>
      <c r="O1086" s="367"/>
      <c r="P1086" s="259"/>
    </row>
    <row r="1087" spans="2:37">
      <c r="B1087" s="478"/>
      <c r="F1087" s="206"/>
      <c r="G1087" s="206"/>
      <c r="H1087" s="206"/>
      <c r="I1087" s="206"/>
      <c r="J1087" s="206"/>
      <c r="K1087" s="426"/>
      <c r="L1087" s="426"/>
      <c r="M1087" s="426"/>
      <c r="N1087" s="488"/>
      <c r="O1087" s="367"/>
      <c r="P1087" s="259"/>
    </row>
    <row r="1088" spans="2:37" ht="15.75" customHeight="1">
      <c r="B1088" s="478"/>
      <c r="C1088" s="1032" t="s">
        <v>933</v>
      </c>
      <c r="D1088" s="1032"/>
      <c r="E1088" s="1032"/>
      <c r="F1088" s="1032"/>
      <c r="G1088" s="655" t="s">
        <v>190</v>
      </c>
      <c r="H1088" s="890">
        <f>E163</f>
        <v>20</v>
      </c>
      <c r="I1088" s="679" t="s">
        <v>3</v>
      </c>
      <c r="J1088" s="206"/>
      <c r="K1088" s="426"/>
      <c r="L1088" s="426"/>
      <c r="M1088" s="426"/>
      <c r="N1088" s="488"/>
      <c r="O1088" s="367"/>
      <c r="P1088" s="259"/>
    </row>
    <row r="1089" spans="2:37" ht="15.75">
      <c r="B1089" s="478"/>
      <c r="C1089" s="1032"/>
      <c r="D1089" s="1032"/>
      <c r="E1089" s="1032"/>
      <c r="F1089" s="1032"/>
      <c r="G1089" s="900" t="s">
        <v>191</v>
      </c>
      <c r="H1089" s="901">
        <f>E165</f>
        <v>1.5</v>
      </c>
      <c r="I1089" s="679" t="s">
        <v>3</v>
      </c>
      <c r="J1089" s="206"/>
      <c r="K1089" s="426"/>
      <c r="L1089" s="426"/>
      <c r="M1089" s="426"/>
      <c r="N1089" s="488"/>
      <c r="O1089" s="367"/>
      <c r="P1089" s="259"/>
    </row>
    <row r="1090" spans="2:37">
      <c r="B1090" s="478"/>
      <c r="D1090" s="206"/>
      <c r="E1090" s="206"/>
      <c r="F1090" s="206"/>
      <c r="G1090" s="206"/>
      <c r="H1090" s="206"/>
      <c r="I1090" s="206"/>
      <c r="J1090" s="206"/>
      <c r="K1090" s="426"/>
      <c r="L1090" s="426"/>
      <c r="M1090" s="426"/>
      <c r="N1090" s="488"/>
      <c r="O1090" s="367"/>
      <c r="P1090" s="259"/>
    </row>
    <row r="1091" spans="2:37" ht="15.75">
      <c r="B1091" s="478"/>
      <c r="C1091" s="904" t="s">
        <v>440</v>
      </c>
      <c r="D1091" s="684"/>
      <c r="E1091" s="684"/>
      <c r="F1091" s="157"/>
      <c r="G1091" s="157"/>
      <c r="H1091" s="157"/>
      <c r="I1091" s="905"/>
      <c r="J1091" s="1030"/>
      <c r="K1091" s="426"/>
      <c r="L1091" s="426"/>
      <c r="M1091" s="426"/>
      <c r="N1091" s="488"/>
      <c r="O1091" s="367"/>
      <c r="P1091" s="259"/>
    </row>
    <row r="1092" spans="2:37" ht="15.75">
      <c r="B1092" s="478"/>
      <c r="C1092" s="471" t="s">
        <v>449</v>
      </c>
      <c r="D1092" s="206"/>
      <c r="E1092" s="206"/>
      <c r="F1092" s="735"/>
      <c r="G1092" s="735"/>
      <c r="H1092" s="735"/>
      <c r="I1092" s="906"/>
      <c r="J1092" s="1030"/>
      <c r="K1092" s="426"/>
      <c r="L1092" s="426"/>
      <c r="M1092" s="426"/>
      <c r="N1092" s="488"/>
      <c r="O1092" s="367"/>
      <c r="P1092" s="259"/>
    </row>
    <row r="1093" spans="2:37">
      <c r="B1093" s="478"/>
      <c r="C1093" s="471" t="s">
        <v>439</v>
      </c>
      <c r="D1093" s="206"/>
      <c r="E1093" s="206"/>
      <c r="F1093" s="735"/>
      <c r="G1093" s="206"/>
      <c r="H1093" s="206"/>
      <c r="I1093" s="906"/>
      <c r="J1093" s="206"/>
      <c r="K1093" s="426"/>
      <c r="L1093" s="426"/>
      <c r="M1093" s="426"/>
      <c r="N1093" s="488"/>
      <c r="O1093" s="367"/>
      <c r="P1093" s="259"/>
    </row>
    <row r="1094" spans="2:37" s="788" customFormat="1" ht="15.75">
      <c r="B1094" s="478"/>
      <c r="C1094" s="471" t="s">
        <v>441</v>
      </c>
      <c r="D1094" s="495" t="s">
        <v>442</v>
      </c>
      <c r="E1094" s="206"/>
      <c r="F1094" s="206"/>
      <c r="G1094" s="206"/>
      <c r="H1094" s="206"/>
      <c r="I1094" s="906"/>
      <c r="J1094" s="206"/>
      <c r="K1094" s="426"/>
      <c r="L1094" s="426"/>
      <c r="M1094" s="426"/>
      <c r="N1094" s="488"/>
      <c r="O1094" s="367"/>
      <c r="P1094" s="259"/>
      <c r="Q1094" s="789"/>
      <c r="R1094" s="789"/>
      <c r="S1094" s="789"/>
      <c r="T1094" s="789"/>
      <c r="U1094" s="789"/>
      <c r="V1094" s="789"/>
      <c r="W1094" s="789"/>
      <c r="X1094" s="789"/>
      <c r="Y1094" s="789"/>
      <c r="Z1094" s="789"/>
      <c r="AA1094" s="789"/>
      <c r="AB1094" s="789"/>
      <c r="AC1094" s="789"/>
      <c r="AD1094" s="789"/>
      <c r="AE1094" s="789"/>
      <c r="AF1094" s="789"/>
      <c r="AG1094" s="789"/>
      <c r="AH1094" s="789"/>
      <c r="AI1094" s="789"/>
      <c r="AJ1094" s="789"/>
      <c r="AK1094" s="789"/>
    </row>
    <row r="1095" spans="2:37" s="788" customFormat="1" ht="15.75">
      <c r="B1095" s="478"/>
      <c r="C1095" s="471" t="s">
        <v>444</v>
      </c>
      <c r="D1095" s="1029" t="s">
        <v>445</v>
      </c>
      <c r="E1095" s="1029"/>
      <c r="F1095" s="1029"/>
      <c r="G1095" s="1029"/>
      <c r="H1095" s="206"/>
      <c r="I1095" s="906"/>
      <c r="J1095" s="206"/>
      <c r="K1095" s="426"/>
      <c r="L1095" s="426"/>
      <c r="M1095" s="426"/>
      <c r="N1095" s="488"/>
      <c r="O1095" s="367"/>
      <c r="P1095" s="259"/>
      <c r="Q1095" s="789"/>
      <c r="R1095" s="789"/>
      <c r="S1095" s="789"/>
      <c r="T1095" s="789"/>
      <c r="U1095" s="789"/>
      <c r="V1095" s="789"/>
      <c r="W1095" s="789"/>
      <c r="X1095" s="789"/>
      <c r="Y1095" s="789"/>
      <c r="Z1095" s="789"/>
      <c r="AA1095" s="789"/>
      <c r="AB1095" s="789"/>
      <c r="AC1095" s="789"/>
      <c r="AD1095" s="789"/>
      <c r="AE1095" s="789"/>
      <c r="AF1095" s="789"/>
      <c r="AG1095" s="789"/>
      <c r="AH1095" s="789"/>
      <c r="AI1095" s="789"/>
      <c r="AJ1095" s="789"/>
      <c r="AK1095" s="789"/>
    </row>
    <row r="1096" spans="2:37" s="788" customFormat="1">
      <c r="B1096" s="478"/>
      <c r="C1096" s="478"/>
      <c r="D1096" s="496"/>
      <c r="E1096" s="496"/>
      <c r="F1096" s="496"/>
      <c r="G1096" s="496"/>
      <c r="H1096" s="206"/>
      <c r="I1096" s="906"/>
      <c r="J1096" s="206"/>
      <c r="K1096" s="426"/>
      <c r="L1096" s="426"/>
      <c r="M1096" s="426"/>
      <c r="N1096" s="488"/>
      <c r="O1096" s="367"/>
      <c r="P1096" s="259"/>
      <c r="Q1096" s="789"/>
      <c r="R1096" s="789"/>
      <c r="S1096" s="789"/>
      <c r="T1096" s="789"/>
      <c r="U1096" s="789"/>
      <c r="V1096" s="789"/>
      <c r="W1096" s="789"/>
      <c r="X1096" s="789"/>
      <c r="Y1096" s="789"/>
      <c r="Z1096" s="789"/>
      <c r="AA1096" s="789"/>
      <c r="AB1096" s="789"/>
      <c r="AC1096" s="789"/>
      <c r="AD1096" s="789"/>
      <c r="AE1096" s="789"/>
      <c r="AF1096" s="789"/>
      <c r="AG1096" s="789"/>
      <c r="AH1096" s="789"/>
      <c r="AI1096" s="789"/>
      <c r="AJ1096" s="789"/>
      <c r="AK1096" s="789"/>
    </row>
    <row r="1097" spans="2:37" ht="15.75" customHeight="1">
      <c r="B1097" s="478"/>
      <c r="C1097" s="471" t="s">
        <v>447</v>
      </c>
      <c r="D1097" s="497" t="s">
        <v>448</v>
      </c>
      <c r="E1097" s="206"/>
      <c r="F1097" s="206"/>
      <c r="G1097" s="206"/>
      <c r="H1097" s="735"/>
      <c r="I1097" s="663"/>
      <c r="K1097" s="426"/>
      <c r="L1097" s="426"/>
      <c r="M1097" s="426"/>
      <c r="N1097" s="488"/>
      <c r="O1097" s="367"/>
      <c r="P1097" s="259"/>
    </row>
    <row r="1098" spans="2:37" s="788" customFormat="1" ht="15.75" customHeight="1">
      <c r="B1098" s="478"/>
      <c r="C1098" s="471"/>
      <c r="D1098" s="497"/>
      <c r="E1098" s="206"/>
      <c r="F1098" s="206"/>
      <c r="G1098" s="206"/>
      <c r="H1098" s="735"/>
      <c r="I1098" s="663"/>
      <c r="K1098" s="426"/>
      <c r="L1098" s="426"/>
      <c r="M1098" s="426"/>
      <c r="N1098" s="488"/>
      <c r="O1098" s="367"/>
      <c r="P1098" s="259"/>
      <c r="Q1098" s="789"/>
      <c r="R1098" s="789"/>
      <c r="S1098" s="789"/>
      <c r="T1098" s="789"/>
      <c r="U1098" s="789"/>
      <c r="V1098" s="789"/>
      <c r="W1098" s="789"/>
      <c r="X1098" s="789"/>
      <c r="Y1098" s="789"/>
      <c r="Z1098" s="789"/>
      <c r="AA1098" s="789"/>
      <c r="AB1098" s="789"/>
      <c r="AC1098" s="789"/>
      <c r="AD1098" s="789"/>
      <c r="AE1098" s="789"/>
      <c r="AF1098" s="789"/>
      <c r="AG1098" s="789"/>
      <c r="AH1098" s="789"/>
      <c r="AI1098" s="789"/>
      <c r="AJ1098" s="789"/>
      <c r="AK1098" s="789"/>
    </row>
    <row r="1099" spans="2:37" ht="18" customHeight="1">
      <c r="B1099" s="478"/>
      <c r="C1099" s="486" t="s">
        <v>207</v>
      </c>
      <c r="D1099" s="206"/>
      <c r="E1099" s="206"/>
      <c r="F1099" s="735"/>
      <c r="G1099" s="735"/>
      <c r="H1099" s="735"/>
      <c r="I1099" s="663"/>
      <c r="K1099" s="426"/>
      <c r="L1099" s="426"/>
      <c r="M1099" s="426"/>
      <c r="N1099" s="488"/>
      <c r="O1099" s="367"/>
      <c r="P1099" s="259"/>
    </row>
    <row r="1100" spans="2:37" ht="15.75">
      <c r="B1100" s="478"/>
      <c r="C1100" s="471" t="s">
        <v>169</v>
      </c>
      <c r="D1100" s="735"/>
      <c r="E1100" s="206"/>
      <c r="F1100" s="735"/>
      <c r="G1100" s="735"/>
      <c r="H1100" s="735"/>
      <c r="I1100" s="663"/>
      <c r="K1100" s="426"/>
      <c r="L1100" s="426"/>
      <c r="M1100" s="426"/>
      <c r="N1100" s="488"/>
      <c r="O1100" s="367"/>
      <c r="P1100" s="259"/>
    </row>
    <row r="1101" spans="2:37">
      <c r="B1101" s="478"/>
      <c r="C1101" s="472"/>
      <c r="D1101" s="206"/>
      <c r="E1101" s="206"/>
      <c r="F1101" s="735"/>
      <c r="G1101" s="735"/>
      <c r="H1101" s="735"/>
      <c r="I1101" s="663"/>
      <c r="K1101" s="426"/>
      <c r="L1101" s="426"/>
      <c r="M1101" s="426"/>
      <c r="N1101" s="488"/>
      <c r="O1101" s="367"/>
      <c r="P1101" s="259"/>
    </row>
    <row r="1102" spans="2:37" ht="15.75">
      <c r="B1102" s="478"/>
      <c r="C1102" s="471" t="s">
        <v>216</v>
      </c>
      <c r="D1102" s="735"/>
      <c r="E1102" s="735"/>
      <c r="F1102" s="735"/>
      <c r="G1102" s="735"/>
      <c r="H1102" s="735"/>
      <c r="I1102" s="663"/>
      <c r="K1102" s="426"/>
      <c r="L1102" s="426"/>
      <c r="M1102" s="426"/>
      <c r="N1102" s="488"/>
      <c r="O1102" s="367"/>
      <c r="P1102" s="259"/>
    </row>
    <row r="1103" spans="2:37">
      <c r="B1103" s="420"/>
      <c r="C1103" s="420"/>
      <c r="D1103" s="735"/>
      <c r="E1103" s="735"/>
      <c r="F1103" s="735"/>
      <c r="G1103" s="735"/>
      <c r="H1103" s="735"/>
      <c r="I1103" s="663"/>
      <c r="K1103" s="349"/>
      <c r="L1103" s="426"/>
      <c r="M1103" s="426"/>
      <c r="N1103" s="488"/>
      <c r="O1103" s="367"/>
      <c r="P1103" s="259"/>
    </row>
    <row r="1104" spans="2:37">
      <c r="B1104" s="478"/>
      <c r="C1104" s="471" t="s">
        <v>170</v>
      </c>
      <c r="D1104" s="206"/>
      <c r="E1104" s="206"/>
      <c r="F1104" s="735"/>
      <c r="G1104" s="735"/>
      <c r="H1104" s="735"/>
      <c r="I1104" s="663"/>
      <c r="K1104" s="349"/>
      <c r="L1104" s="349"/>
      <c r="M1104" s="349"/>
      <c r="N1104" s="421"/>
    </row>
    <row r="1105" spans="2:15">
      <c r="B1105" s="420"/>
      <c r="C1105" s="420"/>
      <c r="D1105" s="735"/>
      <c r="E1105" s="206"/>
      <c r="F1105" s="206"/>
      <c r="G1105" s="206"/>
      <c r="H1105" s="206"/>
      <c r="I1105" s="906"/>
      <c r="J1105" s="31"/>
      <c r="K1105" s="426"/>
      <c r="L1105" s="426"/>
      <c r="M1105" s="426"/>
      <c r="N1105" s="488"/>
      <c r="O1105" s="367"/>
    </row>
    <row r="1106" spans="2:15">
      <c r="B1106" s="498"/>
      <c r="C1106" s="907"/>
      <c r="D1106" s="206"/>
      <c r="E1106" s="206"/>
      <c r="F1106" s="206"/>
      <c r="G1106" s="206"/>
      <c r="H1106" s="206"/>
      <c r="I1106" s="906"/>
      <c r="J1106" s="31"/>
      <c r="K1106" s="426"/>
      <c r="L1106" s="426"/>
      <c r="M1106" s="426"/>
      <c r="N1106" s="488"/>
      <c r="O1106" s="367"/>
    </row>
    <row r="1107" spans="2:15" ht="15.75">
      <c r="B1107" s="485"/>
      <c r="C1107" s="471" t="s">
        <v>450</v>
      </c>
      <c r="D1107" s="177"/>
      <c r="E1107" s="206"/>
      <c r="F1107" s="206"/>
      <c r="G1107" s="206"/>
      <c r="H1107" s="206"/>
      <c r="I1107" s="906"/>
      <c r="J1107" s="31"/>
      <c r="K1107" s="349"/>
      <c r="L1107" s="349"/>
      <c r="M1107" s="426"/>
      <c r="N1107" s="488"/>
      <c r="O1107" s="367"/>
    </row>
    <row r="1108" spans="2:15" ht="15.75">
      <c r="B1108" s="420"/>
      <c r="C1108" s="471" t="s">
        <v>451</v>
      </c>
      <c r="D1108" s="735"/>
      <c r="E1108" s="735"/>
      <c r="F1108" s="735"/>
      <c r="G1108" s="735"/>
      <c r="H1108" s="735"/>
      <c r="I1108" s="663"/>
      <c r="J1108" s="31"/>
      <c r="K1108" s="349"/>
      <c r="L1108" s="349"/>
      <c r="M1108" s="349"/>
      <c r="N1108" s="421"/>
    </row>
    <row r="1109" spans="2:15" ht="15.75">
      <c r="B1109" s="420"/>
      <c r="C1109" s="471" t="s">
        <v>452</v>
      </c>
      <c r="D1109" s="177"/>
      <c r="E1109" s="735"/>
      <c r="F1109" s="735"/>
      <c r="G1109" s="735"/>
      <c r="H1109" s="735"/>
      <c r="I1109" s="663"/>
      <c r="J1109" s="31"/>
      <c r="K1109" s="349"/>
      <c r="L1109" s="349"/>
      <c r="M1109" s="349"/>
      <c r="N1109" s="421"/>
    </row>
    <row r="1110" spans="2:15" ht="18.75">
      <c r="B1110" s="420"/>
      <c r="C1110" s="471" t="s">
        <v>454</v>
      </c>
      <c r="D1110" s="177"/>
      <c r="E1110" s="735"/>
      <c r="F1110" s="735"/>
      <c r="G1110" s="735"/>
      <c r="H1110" s="735"/>
      <c r="I1110" s="663"/>
      <c r="J1110" s="31"/>
      <c r="K1110" s="349"/>
      <c r="L1110" s="349"/>
      <c r="M1110" s="349"/>
      <c r="N1110" s="421"/>
    </row>
    <row r="1111" spans="2:15" ht="18.75">
      <c r="B1111" s="420"/>
      <c r="C1111" s="908" t="s">
        <v>455</v>
      </c>
      <c r="D1111" s="909"/>
      <c r="E1111" s="576"/>
      <c r="F1111" s="576"/>
      <c r="G1111" s="576"/>
      <c r="H1111" s="576"/>
      <c r="I1111" s="910"/>
      <c r="J1111" s="31"/>
      <c r="K1111" s="349"/>
      <c r="L1111" s="349"/>
      <c r="M1111" s="349"/>
      <c r="N1111" s="421"/>
    </row>
    <row r="1112" spans="2:15">
      <c r="B1112" s="420"/>
      <c r="C1112" s="474"/>
      <c r="D1112" s="31"/>
      <c r="E1112" s="31"/>
      <c r="F1112" s="31"/>
      <c r="G1112" s="31"/>
      <c r="H1112" s="31"/>
      <c r="I1112" s="31"/>
      <c r="J1112" s="31"/>
      <c r="K1112" s="349"/>
      <c r="L1112" s="349"/>
      <c r="M1112" s="349"/>
      <c r="N1112" s="421"/>
    </row>
    <row r="1113" spans="2:15" ht="18.75">
      <c r="B1113" s="420"/>
      <c r="C1113" s="658"/>
      <c r="D1113" s="157"/>
      <c r="E1113" s="157"/>
      <c r="F1113" s="157"/>
      <c r="G1113" s="912" t="s">
        <v>456</v>
      </c>
      <c r="H1113" s="902">
        <f xml:space="preserve">  0.035*(H1084^(3/2))*H1088^(1/2)</f>
        <v>0.44271887242357311</v>
      </c>
      <c r="I1113" s="138"/>
      <c r="J1113" s="31"/>
      <c r="K1113" s="349"/>
      <c r="L1113" s="349"/>
      <c r="M1113" s="349"/>
      <c r="N1113" s="421"/>
    </row>
    <row r="1114" spans="2:15" ht="18.75">
      <c r="B1114" s="420"/>
      <c r="C1114" s="1034"/>
      <c r="D1114" s="1035"/>
      <c r="E1114" s="1035"/>
      <c r="F1114" s="1035"/>
      <c r="G1114" s="911" t="s">
        <v>453</v>
      </c>
      <c r="H1114" s="898">
        <f>H1113*H1082/1000</f>
        <v>8.353662403760401</v>
      </c>
      <c r="I1114" s="654" t="s">
        <v>46</v>
      </c>
      <c r="J1114" s="31"/>
      <c r="K1114" s="349"/>
      <c r="L1114" s="349"/>
      <c r="M1114" s="349"/>
      <c r="N1114" s="421"/>
    </row>
    <row r="1115" spans="2:15" ht="15.75">
      <c r="B1115" s="420"/>
      <c r="C1115" s="505"/>
      <c r="D1115" s="576"/>
      <c r="E1115" s="576"/>
      <c r="F1115" s="576"/>
      <c r="G1115" s="903" t="s">
        <v>176</v>
      </c>
      <c r="H1115" s="902">
        <f>(0.18/1.5)*H1084*(100*H1083*H1088)^(1/3)</f>
        <v>0.54927403521002993</v>
      </c>
      <c r="I1115" s="654" t="s">
        <v>3</v>
      </c>
      <c r="J1115" s="31"/>
      <c r="K1115" s="349"/>
      <c r="L1115" s="349"/>
      <c r="M1115" s="349"/>
      <c r="N1115" s="421"/>
    </row>
    <row r="1116" spans="2:15">
      <c r="B1116" s="420"/>
      <c r="C1116" s="31"/>
      <c r="G1116" s="788"/>
      <c r="H1116" s="788"/>
      <c r="I1116" s="788"/>
      <c r="J1116" s="31"/>
      <c r="K1116" s="349"/>
      <c r="L1116" s="349"/>
      <c r="M1116" s="349"/>
      <c r="N1116" s="421"/>
    </row>
    <row r="1117" spans="2:15">
      <c r="B1117" s="420"/>
      <c r="C1117" s="31"/>
      <c r="J1117" s="31"/>
      <c r="K1117" s="349"/>
      <c r="L1117" s="349"/>
      <c r="M1117" s="349"/>
      <c r="N1117" s="421"/>
    </row>
    <row r="1118" spans="2:15">
      <c r="B1118" s="420"/>
      <c r="C1118" s="31"/>
      <c r="D1118" s="255"/>
      <c r="E1118" s="256"/>
      <c r="F1118" s="176"/>
      <c r="G1118" s="31"/>
      <c r="H1118" s="31"/>
      <c r="I1118" s="31"/>
      <c r="J1118" s="31"/>
      <c r="K1118" s="349"/>
      <c r="L1118" s="349"/>
      <c r="M1118" s="349"/>
      <c r="N1118" s="421"/>
    </row>
    <row r="1119" spans="2:15">
      <c r="B1119" s="420"/>
      <c r="C1119" s="31"/>
      <c r="D1119" s="31"/>
      <c r="E1119" s="31"/>
      <c r="F1119" s="31"/>
      <c r="G1119" s="31"/>
      <c r="H1119" s="31"/>
      <c r="I1119" s="31"/>
      <c r="J1119" s="31"/>
      <c r="K1119" s="349"/>
      <c r="L1119" s="349"/>
      <c r="M1119" s="349"/>
      <c r="N1119" s="421"/>
    </row>
    <row r="1120" spans="2:15">
      <c r="B1120" s="420"/>
      <c r="C1120" s="1018" t="s">
        <v>457</v>
      </c>
      <c r="D1120" s="1031"/>
      <c r="E1120" s="1019"/>
      <c r="F1120" s="31"/>
      <c r="G1120" s="1018" t="s">
        <v>224</v>
      </c>
      <c r="H1120" s="1031"/>
      <c r="I1120" s="1031"/>
      <c r="J1120" s="1019"/>
      <c r="K1120" s="349"/>
      <c r="L1120" s="349"/>
      <c r="M1120" s="349"/>
      <c r="N1120" s="421"/>
    </row>
    <row r="1121" spans="2:15">
      <c r="B1121" s="420"/>
      <c r="C1121" s="474"/>
      <c r="D1121" s="31"/>
      <c r="E1121" s="31"/>
      <c r="F1121" s="31"/>
      <c r="G1121" s="31"/>
      <c r="H1121" s="31"/>
      <c r="I1121" s="31"/>
      <c r="J1121" s="31"/>
      <c r="K1121" s="349"/>
      <c r="L1121" s="349"/>
      <c r="M1121" s="349"/>
      <c r="N1121" s="421"/>
    </row>
    <row r="1122" spans="2:15" ht="15.75">
      <c r="B1122" s="420"/>
      <c r="C1122" s="255" t="s">
        <v>177</v>
      </c>
      <c r="D1122" s="898">
        <f>H1115*H1082/1000</f>
        <v>10.364251770378054</v>
      </c>
      <c r="E1122" s="176" t="s">
        <v>46</v>
      </c>
      <c r="F1122" s="31"/>
      <c r="G1122" s="255" t="s">
        <v>225</v>
      </c>
      <c r="H1122" s="898">
        <f>D1122*E168</f>
        <v>15.546377655567081</v>
      </c>
      <c r="I1122" s="176" t="s">
        <v>46</v>
      </c>
      <c r="K1122" s="349"/>
      <c r="L1122" s="349"/>
      <c r="M1122" s="349"/>
      <c r="N1122" s="421"/>
    </row>
    <row r="1123" spans="2:15">
      <c r="B1123" s="420"/>
      <c r="C1123" s="31"/>
      <c r="D1123" s="177"/>
      <c r="E1123" s="31"/>
      <c r="F1123" s="31"/>
      <c r="G1123" s="31"/>
      <c r="H1123" s="256"/>
      <c r="I1123" s="176"/>
      <c r="K1123" s="349"/>
      <c r="L1123" s="349"/>
      <c r="M1123" s="349"/>
      <c r="N1123" s="421"/>
    </row>
    <row r="1124" spans="2:15" ht="15.75">
      <c r="B1124" s="420"/>
      <c r="C1124" s="475" t="s">
        <v>179</v>
      </c>
      <c r="D1124" s="898">
        <f>H1089/1.5</f>
        <v>1</v>
      </c>
      <c r="E1124" s="176" t="s">
        <v>3</v>
      </c>
      <c r="F1124" s="31"/>
      <c r="G1124" s="475" t="s">
        <v>226</v>
      </c>
      <c r="H1124" s="898">
        <f>H1089</f>
        <v>1.5</v>
      </c>
      <c r="I1124" s="176" t="s">
        <v>3</v>
      </c>
      <c r="K1124" s="349"/>
      <c r="L1124" s="349"/>
      <c r="M1124" s="349"/>
      <c r="N1124" s="421"/>
    </row>
    <row r="1125" spans="2:15">
      <c r="B1125" s="420"/>
      <c r="C1125" s="499"/>
      <c r="D1125" s="31"/>
      <c r="E1125" s="31"/>
      <c r="F1125" s="31"/>
      <c r="G1125" s="31"/>
      <c r="H1125" s="31"/>
      <c r="I1125" s="31"/>
      <c r="K1125" s="349"/>
      <c r="L1125" s="349"/>
      <c r="M1125" s="349"/>
      <c r="N1125" s="421"/>
    </row>
    <row r="1126" spans="2:15">
      <c r="B1126" s="420"/>
      <c r="C1126" s="475" t="s">
        <v>180</v>
      </c>
      <c r="D1126" s="898">
        <v>0.4</v>
      </c>
      <c r="E1126" s="500"/>
      <c r="F1126" s="500"/>
      <c r="G1126" s="475" t="s">
        <v>180</v>
      </c>
      <c r="H1126" s="898">
        <v>0.4</v>
      </c>
      <c r="I1126" s="500"/>
      <c r="K1126" s="501"/>
      <c r="L1126" s="501"/>
      <c r="M1126" s="501"/>
      <c r="N1126" s="502"/>
      <c r="O1126" s="260"/>
    </row>
    <row r="1127" spans="2:15">
      <c r="B1127" s="420"/>
      <c r="C1127" s="31"/>
      <c r="D1127" s="500"/>
      <c r="E1127" s="500"/>
      <c r="F1127" s="500"/>
      <c r="G1127" s="500"/>
      <c r="H1127" s="500"/>
      <c r="I1127" s="500"/>
      <c r="J1127" s="500"/>
      <c r="K1127" s="501"/>
      <c r="L1127" s="501"/>
      <c r="M1127" s="501"/>
      <c r="N1127" s="502"/>
    </row>
    <row r="1128" spans="2:15" ht="30" customHeight="1">
      <c r="B1128" s="420"/>
      <c r="C1128" s="1028" t="s">
        <v>223</v>
      </c>
      <c r="D1128" s="1028"/>
      <c r="E1128" s="1028"/>
      <c r="F1128" s="1028"/>
      <c r="G1128" s="1028"/>
      <c r="H1128" s="1028"/>
      <c r="I1128" s="1028"/>
      <c r="J1128" s="1028"/>
      <c r="K1128" s="501"/>
      <c r="L1128" s="501"/>
      <c r="M1128" s="501"/>
      <c r="N1128" s="502"/>
    </row>
    <row r="1129" spans="2:15" ht="15.75">
      <c r="B1129" s="420"/>
      <c r="C1129" s="475" t="s">
        <v>181</v>
      </c>
      <c r="D1129" s="898">
        <f>D1126*D1124</f>
        <v>0.4</v>
      </c>
      <c r="E1129" s="176" t="s">
        <v>3</v>
      </c>
      <c r="F1129" s="31"/>
      <c r="G1129" s="475" t="s">
        <v>227</v>
      </c>
      <c r="H1129" s="898">
        <f>H1126*H1124</f>
        <v>0.60000000000000009</v>
      </c>
      <c r="I1129" s="176" t="s">
        <v>3</v>
      </c>
      <c r="K1129" s="349"/>
      <c r="L1129" s="349"/>
      <c r="M1129" s="349"/>
      <c r="N1129" s="421"/>
    </row>
    <row r="1130" spans="2:15">
      <c r="B1130" s="420"/>
      <c r="C1130" s="735"/>
      <c r="D1130" s="735"/>
      <c r="E1130" s="735"/>
      <c r="F1130" s="31"/>
      <c r="G1130" s="31"/>
      <c r="H1130" s="31"/>
      <c r="I1130" s="31"/>
      <c r="K1130" s="349"/>
      <c r="L1130" s="349"/>
      <c r="M1130" s="349"/>
      <c r="N1130" s="421"/>
    </row>
    <row r="1131" spans="2:15">
      <c r="B1131" s="420"/>
      <c r="C1131" s="475" t="s">
        <v>142</v>
      </c>
      <c r="D1131" s="898">
        <f>F186</f>
        <v>7.5</v>
      </c>
      <c r="E1131" s="176" t="s">
        <v>5</v>
      </c>
      <c r="F1131" s="31"/>
      <c r="G1131" s="475" t="s">
        <v>142</v>
      </c>
      <c r="H1131" s="898">
        <f>F186</f>
        <v>7.5</v>
      </c>
      <c r="I1131" s="176" t="s">
        <v>5</v>
      </c>
      <c r="K1131" s="349"/>
      <c r="L1131" s="349"/>
      <c r="M1131" s="349"/>
      <c r="N1131" s="421"/>
    </row>
    <row r="1132" spans="2:15" ht="15.75">
      <c r="B1132" s="420"/>
      <c r="C1132" s="475" t="s">
        <v>184</v>
      </c>
      <c r="D1132" s="913">
        <f>D121</f>
        <v>320</v>
      </c>
      <c r="E1132" s="176" t="s">
        <v>6</v>
      </c>
      <c r="F1132" s="31"/>
      <c r="G1132" s="475" t="s">
        <v>184</v>
      </c>
      <c r="H1132" s="913">
        <f>D121</f>
        <v>320</v>
      </c>
      <c r="I1132" s="176" t="s">
        <v>6</v>
      </c>
      <c r="K1132" s="349"/>
      <c r="L1132" s="349"/>
      <c r="M1132" s="349"/>
      <c r="N1132" s="421"/>
    </row>
    <row r="1133" spans="2:15">
      <c r="B1133" s="420"/>
      <c r="C1133" s="475" t="s">
        <v>182</v>
      </c>
      <c r="D1133" s="913">
        <f>I137</f>
        <v>188</v>
      </c>
      <c r="E1133" s="176" t="s">
        <v>6</v>
      </c>
      <c r="F1133" s="31"/>
      <c r="G1133" s="475" t="s">
        <v>182</v>
      </c>
      <c r="H1133" s="913">
        <f>I137</f>
        <v>188</v>
      </c>
      <c r="I1133" s="176" t="s">
        <v>6</v>
      </c>
      <c r="K1133" s="349"/>
      <c r="L1133" s="349"/>
      <c r="M1133" s="349"/>
      <c r="N1133" s="421"/>
    </row>
    <row r="1134" spans="2:15">
      <c r="B1134" s="420"/>
      <c r="C1134" s="475" t="s">
        <v>183</v>
      </c>
      <c r="D1134" s="914">
        <f>D1132*D1131/2000</f>
        <v>1.2</v>
      </c>
      <c r="E1134" s="176" t="s">
        <v>185</v>
      </c>
      <c r="F1134" s="31"/>
      <c r="G1134" s="475" t="s">
        <v>183</v>
      </c>
      <c r="H1134" s="914">
        <f>H1132*H1131/2000</f>
        <v>1.2</v>
      </c>
      <c r="I1134" s="176" t="s">
        <v>185</v>
      </c>
      <c r="K1134" s="349"/>
      <c r="L1134" s="349"/>
      <c r="M1134" s="349"/>
      <c r="N1134" s="421"/>
    </row>
    <row r="1135" spans="2:15" ht="15.75">
      <c r="B1135" s="420"/>
      <c r="C1135" s="475" t="s">
        <v>186</v>
      </c>
      <c r="D1135" s="914">
        <f>H1082*D1131/D1133/2000</f>
        <v>0.37637632978723407</v>
      </c>
      <c r="E1135" s="176" t="s">
        <v>185</v>
      </c>
      <c r="F1135" s="31"/>
      <c r="G1135" s="475" t="s">
        <v>186</v>
      </c>
      <c r="H1135" s="914">
        <f>D1135</f>
        <v>0.37637632978723407</v>
      </c>
      <c r="I1135" s="176" t="s">
        <v>185</v>
      </c>
      <c r="K1135" s="349"/>
      <c r="L1135" s="349"/>
      <c r="M1135" s="349"/>
      <c r="N1135" s="421"/>
    </row>
    <row r="1136" spans="2:15">
      <c r="B1136" s="420"/>
      <c r="C1136" s="31"/>
      <c r="D1136" s="31"/>
      <c r="E1136" s="31"/>
      <c r="F1136" s="31"/>
      <c r="G1136" s="31"/>
      <c r="H1136" s="31"/>
      <c r="I1136" s="31"/>
      <c r="K1136" s="349"/>
      <c r="L1136" s="349"/>
      <c r="M1136" s="349"/>
      <c r="N1136" s="421"/>
    </row>
    <row r="1137" spans="2:37">
      <c r="B1137" s="420"/>
      <c r="C1137" s="31"/>
      <c r="D1137" s="31"/>
      <c r="E1137" s="31"/>
      <c r="F1137" s="206"/>
      <c r="G1137" s="31"/>
      <c r="H1137" s="31"/>
      <c r="I1137" s="206"/>
      <c r="K1137" s="426"/>
      <c r="L1137" s="349"/>
      <c r="M1137" s="349"/>
      <c r="N1137" s="421"/>
    </row>
    <row r="1138" spans="2:37" ht="15.75">
      <c r="B1138" s="420"/>
      <c r="C1138" s="475" t="s">
        <v>187</v>
      </c>
      <c r="D1138" s="914">
        <f>D1129*(D1134-D1135)</f>
        <v>0.32944946808510639</v>
      </c>
      <c r="E1138" s="176" t="s">
        <v>458</v>
      </c>
      <c r="F1138" s="31"/>
      <c r="G1138" s="475" t="s">
        <v>187</v>
      </c>
      <c r="H1138" s="914">
        <f>H1129*(H1134-H1135)</f>
        <v>0.49417420212765967</v>
      </c>
      <c r="I1138" s="176" t="s">
        <v>458</v>
      </c>
      <c r="K1138" s="349"/>
      <c r="L1138" s="349"/>
      <c r="M1138" s="349"/>
      <c r="N1138" s="421"/>
    </row>
    <row r="1139" spans="2:37" ht="43.5" customHeight="1">
      <c r="B1139" s="420"/>
      <c r="C1139" s="937"/>
      <c r="D1139" s="931">
        <f>D1138*1000</f>
        <v>329.44946808510639</v>
      </c>
      <c r="E1139" s="932" t="s">
        <v>46</v>
      </c>
      <c r="F1139" s="933"/>
      <c r="G1139" s="937"/>
      <c r="H1139" s="931">
        <f>H1138*1000</f>
        <v>494.17420212765967</v>
      </c>
      <c r="I1139" s="932" t="s">
        <v>46</v>
      </c>
      <c r="J1139" s="1033" t="s">
        <v>941</v>
      </c>
      <c r="K1139" s="1033"/>
      <c r="L1139" s="1033"/>
      <c r="M1139" s="349"/>
      <c r="N1139" s="421"/>
    </row>
    <row r="1140" spans="2:37">
      <c r="B1140" s="420"/>
      <c r="C1140" s="31"/>
      <c r="D1140" s="31"/>
      <c r="E1140" s="31"/>
      <c r="F1140" s="206"/>
      <c r="G1140" s="31"/>
      <c r="H1140" s="735"/>
      <c r="I1140" s="206"/>
      <c r="K1140" s="426"/>
      <c r="L1140" s="349"/>
      <c r="M1140" s="349"/>
      <c r="N1140" s="421"/>
    </row>
    <row r="1141" spans="2:37" ht="15.75">
      <c r="B1141" s="420"/>
      <c r="C1141" s="930" t="s">
        <v>188</v>
      </c>
      <c r="D1141" s="931">
        <f>(D1131/2)*D1122/(2*E55/1000)</f>
        <v>48.582430173647126</v>
      </c>
      <c r="E1141" s="932" t="s">
        <v>46</v>
      </c>
      <c r="F1141" s="933"/>
      <c r="G1141" s="930" t="s">
        <v>188</v>
      </c>
      <c r="H1141" s="931">
        <f>(H1131/2)*H1122/(2*E55/1000)</f>
        <v>72.873645260470681</v>
      </c>
      <c r="I1141" s="932" t="s">
        <v>46</v>
      </c>
      <c r="J1141" s="934" t="s">
        <v>940</v>
      </c>
      <c r="K1141" s="935"/>
      <c r="L1141" s="936"/>
      <c r="M1141" s="349"/>
      <c r="N1141" s="421"/>
    </row>
    <row r="1142" spans="2:37" s="788" customFormat="1">
      <c r="B1142" s="420"/>
      <c r="C1142" s="475" t="s">
        <v>222</v>
      </c>
      <c r="D1142" s="256"/>
      <c r="E1142" s="176"/>
      <c r="F1142" s="206"/>
      <c r="G1142" s="475" t="s">
        <v>222</v>
      </c>
      <c r="H1142" s="256"/>
      <c r="I1142" s="176"/>
      <c r="K1142" s="426"/>
      <c r="L1142" s="349"/>
      <c r="M1142" s="349"/>
      <c r="N1142" s="421"/>
      <c r="O1142" s="790"/>
      <c r="P1142" s="789"/>
      <c r="Q1142" s="789"/>
      <c r="R1142" s="789"/>
      <c r="S1142" s="789"/>
      <c r="T1142" s="789"/>
      <c r="U1142" s="789"/>
      <c r="V1142" s="789"/>
      <c r="W1142" s="789"/>
      <c r="X1142" s="789"/>
      <c r="Y1142" s="789"/>
      <c r="Z1142" s="789"/>
      <c r="AA1142" s="789"/>
      <c r="AB1142" s="789"/>
      <c r="AC1142" s="789"/>
      <c r="AD1142" s="789"/>
      <c r="AE1142" s="789"/>
      <c r="AF1142" s="789"/>
      <c r="AG1142" s="789"/>
      <c r="AH1142" s="789"/>
      <c r="AI1142" s="789"/>
      <c r="AJ1142" s="789"/>
      <c r="AK1142" s="789"/>
    </row>
    <row r="1143" spans="2:37" s="788" customFormat="1">
      <c r="B1143" s="420"/>
      <c r="C1143" s="475"/>
      <c r="D1143" s="256"/>
      <c r="E1143" s="176"/>
      <c r="F1143" s="206"/>
      <c r="G1143" s="475"/>
      <c r="H1143" s="256"/>
      <c r="I1143" s="176"/>
      <c r="K1143" s="426"/>
      <c r="L1143" s="349"/>
      <c r="M1143" s="349"/>
      <c r="N1143" s="421"/>
      <c r="O1143" s="790"/>
      <c r="P1143" s="789"/>
      <c r="Q1143" s="789"/>
      <c r="R1143" s="789"/>
      <c r="S1143" s="789"/>
      <c r="T1143" s="789"/>
      <c r="U1143" s="789"/>
      <c r="V1143" s="789"/>
      <c r="W1143" s="789"/>
      <c r="X1143" s="789"/>
      <c r="Y1143" s="789"/>
      <c r="Z1143" s="789"/>
      <c r="AA1143" s="789"/>
      <c r="AB1143" s="789"/>
      <c r="AC1143" s="789"/>
      <c r="AD1143" s="789"/>
      <c r="AE1143" s="789"/>
      <c r="AF1143" s="789"/>
      <c r="AG1143" s="789"/>
      <c r="AH1143" s="789"/>
      <c r="AI1143" s="789"/>
      <c r="AJ1143" s="789"/>
      <c r="AK1143" s="789"/>
    </row>
    <row r="1144" spans="2:37">
      <c r="B1144" s="420"/>
      <c r="D1144" s="256"/>
      <c r="E1144" s="176"/>
      <c r="F1144" s="206"/>
      <c r="H1144" s="256"/>
      <c r="I1144" s="176"/>
      <c r="K1144" s="426"/>
      <c r="L1144" s="349"/>
      <c r="M1144" s="349"/>
      <c r="N1144" s="421"/>
    </row>
    <row r="1145" spans="2:37" ht="15.75">
      <c r="B1145" s="420"/>
      <c r="C1145" s="475" t="s">
        <v>189</v>
      </c>
      <c r="D1145" s="898">
        <f>D1141+D1139</f>
        <v>378.03189825875353</v>
      </c>
      <c r="E1145" s="176" t="s">
        <v>46</v>
      </c>
      <c r="F1145" s="206"/>
      <c r="G1145" s="475" t="s">
        <v>189</v>
      </c>
      <c r="H1145" s="898">
        <f>H1141+H1139</f>
        <v>567.04784738813032</v>
      </c>
      <c r="I1145" s="176" t="s">
        <v>46</v>
      </c>
      <c r="K1145" s="349"/>
      <c r="L1145" s="349"/>
      <c r="M1145" s="349"/>
      <c r="N1145" s="421"/>
    </row>
    <row r="1146" spans="2:37">
      <c r="B1146" s="420"/>
      <c r="C1146" s="31"/>
      <c r="D1146" s="31"/>
      <c r="E1146" s="31"/>
      <c r="F1146" s="31"/>
      <c r="G1146" s="31"/>
      <c r="H1146" s="31"/>
      <c r="I1146" s="31"/>
      <c r="J1146" s="31"/>
      <c r="K1146" s="349"/>
      <c r="L1146" s="349"/>
      <c r="M1146" s="349"/>
      <c r="N1146" s="421"/>
    </row>
    <row r="1147" spans="2:37">
      <c r="B1147" s="420"/>
      <c r="C1147" s="918"/>
      <c r="D1147" s="919"/>
      <c r="E1147" s="919"/>
      <c r="F1147" s="919"/>
      <c r="G1147" s="919"/>
      <c r="H1147" s="919"/>
      <c r="I1147" s="920"/>
      <c r="J1147" s="474"/>
      <c r="K1147" s="349"/>
      <c r="L1147" s="349"/>
      <c r="M1147" s="349"/>
      <c r="N1147" s="421"/>
    </row>
    <row r="1148" spans="2:37" ht="15">
      <c r="B1148" s="503"/>
      <c r="C1148" s="921"/>
      <c r="D1148" s="915"/>
      <c r="E1148" s="915"/>
      <c r="F1148" s="915"/>
      <c r="G1148" s="915"/>
      <c r="H1148" s="915"/>
      <c r="I1148" s="922"/>
      <c r="J1148" s="31"/>
      <c r="K1148" s="349"/>
      <c r="L1148" s="349"/>
      <c r="M1148" s="349"/>
      <c r="N1148" s="421"/>
    </row>
    <row r="1149" spans="2:37" ht="15.75">
      <c r="B1149" s="420"/>
      <c r="C1149" s="923" t="s">
        <v>934</v>
      </c>
      <c r="D1149" s="915"/>
      <c r="E1149" s="915"/>
      <c r="F1149" s="304"/>
      <c r="G1149" s="915"/>
      <c r="H1149" s="916" t="s">
        <v>178</v>
      </c>
      <c r="I1149" s="922"/>
      <c r="J1149" s="31"/>
      <c r="K1149" s="349"/>
      <c r="L1149" s="349"/>
      <c r="M1149" s="349"/>
      <c r="N1149" s="421"/>
    </row>
    <row r="1150" spans="2:37">
      <c r="B1150" s="420"/>
      <c r="C1150" s="921"/>
      <c r="D1150" s="915"/>
      <c r="E1150" s="915"/>
      <c r="F1150" s="304"/>
      <c r="G1150" s="915"/>
      <c r="H1150" s="915"/>
      <c r="I1150" s="922"/>
      <c r="J1150" s="31"/>
      <c r="K1150" s="349"/>
      <c r="L1150" s="349"/>
      <c r="M1150" s="349"/>
      <c r="N1150" s="421"/>
    </row>
    <row r="1151" spans="2:37">
      <c r="B1151" s="420"/>
      <c r="C1151" s="921"/>
      <c r="D1151" s="915"/>
      <c r="E1151" s="915"/>
      <c r="F1151" s="304"/>
      <c r="G1151" s="915"/>
      <c r="H1151" s="915"/>
      <c r="I1151" s="922"/>
      <c r="J1151" s="31"/>
      <c r="K1151" s="349"/>
      <c r="L1151" s="349"/>
      <c r="M1151" s="426"/>
      <c r="N1151" s="488"/>
    </row>
    <row r="1152" spans="2:37" ht="15.75">
      <c r="B1152" s="420"/>
      <c r="C1152" s="923" t="s">
        <v>935</v>
      </c>
      <c r="D1152" s="917"/>
      <c r="E1152" s="915"/>
      <c r="F1152" s="304"/>
      <c r="G1152" s="915"/>
      <c r="H1152" s="915"/>
      <c r="I1152" s="922"/>
      <c r="J1152" s="31"/>
      <c r="K1152" s="349"/>
      <c r="L1152" s="349"/>
      <c r="M1152" s="426"/>
      <c r="N1152" s="488"/>
    </row>
    <row r="1153" spans="2:14" ht="15.75">
      <c r="B1153" s="420"/>
      <c r="C1153" s="923" t="s">
        <v>936</v>
      </c>
      <c r="D1153" s="917"/>
      <c r="E1153" s="915"/>
      <c r="F1153" s="304"/>
      <c r="G1153" s="915"/>
      <c r="H1153" s="915"/>
      <c r="I1153" s="922"/>
      <c r="J1153" s="31"/>
      <c r="K1153" s="349"/>
      <c r="L1153" s="349"/>
      <c r="M1153" s="426"/>
      <c r="N1153" s="488"/>
    </row>
    <row r="1154" spans="2:14">
      <c r="B1154" s="420"/>
      <c r="C1154" s="924" t="s">
        <v>208</v>
      </c>
      <c r="D1154" s="917"/>
      <c r="E1154" s="915"/>
      <c r="F1154" s="304"/>
      <c r="G1154" s="915"/>
      <c r="H1154" s="915"/>
      <c r="I1154" s="922"/>
      <c r="J1154" s="31"/>
      <c r="K1154" s="349"/>
      <c r="L1154" s="349"/>
      <c r="M1154" s="426"/>
      <c r="N1154" s="488"/>
    </row>
    <row r="1155" spans="2:14">
      <c r="B1155" s="420"/>
      <c r="C1155" s="923" t="s">
        <v>937</v>
      </c>
      <c r="D1155" s="917"/>
      <c r="E1155" s="915"/>
      <c r="F1155" s="304"/>
      <c r="G1155" s="915"/>
      <c r="H1155" s="915"/>
      <c r="I1155" s="922"/>
      <c r="J1155" s="31"/>
      <c r="K1155" s="349"/>
      <c r="L1155" s="349"/>
      <c r="M1155" s="426"/>
      <c r="N1155" s="488"/>
    </row>
    <row r="1156" spans="2:14">
      <c r="B1156" s="420"/>
      <c r="C1156" s="925" t="s">
        <v>209</v>
      </c>
      <c r="D1156" s="926"/>
      <c r="E1156" s="926"/>
      <c r="F1156" s="927"/>
      <c r="G1156" s="926"/>
      <c r="H1156" s="926"/>
      <c r="I1156" s="928"/>
      <c r="J1156" s="206"/>
      <c r="K1156" s="504"/>
      <c r="L1156" s="426"/>
      <c r="M1156" s="426"/>
      <c r="N1156" s="488"/>
    </row>
    <row r="1157" spans="2:14">
      <c r="B1157" s="420"/>
      <c r="C1157" s="426"/>
      <c r="D1157" s="426"/>
      <c r="E1157" s="426"/>
      <c r="F1157" s="267"/>
      <c r="G1157" s="349"/>
      <c r="H1157" s="349"/>
      <c r="I1157" s="349"/>
      <c r="J1157" s="31"/>
      <c r="K1157" s="349"/>
      <c r="L1157" s="349"/>
      <c r="M1157" s="349"/>
      <c r="N1157" s="421"/>
    </row>
    <row r="1158" spans="2:14">
      <c r="B1158" s="505"/>
      <c r="C1158" s="506"/>
      <c r="D1158" s="507"/>
      <c r="E1158" s="507"/>
      <c r="F1158" s="508"/>
      <c r="G1158" s="506"/>
      <c r="H1158" s="506"/>
      <c r="I1158" s="506"/>
      <c r="J1158" s="509"/>
      <c r="K1158" s="507"/>
      <c r="L1158" s="507"/>
      <c r="M1158" s="507"/>
      <c r="N1158" s="510"/>
    </row>
    <row r="1159" spans="2:14">
      <c r="E1159" s="259"/>
      <c r="F1159" s="258"/>
      <c r="G1159" s="257"/>
      <c r="H1159" s="257"/>
      <c r="I1159" s="257"/>
      <c r="M1159" s="259"/>
      <c r="N1159" s="259"/>
    </row>
    <row r="1160" spans="2:14">
      <c r="E1160" s="259"/>
      <c r="F1160" s="258"/>
      <c r="G1160" s="257"/>
      <c r="H1160" s="257"/>
      <c r="I1160" s="257"/>
      <c r="M1160" s="259"/>
      <c r="N1160" s="259"/>
    </row>
    <row r="1161" spans="2:14">
      <c r="E1161" s="259"/>
      <c r="F1161" s="258"/>
      <c r="G1161" s="257"/>
      <c r="H1161" s="257"/>
      <c r="I1161" s="257"/>
      <c r="M1161" s="259"/>
      <c r="N1161" s="259"/>
    </row>
    <row r="1162" spans="2:14">
      <c r="E1162" s="259"/>
      <c r="F1162" s="258"/>
      <c r="G1162" s="257"/>
      <c r="H1162" s="257"/>
      <c r="I1162" s="257"/>
    </row>
    <row r="1163" spans="2:14">
      <c r="E1163" s="257"/>
      <c r="F1163" s="258"/>
      <c r="G1163" s="257"/>
      <c r="H1163" s="257"/>
      <c r="I1163" s="257"/>
    </row>
    <row r="1164" spans="2:14">
      <c r="E1164" s="257"/>
      <c r="F1164" s="258"/>
      <c r="G1164" s="257"/>
      <c r="H1164" s="257"/>
      <c r="I1164" s="257"/>
    </row>
    <row r="1165" spans="2:14">
      <c r="E1165" s="257"/>
      <c r="F1165" s="258"/>
      <c r="G1165" s="257"/>
      <c r="H1165" s="257"/>
      <c r="I1165" s="257"/>
    </row>
    <row r="1166" spans="2:14">
      <c r="E1166" s="257"/>
      <c r="F1166" s="258"/>
      <c r="G1166" s="257"/>
      <c r="H1166" s="257"/>
      <c r="I1166" s="257"/>
    </row>
    <row r="1167" spans="2:14">
      <c r="E1167" s="257"/>
      <c r="F1167" s="258"/>
      <c r="G1167" s="257"/>
      <c r="H1167" s="257"/>
      <c r="I1167" s="257"/>
    </row>
    <row r="1168" spans="2:14">
      <c r="E1168" s="257"/>
      <c r="F1168" s="258"/>
      <c r="G1168" s="257"/>
      <c r="H1168" s="257"/>
      <c r="I1168" s="257"/>
    </row>
    <row r="1169" spans="5:9">
      <c r="E1169" s="257"/>
      <c r="F1169" s="258"/>
      <c r="G1169" s="257"/>
      <c r="H1169" s="257"/>
      <c r="I1169" s="257"/>
    </row>
  </sheetData>
  <mergeCells count="102">
    <mergeCell ref="J1139:L1139"/>
    <mergeCell ref="C1083:F1083"/>
    <mergeCell ref="C1088:F1089"/>
    <mergeCell ref="C1114:F1114"/>
    <mergeCell ref="C196:C197"/>
    <mergeCell ref="C868:E868"/>
    <mergeCell ref="C865:E865"/>
    <mergeCell ref="C824:F826"/>
    <mergeCell ref="C827:F827"/>
    <mergeCell ref="C858:F858"/>
    <mergeCell ref="C857:F857"/>
    <mergeCell ref="C862:F862"/>
    <mergeCell ref="C861:F861"/>
    <mergeCell ref="D534:F534"/>
    <mergeCell ref="C338:C339"/>
    <mergeCell ref="C302:C303"/>
    <mergeCell ref="C304:C305"/>
    <mergeCell ref="C306:C307"/>
    <mergeCell ref="C336:C337"/>
    <mergeCell ref="C207:D207"/>
    <mergeCell ref="C208:D208"/>
    <mergeCell ref="C209:D209"/>
    <mergeCell ref="C211:D211"/>
    <mergeCell ref="D478:F478"/>
    <mergeCell ref="C1069:I1069"/>
    <mergeCell ref="C975:I975"/>
    <mergeCell ref="C981:I981"/>
    <mergeCell ref="C987:I987"/>
    <mergeCell ref="C1128:J1128"/>
    <mergeCell ref="D1095:G1095"/>
    <mergeCell ref="J1091:J1092"/>
    <mergeCell ref="G1120:J1120"/>
    <mergeCell ref="C1120:E1120"/>
    <mergeCell ref="C1002:I1002"/>
    <mergeCell ref="C1028:I1028"/>
    <mergeCell ref="C1081:F1081"/>
    <mergeCell ref="C1085:F1085"/>
    <mergeCell ref="C1079:F1079"/>
    <mergeCell ref="C1080:F1080"/>
    <mergeCell ref="C1082:F1082"/>
    <mergeCell ref="G30:H30"/>
    <mergeCell ref="C135:C136"/>
    <mergeCell ref="C1053:I1053"/>
    <mergeCell ref="C1059:I1059"/>
    <mergeCell ref="C1065:I1065"/>
    <mergeCell ref="C919:I919"/>
    <mergeCell ref="C946:I946"/>
    <mergeCell ref="D765:E765"/>
    <mergeCell ref="F765:G765"/>
    <mergeCell ref="C704:F704"/>
    <mergeCell ref="C722:F722"/>
    <mergeCell ref="C755:C756"/>
    <mergeCell ref="C202:D203"/>
    <mergeCell ref="D196:D197"/>
    <mergeCell ref="C712:D712"/>
    <mergeCell ref="D600:F600"/>
    <mergeCell ref="C204:C206"/>
    <mergeCell ref="D460:F460"/>
    <mergeCell ref="X49:AC49"/>
    <mergeCell ref="C711:D711"/>
    <mergeCell ref="P709:S709"/>
    <mergeCell ref="C188:C189"/>
    <mergeCell ref="G119:G120"/>
    <mergeCell ref="F119:F120"/>
    <mergeCell ref="E119:E120"/>
    <mergeCell ref="D119:D120"/>
    <mergeCell ref="C690:D690"/>
    <mergeCell ref="C698:D698"/>
    <mergeCell ref="C696:D696"/>
    <mergeCell ref="C131:C132"/>
    <mergeCell ref="D123:E123"/>
    <mergeCell ref="F123:G123"/>
    <mergeCell ref="H123:I123"/>
    <mergeCell ref="D127:E127"/>
    <mergeCell ref="C123:C124"/>
    <mergeCell ref="C127:C128"/>
    <mergeCell ref="D48:D49"/>
    <mergeCell ref="C119:C120"/>
    <mergeCell ref="D2:K2"/>
    <mergeCell ref="H40:H41"/>
    <mergeCell ref="G131:G132"/>
    <mergeCell ref="D4:K4"/>
    <mergeCell ref="Q49:V49"/>
    <mergeCell ref="D3:K3"/>
    <mergeCell ref="F127:H127"/>
    <mergeCell ref="D131:D132"/>
    <mergeCell ref="E131:E132"/>
    <mergeCell ref="F131:F132"/>
    <mergeCell ref="D5:J5"/>
    <mergeCell ref="L5:N5"/>
    <mergeCell ref="Q58:S58"/>
    <mergeCell ref="P4:R5"/>
    <mergeCell ref="G35:I35"/>
    <mergeCell ref="E35:F35"/>
    <mergeCell ref="I30:J30"/>
    <mergeCell ref="D30:D31"/>
    <mergeCell ref="E30:F30"/>
    <mergeCell ref="D35:D36"/>
    <mergeCell ref="E40:E41"/>
    <mergeCell ref="F40:F41"/>
    <mergeCell ref="G40:G41"/>
    <mergeCell ref="D40:D41"/>
  </mergeCells>
  <conditionalFormatting sqref="F562:G562">
    <cfRule type="expression" dxfId="54" priority="46">
      <formula>IF($F$562&gt;1,1,"")</formula>
    </cfRule>
    <cfRule type="expression" dxfId="53" priority="47">
      <formula>IF($F$562&lt;=1,1,"")</formula>
    </cfRule>
  </conditionalFormatting>
  <conditionalFormatting sqref="F629:G629">
    <cfRule type="expression" dxfId="52" priority="44">
      <formula>IF($F$629&gt;1,1,"")</formula>
    </cfRule>
    <cfRule type="expression" dxfId="51" priority="45">
      <formula>IF($F$629&lt;=1,1,"")</formula>
    </cfRule>
  </conditionalFormatting>
  <conditionalFormatting sqref="F505:G505">
    <cfRule type="expression" dxfId="50" priority="42">
      <formula>IF($F$505&gt;1,1,"")</formula>
    </cfRule>
    <cfRule type="expression" dxfId="49" priority="43">
      <formula>IF($F$505&lt;=1,1,"")</formula>
    </cfRule>
  </conditionalFormatting>
  <conditionalFormatting sqref="U53:V53">
    <cfRule type="expression" dxfId="48" priority="40">
      <formula>IF($U$53&gt;1,1,"")</formula>
    </cfRule>
    <cfRule type="expression" dxfId="47" priority="41">
      <formula>IF($U$53&lt;=1,1,"")</formula>
    </cfRule>
  </conditionalFormatting>
  <conditionalFormatting sqref="U54:V54">
    <cfRule type="expression" dxfId="46" priority="38">
      <formula>IF($U$54&gt;1,1,"")</formula>
    </cfRule>
    <cfRule type="expression" dxfId="45" priority="39">
      <formula>IF($U$54&lt;=1,1,"")</formula>
    </cfRule>
  </conditionalFormatting>
  <conditionalFormatting sqref="U55:V55">
    <cfRule type="expression" dxfId="44" priority="36">
      <formula>IF($U$55&gt;1,1,"")</formula>
    </cfRule>
    <cfRule type="expression" dxfId="43" priority="37">
      <formula>IF($U$55&lt;=1,1,"")</formula>
    </cfRule>
  </conditionalFormatting>
  <conditionalFormatting sqref="U65:V65">
    <cfRule type="expression" dxfId="42" priority="34">
      <formula>IF($U$65&gt;1,1,"")</formula>
    </cfRule>
    <cfRule type="expression" dxfId="41" priority="35">
      <formula>IF($U$65&lt;=1,1,"")</formula>
    </cfRule>
  </conditionalFormatting>
  <conditionalFormatting sqref="I751:J751">
    <cfRule type="expression" dxfId="40" priority="32">
      <formula>IF($I$751&gt;1,1,"")</formula>
    </cfRule>
    <cfRule type="expression" dxfId="39" priority="33">
      <formula>IF($I$751&lt;=1,1,"")</formula>
    </cfRule>
  </conditionalFormatting>
  <conditionalFormatting sqref="I757:J757">
    <cfRule type="expression" dxfId="38" priority="30">
      <formula>IF($I$757&gt;1,1,"")</formula>
    </cfRule>
    <cfRule type="expression" dxfId="37" priority="31">
      <formula>IF($I$757&lt;=1,1,"")</formula>
    </cfRule>
  </conditionalFormatting>
  <conditionalFormatting sqref="U70:V70">
    <cfRule type="expression" dxfId="36" priority="28">
      <formula>IF($U$70&gt;1,1,"")</formula>
    </cfRule>
    <cfRule type="expression" dxfId="35" priority="29">
      <formula>IF($U$70&lt;=1,1,"")</formula>
    </cfRule>
  </conditionalFormatting>
  <conditionalFormatting sqref="U73:V73">
    <cfRule type="expression" dxfId="34" priority="26">
      <formula>IF($U$73&gt;1,1,"")</formula>
    </cfRule>
    <cfRule type="expression" dxfId="33" priority="27">
      <formula>IF($U$73&lt;=1,1,"")</formula>
    </cfRule>
  </conditionalFormatting>
  <conditionalFormatting sqref="F777:G777">
    <cfRule type="expression" dxfId="32" priority="24">
      <formula>IF($F$777&gt;1,1,"")</formula>
    </cfRule>
    <cfRule type="expression" dxfId="31" priority="25">
      <formula>IF($F$777&lt;=1,1,"")</formula>
    </cfRule>
  </conditionalFormatting>
  <conditionalFormatting sqref="U61:V61">
    <cfRule type="expression" dxfId="30" priority="22">
      <formula>IF($U$61&gt;1,1,"")</formula>
    </cfRule>
    <cfRule type="expression" dxfId="29" priority="23">
      <formula>IF($U$61&lt;=1,1,"")</formula>
    </cfRule>
  </conditionalFormatting>
  <conditionalFormatting sqref="I878:J878">
    <cfRule type="expression" dxfId="28" priority="20">
      <formula>IF($I$878&gt;1,1,"")</formula>
    </cfRule>
    <cfRule type="expression" dxfId="27" priority="21">
      <formula>IF($I$878&lt;=1,1,"")</formula>
    </cfRule>
  </conditionalFormatting>
  <conditionalFormatting sqref="U84:V84">
    <cfRule type="expression" dxfId="26" priority="18">
      <formula>IF($U$84&gt;1,1,"")</formula>
    </cfRule>
    <cfRule type="expression" dxfId="25" priority="19">
      <formula>IF($U$84&lt;=1,1,"")</formula>
    </cfRule>
  </conditionalFormatting>
  <conditionalFormatting sqref="U76:V76">
    <cfRule type="expression" dxfId="24" priority="16">
      <formula>IF($U$76&gt;1,1,"")</formula>
    </cfRule>
    <cfRule type="expression" dxfId="23" priority="17">
      <formula>IF($U$76&lt;=1,1,"")</formula>
    </cfRule>
  </conditionalFormatting>
  <conditionalFormatting sqref="U79:V79">
    <cfRule type="expression" dxfId="22" priority="14">
      <formula>IF($U$79&gt;1,1,"")</formula>
    </cfRule>
    <cfRule type="expression" dxfId="21" priority="15">
      <formula>IF($U$79&lt;=1,1,"")</formula>
    </cfRule>
  </conditionalFormatting>
  <conditionalFormatting sqref="F416:G416">
    <cfRule type="expression" dxfId="20" priority="12">
      <formula>IF($F$416&gt;1,1,"")</formula>
    </cfRule>
    <cfRule type="expression" dxfId="19" priority="13">
      <formula>IF($F$416&lt;=1,1,"")</formula>
    </cfRule>
  </conditionalFormatting>
  <conditionalFormatting sqref="L33">
    <cfRule type="expression" dxfId="18" priority="10">
      <formula>IF($L$33&gt;1,1,"")</formula>
    </cfRule>
    <cfRule type="expression" dxfId="17" priority="11">
      <formula>IF($L$33&lt;=1,1,"")</formula>
    </cfRule>
  </conditionalFormatting>
  <conditionalFormatting sqref="AB62">
    <cfRule type="expression" dxfId="16" priority="6">
      <formula>IF($AB$62&gt;1,1,"")</formula>
    </cfRule>
    <cfRule type="expression" dxfId="15" priority="7">
      <formula>IF($AB$62&lt;=1,1,"")</formula>
    </cfRule>
  </conditionalFormatting>
  <conditionalFormatting sqref="AB67">
    <cfRule type="expression" dxfId="14" priority="4">
      <formula>IF($AB$67&gt;1,1,"")</formula>
    </cfRule>
    <cfRule type="expression" dxfId="13" priority="5">
      <formula>IF($AB$67&lt;=1,1,"")</formula>
    </cfRule>
  </conditionalFormatting>
  <conditionalFormatting sqref="AB55">
    <cfRule type="expression" dxfId="12" priority="2">
      <formula>IF($AB$55&gt;1,1,"")</formula>
    </cfRule>
    <cfRule type="expression" dxfId="11" priority="3">
      <formula>IF($AB$55&lt;=1,1,"")</formula>
    </cfRule>
  </conditionalFormatting>
  <printOptions horizontalCentered="1" verticalCentered="1"/>
  <pageMargins left="0.7" right="0.7" top="0.75" bottom="0.75" header="0.3" footer="0.3"/>
  <pageSetup paperSize="9" scale="66" fitToHeight="0" orientation="portrait" r:id="rId1"/>
  <headerFooter>
    <oddHeader xml:space="preserve">&amp;C&amp;K03+000 
&amp;K00-032BELKI ZESPOLONE BH&amp;K03+000
</oddHeader>
    <oddFooter>&amp;C&amp;K00-034Strona &amp;P z &amp;N</oddFooter>
  </headerFooter>
  <rowBreaks count="12" manualBreakCount="12">
    <brk id="146" min="2" max="9" man="1"/>
    <brk id="197" min="2" max="9" man="1"/>
    <brk id="258" min="2" max="9" man="1"/>
    <brk id="320" min="2" max="9" man="1"/>
    <brk id="386" min="2" max="9" man="1"/>
    <brk id="459" min="2" max="9" man="1"/>
    <brk id="533" min="2" max="9" man="1"/>
    <brk id="720" min="2" max="9" man="1"/>
    <brk id="909" min="2" max="9" man="1"/>
    <brk id="980" min="2" max="9" man="1"/>
    <brk id="1052" min="2" max="9" man="1"/>
    <brk id="1127" min="2" max="9" man="1"/>
  </rowBreaks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4</xdr:col>
                <xdr:colOff>171450</xdr:colOff>
                <xdr:row>709</xdr:row>
                <xdr:rowOff>228600</xdr:rowOff>
              </from>
              <to>
                <xdr:col>5</xdr:col>
                <xdr:colOff>914400</xdr:colOff>
                <xdr:row>710</xdr:row>
                <xdr:rowOff>485775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4</xdr:col>
                <xdr:colOff>85725</xdr:colOff>
                <xdr:row>711</xdr:row>
                <xdr:rowOff>28575</xdr:rowOff>
              </from>
              <to>
                <xdr:col>5</xdr:col>
                <xdr:colOff>952500</xdr:colOff>
                <xdr:row>712</xdr:row>
                <xdr:rowOff>19050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2</xdr:col>
                <xdr:colOff>47625</xdr:colOff>
                <xdr:row>708</xdr:row>
                <xdr:rowOff>304800</xdr:rowOff>
              </from>
              <to>
                <xdr:col>4</xdr:col>
                <xdr:colOff>447675</xdr:colOff>
                <xdr:row>709</xdr:row>
                <xdr:rowOff>9525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2</xdr:col>
                <xdr:colOff>57150</xdr:colOff>
                <xdr:row>708</xdr:row>
                <xdr:rowOff>76200</xdr:rowOff>
              </from>
              <to>
                <xdr:col>4</xdr:col>
                <xdr:colOff>895350</xdr:colOff>
                <xdr:row>708</xdr:row>
                <xdr:rowOff>333375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3</xdr:col>
                <xdr:colOff>304800</xdr:colOff>
                <xdr:row>738</xdr:row>
                <xdr:rowOff>28575</xdr:rowOff>
              </from>
              <to>
                <xdr:col>6</xdr:col>
                <xdr:colOff>523875</xdr:colOff>
                <xdr:row>739</xdr:row>
                <xdr:rowOff>0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 sizeWithCells="1">
              <from>
                <xdr:col>3</xdr:col>
                <xdr:colOff>352425</xdr:colOff>
                <xdr:row>737</xdr:row>
                <xdr:rowOff>28575</xdr:rowOff>
              </from>
              <to>
                <xdr:col>5</xdr:col>
                <xdr:colOff>914400</xdr:colOff>
                <xdr:row>737</xdr:row>
                <xdr:rowOff>485775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autoPict="0" r:id="rId17">
            <anchor moveWithCells="1" sizeWithCells="1">
              <from>
                <xdr:col>3</xdr:col>
                <xdr:colOff>38100</xdr:colOff>
                <xdr:row>828</xdr:row>
                <xdr:rowOff>19050</xdr:rowOff>
              </from>
              <to>
                <xdr:col>3</xdr:col>
                <xdr:colOff>876300</xdr:colOff>
                <xdr:row>829</xdr:row>
                <xdr:rowOff>0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32" r:id="rId18">
          <objectPr defaultSize="0" autoPict="0" r:id="rId19">
            <anchor moveWithCells="1" sizeWithCells="1">
              <from>
                <xdr:col>6</xdr:col>
                <xdr:colOff>552450</xdr:colOff>
                <xdr:row>835</xdr:row>
                <xdr:rowOff>0</xdr:rowOff>
              </from>
              <to>
                <xdr:col>8</xdr:col>
                <xdr:colOff>685800</xdr:colOff>
                <xdr:row>837</xdr:row>
                <xdr:rowOff>133350</xdr:rowOff>
              </to>
            </anchor>
          </objectPr>
        </oleObject>
      </mc:Choice>
      <mc:Fallback>
        <oleObject progId="Equation.3" shapeId="1032" r:id="rId18"/>
      </mc:Fallback>
    </mc:AlternateContent>
    <mc:AlternateContent xmlns:mc="http://schemas.openxmlformats.org/markup-compatibility/2006">
      <mc:Choice Requires="x14">
        <oleObject progId="Equation.3" shapeId="1034" r:id="rId20">
          <objectPr defaultSize="0" autoPict="0" r:id="rId21">
            <anchor moveWithCells="1" sizeWithCells="1">
              <from>
                <xdr:col>9</xdr:col>
                <xdr:colOff>542925</xdr:colOff>
                <xdr:row>1082</xdr:row>
                <xdr:rowOff>123825</xdr:rowOff>
              </from>
              <to>
                <xdr:col>11</xdr:col>
                <xdr:colOff>400050</xdr:colOff>
                <xdr:row>1083</xdr:row>
                <xdr:rowOff>323850</xdr:rowOff>
              </to>
            </anchor>
          </objectPr>
        </oleObject>
      </mc:Choice>
      <mc:Fallback>
        <oleObject progId="Equation.3" shapeId="1034" r:id="rId20"/>
      </mc:Fallback>
    </mc:AlternateContent>
    <mc:AlternateContent xmlns:mc="http://schemas.openxmlformats.org/markup-compatibility/2006">
      <mc:Choice Requires="x14">
        <oleObject progId="Equation.3" shapeId="1033" r:id="rId22">
          <objectPr defaultSize="0" autoPict="0" r:id="rId23">
            <anchor moveWithCells="1" sizeWithCells="1">
              <from>
                <xdr:col>2</xdr:col>
                <xdr:colOff>333375</xdr:colOff>
                <xdr:row>1103</xdr:row>
                <xdr:rowOff>0</xdr:rowOff>
              </from>
              <to>
                <xdr:col>2</xdr:col>
                <xdr:colOff>1390650</xdr:colOff>
                <xdr:row>1104</xdr:row>
                <xdr:rowOff>104775</xdr:rowOff>
              </to>
            </anchor>
          </objectPr>
        </oleObject>
      </mc:Choice>
      <mc:Fallback>
        <oleObject progId="Equation.3" shapeId="1033" r:id="rId22"/>
      </mc:Fallback>
    </mc:AlternateContent>
  </oleObjects>
  <controls>
    <mc:AlternateContent xmlns:mc="http://schemas.openxmlformats.org/markup-compatibility/2006">
      <mc:Choice Requires="x14">
        <control shapeId="19189" r:id="rId24" name="ComboBox1">
          <controlPr defaultSize="0" autoLine="0" linkedCell="'BAZA DANYCH'!B3" listFillRange="'BAZA DANYCH'!C11:C28" r:id="rId25">
            <anchor moveWithCells="1">
              <from>
                <xdr:col>3</xdr:col>
                <xdr:colOff>1381125</xdr:colOff>
                <xdr:row>7</xdr:row>
                <xdr:rowOff>19050</xdr:rowOff>
              </from>
              <to>
                <xdr:col>6</xdr:col>
                <xdr:colOff>561975</xdr:colOff>
                <xdr:row>7</xdr:row>
                <xdr:rowOff>371475</xdr:rowOff>
              </to>
            </anchor>
          </controlPr>
        </control>
      </mc:Choice>
      <mc:Fallback>
        <control shapeId="19189" r:id="rId24" name="ComboBox1"/>
      </mc:Fallback>
    </mc:AlternateContent>
    <mc:AlternateContent xmlns:mc="http://schemas.openxmlformats.org/markup-compatibility/2006">
      <mc:Choice Requires="x14">
        <control shapeId="19191" r:id="rId26" name="ComboBox2">
          <controlPr defaultSize="0" autoLine="0" linkedCell="'BAZA DANYCH'!AK8" listFillRange="'BAZA DANYCH'!AL20:AL52" r:id="rId27">
            <anchor moveWithCells="1">
              <from>
                <xdr:col>4</xdr:col>
                <xdr:colOff>38100</xdr:colOff>
                <xdr:row>45</xdr:row>
                <xdr:rowOff>38100</xdr:rowOff>
              </from>
              <to>
                <xdr:col>7</xdr:col>
                <xdr:colOff>28575</xdr:colOff>
                <xdr:row>45</xdr:row>
                <xdr:rowOff>361950</xdr:rowOff>
              </to>
            </anchor>
          </controlPr>
        </control>
      </mc:Choice>
      <mc:Fallback>
        <control shapeId="19191" r:id="rId26" name="ComboBox2"/>
      </mc:Fallback>
    </mc:AlternateContent>
    <mc:AlternateContent xmlns:mc="http://schemas.openxmlformats.org/markup-compatibility/2006">
      <mc:Choice Requires="x14">
        <control shapeId="8393" r:id="rId28" name="Group Box 5321">
          <controlPr defaultSize="0" autoFill="0" autoPict="0">
            <anchor moveWithCells="1">
              <from>
                <xdr:col>1</xdr:col>
                <xdr:colOff>542925</xdr:colOff>
                <xdr:row>25</xdr:row>
                <xdr:rowOff>0</xdr:rowOff>
              </from>
              <to>
                <xdr:col>3</xdr:col>
                <xdr:colOff>0</xdr:colOff>
                <xdr:row>28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414" r:id="rId29" name="Option Button 5342">
          <controlPr defaultSize="0" autoFill="0" autoLine="0" autoPict="0">
            <anchor moveWithCells="1">
              <from>
                <xdr:col>2</xdr:col>
                <xdr:colOff>342900</xdr:colOff>
                <xdr:row>31</xdr:row>
                <xdr:rowOff>9525</xdr:rowOff>
              </from>
              <to>
                <xdr:col>2</xdr:col>
                <xdr:colOff>638175</xdr:colOff>
                <xdr:row>32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421" r:id="rId30" name="Option Button 5349">
          <controlPr defaultSize="0" autoFill="0" autoLine="0" autoPict="0">
            <anchor moveWithCells="1">
              <from>
                <xdr:col>2</xdr:col>
                <xdr:colOff>342900</xdr:colOff>
                <xdr:row>31</xdr:row>
                <xdr:rowOff>180975</xdr:rowOff>
              </from>
              <to>
                <xdr:col>2</xdr:col>
                <xdr:colOff>571500</xdr:colOff>
                <xdr:row>32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424" r:id="rId31" name="Group Box 5352">
          <controlPr defaultSize="0" autoFill="0" autoPict="0">
            <anchor moveWithCells="1">
              <from>
                <xdr:col>2</xdr:col>
                <xdr:colOff>0</xdr:colOff>
                <xdr:row>28</xdr:row>
                <xdr:rowOff>190500</xdr:rowOff>
              </from>
              <to>
                <xdr:col>3</xdr:col>
                <xdr:colOff>0</xdr:colOff>
                <xdr:row>33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653" r:id="rId32" name="Option Button 10581">
          <controlPr defaultSize="0" autoFill="0" autoLine="0" autoPict="0">
            <anchor moveWithCells="1">
              <from>
                <xdr:col>2</xdr:col>
                <xdr:colOff>342900</xdr:colOff>
                <xdr:row>41</xdr:row>
                <xdr:rowOff>0</xdr:rowOff>
              </from>
              <to>
                <xdr:col>2</xdr:col>
                <xdr:colOff>561975</xdr:colOff>
                <xdr:row>42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656" r:id="rId33" name="Group Box 10584">
          <controlPr defaultSize="0" autoFill="0" autoPict="0">
            <anchor moveWithCells="1">
              <from>
                <xdr:col>2</xdr:col>
                <xdr:colOff>0</xdr:colOff>
                <xdr:row>38</xdr:row>
                <xdr:rowOff>180975</xdr:rowOff>
              </from>
              <to>
                <xdr:col>3</xdr:col>
                <xdr:colOff>0</xdr:colOff>
                <xdr:row>43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660" r:id="rId34" name="Option Button 10588">
          <controlPr defaultSize="0" autoFill="0" autoLine="0" autoPict="0">
            <anchor moveWithCells="1">
              <from>
                <xdr:col>2</xdr:col>
                <xdr:colOff>342900</xdr:colOff>
                <xdr:row>42</xdr:row>
                <xdr:rowOff>9525</xdr:rowOff>
              </from>
              <to>
                <xdr:col>2</xdr:col>
                <xdr:colOff>561975</xdr:colOff>
                <xdr:row>42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154" r:id="rId35" name="Group Box 14034">
          <controlPr defaultSize="0" autoFill="0" autoPict="0">
            <anchor moveWithCells="1">
              <from>
                <xdr:col>2</xdr:col>
                <xdr:colOff>0</xdr:colOff>
                <xdr:row>47</xdr:row>
                <xdr:rowOff>28575</xdr:rowOff>
              </from>
              <to>
                <xdr:col>3</xdr:col>
                <xdr:colOff>0</xdr:colOff>
                <xdr:row>52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184" r:id="rId36" name="Option Button 14064">
          <controlPr defaultSize="0" autoFill="0" autoLine="0" autoPict="0">
            <anchor moveWithCells="1">
              <from>
                <xdr:col>2</xdr:col>
                <xdr:colOff>342900</xdr:colOff>
                <xdr:row>49</xdr:row>
                <xdr:rowOff>9525</xdr:rowOff>
              </from>
              <to>
                <xdr:col>2</xdr:col>
                <xdr:colOff>542925</xdr:colOff>
                <xdr:row>49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188" r:id="rId37" name="Option Button 14068">
          <controlPr defaultSize="0" autoFill="0" autoLine="0" autoPict="0">
            <anchor moveWithCells="1">
              <from>
                <xdr:col>2</xdr:col>
                <xdr:colOff>342900</xdr:colOff>
                <xdr:row>49</xdr:row>
                <xdr:rowOff>180975</xdr:rowOff>
              </from>
              <to>
                <xdr:col>2</xdr:col>
                <xdr:colOff>533400</xdr:colOff>
                <xdr:row>50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192" r:id="rId38" name="Group Box 14072">
          <controlPr defaultSize="0" autoFill="0" autoPict="0">
            <anchor moveWithCells="1">
              <from>
                <xdr:col>1</xdr:col>
                <xdr:colOff>542925</xdr:colOff>
                <xdr:row>34</xdr:row>
                <xdr:rowOff>0</xdr:rowOff>
              </from>
              <to>
                <xdr:col>3</xdr:col>
                <xdr:colOff>0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193" r:id="rId39" name="Option Button 14073">
          <controlPr defaultSize="0" autoFill="0" autoLine="0" autoPict="0">
            <anchor moveWithCells="1">
              <from>
                <xdr:col>2</xdr:col>
                <xdr:colOff>371475</xdr:colOff>
                <xdr:row>36</xdr:row>
                <xdr:rowOff>28575</xdr:rowOff>
              </from>
              <to>
                <xdr:col>2</xdr:col>
                <xdr:colOff>619125</xdr:colOff>
                <xdr:row>37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194" r:id="rId40" name="Option Button 14074">
          <controlPr defaultSize="0" autoFill="0" autoLine="0" autoPict="0">
            <anchor moveWithCells="1">
              <from>
                <xdr:col>2</xdr:col>
                <xdr:colOff>371475</xdr:colOff>
                <xdr:row>37</xdr:row>
                <xdr:rowOff>0</xdr:rowOff>
              </from>
              <to>
                <xdr:col>2</xdr:col>
                <xdr:colOff>619125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197" r:id="rId41" name="Option Button 14077">
          <controlPr defaultSize="0" autoFill="0" autoLine="0" autoPict="0">
            <anchor moveWithCells="1">
              <from>
                <xdr:col>2</xdr:col>
                <xdr:colOff>371475</xdr:colOff>
                <xdr:row>26</xdr:row>
                <xdr:rowOff>9525</xdr:rowOff>
              </from>
              <to>
                <xdr:col>2</xdr:col>
                <xdr:colOff>600075</xdr:colOff>
                <xdr:row>27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198" r:id="rId42" name="Option Button 14078">
          <controlPr defaultSize="0" autoFill="0" autoLine="0" autoPict="0">
            <anchor moveWithCells="1">
              <from>
                <xdr:col>2</xdr:col>
                <xdr:colOff>371475</xdr:colOff>
                <xdr:row>26</xdr:row>
                <xdr:rowOff>180975</xdr:rowOff>
              </from>
              <to>
                <xdr:col>2</xdr:col>
                <xdr:colOff>600075</xdr:colOff>
                <xdr:row>28</xdr:row>
                <xdr:rowOff>19050</xdr:rowOff>
              </to>
            </anchor>
          </controlPr>
        </control>
      </mc:Choice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6" id="{EF35D4D9-01B5-485D-829D-5C83079A535E}">
            <xm:f>IF('BAZA DANYCH'!$B$9=1,1,"")</xm:f>
            <x14:dxf>
              <fill>
                <patternFill>
                  <bgColor theme="9" tint="0.39994506668294322"/>
                </patternFill>
              </fill>
            </x14:dxf>
          </x14:cfRule>
          <xm:sqref>C27:H27</xm:sqref>
        </x14:conditionalFormatting>
        <x14:conditionalFormatting xmlns:xm="http://schemas.microsoft.com/office/excel/2006/main">
          <x14:cfRule type="expression" priority="65" id="{5B48A71C-AAC3-4AB2-A791-56C11065EF88}">
            <xm:f>IF('BAZA DANYCH'!$B$9=2,1,"")</xm:f>
            <x14:dxf>
              <fill>
                <patternFill>
                  <bgColor theme="9" tint="0.39994506668294322"/>
                </patternFill>
              </fill>
            </x14:dxf>
          </x14:cfRule>
          <xm:sqref>C28:H28</xm:sqref>
        </x14:conditionalFormatting>
        <x14:conditionalFormatting xmlns:xm="http://schemas.microsoft.com/office/excel/2006/main">
          <x14:cfRule type="expression" priority="62" id="{29A3D514-9689-454B-AE54-65608385242D}">
            <xm:f>IF('BAZA DANYCH'!$B$33=1,1,"")</xm:f>
            <x14:dxf>
              <fill>
                <patternFill>
                  <bgColor theme="9" tint="0.39994506668294322"/>
                </patternFill>
              </fill>
            </x14:dxf>
          </x14:cfRule>
          <xm:sqref>C32:J32</xm:sqref>
        </x14:conditionalFormatting>
        <x14:conditionalFormatting xmlns:xm="http://schemas.microsoft.com/office/excel/2006/main">
          <x14:cfRule type="expression" priority="61" id="{8F346A2D-9D02-4F5A-930E-C631A49A0D7B}">
            <xm:f>IF('BAZA DANYCH'!$B$33=2,1,"")</xm:f>
            <x14:dxf>
              <fill>
                <patternFill>
                  <bgColor theme="9" tint="0.39994506668294322"/>
                </patternFill>
              </fill>
            </x14:dxf>
          </x14:cfRule>
          <xm:sqref>C33:J33</xm:sqref>
        </x14:conditionalFormatting>
        <x14:conditionalFormatting xmlns:xm="http://schemas.microsoft.com/office/excel/2006/main">
          <x14:cfRule type="expression" priority="56" id="{6872B0C2-5027-47C3-97E3-1D7822B7548B}">
            <xm:f>IF('BAZA DANYCH'!$B$58=1,1,"")</xm:f>
            <x14:dxf>
              <fill>
                <patternFill>
                  <bgColor theme="9" tint="0.39994506668294322"/>
                </patternFill>
              </fill>
            </x14:dxf>
          </x14:cfRule>
          <xm:sqref>C37:I37</xm:sqref>
        </x14:conditionalFormatting>
        <x14:conditionalFormatting xmlns:xm="http://schemas.microsoft.com/office/excel/2006/main">
          <x14:cfRule type="expression" priority="55" id="{D78E31B3-1276-4E8D-819F-386C71F87AB8}">
            <xm:f>IF('BAZA DANYCH'!$B$58=2,1,"")</xm:f>
            <x14:dxf>
              <fill>
                <patternFill>
                  <bgColor theme="9" tint="0.39994506668294322"/>
                </patternFill>
              </fill>
            </x14:dxf>
          </x14:cfRule>
          <xm:sqref>C38:I38</xm:sqref>
        </x14:conditionalFormatting>
        <x14:conditionalFormatting xmlns:xm="http://schemas.microsoft.com/office/excel/2006/main">
          <x14:cfRule type="expression" priority="52" id="{A175043B-DABD-4C26-B94A-DDD4AF61061D}">
            <xm:f>IF('BAZA DANYCH'!$B$83=1,1,"")</xm:f>
            <x14:dxf>
              <fill>
                <patternFill>
                  <bgColor theme="9" tint="0.39994506668294322"/>
                </patternFill>
              </fill>
            </x14:dxf>
          </x14:cfRule>
          <xm:sqref>C42:H42</xm:sqref>
        </x14:conditionalFormatting>
        <x14:conditionalFormatting xmlns:xm="http://schemas.microsoft.com/office/excel/2006/main">
          <x14:cfRule type="expression" priority="51" id="{D5082218-CC1B-499D-A2E2-24604FDE2DBA}">
            <xm:f>IF('BAZA DANYCH'!$B$83=2,1,"")</xm:f>
            <x14:dxf>
              <fill>
                <patternFill>
                  <bgColor theme="9" tint="0.39994506668294322"/>
                </patternFill>
              </fill>
            </x14:dxf>
          </x14:cfRule>
          <xm:sqref>C43:G43</xm:sqref>
        </x14:conditionalFormatting>
        <x14:conditionalFormatting xmlns:xm="http://schemas.microsoft.com/office/excel/2006/main">
          <x14:cfRule type="expression" priority="50" id="{02CD2875-D6C0-4DE6-ADA8-172B71D1139F}">
            <xm:f>IF('BAZA DANYCH'!$AK$13=1,1,"")</xm:f>
            <x14:dxf>
              <fill>
                <patternFill>
                  <bgColor theme="9" tint="0.39994506668294322"/>
                </patternFill>
              </fill>
            </x14:dxf>
          </x14:cfRule>
          <xm:sqref>C50:M50</xm:sqref>
        </x14:conditionalFormatting>
        <x14:conditionalFormatting xmlns:xm="http://schemas.microsoft.com/office/excel/2006/main">
          <x14:cfRule type="expression" priority="49" id="{983B394C-28F2-46AB-9742-5A1BB7318C1C}">
            <xm:f>IF('BAZA DANYCH'!$AK$13=2,1,"")</xm:f>
            <x14:dxf>
              <fill>
                <patternFill>
                  <bgColor theme="9" tint="0.39994506668294322"/>
                </patternFill>
              </fill>
            </x14:dxf>
          </x14:cfRule>
          <xm:sqref>C51:M51</xm:sqref>
        </x14:conditionalFormatting>
        <x14:conditionalFormatting xmlns:xm="http://schemas.microsoft.com/office/excel/2006/main">
          <x14:cfRule type="expression" priority="1" id="{020A08AD-D469-40F5-A17A-EEA6CE08102B}">
            <xm:f>IF('BAZA DANYCH'!$B$83=2,1,"")</xm:f>
            <x14:dxf>
              <fill>
                <patternFill>
                  <bgColor theme="9" tint="0.39994506668294322"/>
                </patternFill>
              </fill>
            </x14:dxf>
          </x14:cfRule>
          <xm:sqref>H43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'BAZA DANYCH'!$AL$73:$AL$76</xm:f>
          </x14:formula1>
          <xm:sqref>C76</xm:sqref>
        </x14:dataValidation>
        <x14:dataValidation type="list" allowBlank="1" showInputMessage="1" showErrorMessage="1">
          <x14:formula1>
            <xm:f>'BAZA DANYCH'!$BH$10:$BH$11</xm:f>
          </x14:formula1>
          <xm:sqref>S10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B2:CB821"/>
  <sheetViews>
    <sheetView showGridLines="0" tabSelected="1" topLeftCell="AL13" zoomScale="85" zoomScaleNormal="85" workbookViewId="0">
      <selection activeCell="AW22" sqref="AW22"/>
    </sheetView>
  </sheetViews>
  <sheetFormatPr defaultRowHeight="15"/>
  <cols>
    <col min="1" max="1" width="9" style="293"/>
    <col min="2" max="2" width="16.125" style="272" customWidth="1"/>
    <col min="3" max="3" width="19.625" style="272" customWidth="1"/>
    <col min="4" max="4" width="13.125" style="272" customWidth="1"/>
    <col min="5" max="5" width="15" style="272" customWidth="1"/>
    <col min="6" max="6" width="14.5" style="272" customWidth="1"/>
    <col min="7" max="7" width="13.125" style="272" customWidth="1"/>
    <col min="8" max="8" width="18.125" style="272" customWidth="1"/>
    <col min="9" max="9" width="12.875" style="272" customWidth="1"/>
    <col min="10" max="10" width="14.5" style="272" customWidth="1"/>
    <col min="11" max="14" width="9" style="293"/>
    <col min="15" max="15" width="9.125" style="293" customWidth="1"/>
    <col min="16" max="16" width="14" style="293" customWidth="1"/>
    <col min="17" max="17" width="10.375" style="293" customWidth="1"/>
    <col min="18" max="18" width="13.25" style="293" customWidth="1"/>
    <col min="19" max="19" width="11.5" style="293" customWidth="1"/>
    <col min="20" max="20" width="11.125" style="293" customWidth="1"/>
    <col min="21" max="34" width="10.375" style="293" customWidth="1"/>
    <col min="35" max="35" width="4.125" style="272" customWidth="1"/>
    <col min="36" max="36" width="10.375" style="272" customWidth="1"/>
    <col min="37" max="37" width="15.625" style="272" customWidth="1"/>
    <col min="38" max="38" width="25.125" style="272" customWidth="1"/>
    <col min="39" max="39" width="12.5" style="272" customWidth="1"/>
    <col min="40" max="40" width="17.5" style="272" customWidth="1"/>
    <col min="41" max="42" width="10.375" style="272" customWidth="1"/>
    <col min="43" max="43" width="11.625" style="272" customWidth="1"/>
    <col min="44" max="44" width="17.5" style="272" customWidth="1"/>
    <col min="45" max="45" width="15.375" style="272" customWidth="1"/>
    <col min="46" max="46" width="15" style="272" customWidth="1"/>
    <col min="47" max="47" width="14.625" style="272" customWidth="1"/>
    <col min="48" max="48" width="36.625" style="272" customWidth="1"/>
    <col min="49" max="49" width="10.375" style="942" customWidth="1"/>
    <col min="50" max="50" width="10.375" style="945" customWidth="1"/>
    <col min="51" max="52" width="10.375" style="272" customWidth="1"/>
    <col min="53" max="54" width="10.375" style="949" customWidth="1"/>
    <col min="55" max="57" width="10.375" style="272" customWidth="1"/>
    <col min="58" max="70" width="10.375" style="293" customWidth="1"/>
    <col min="71" max="16384" width="9" style="293"/>
  </cols>
  <sheetData>
    <row r="2" spans="2:80">
      <c r="B2" s="317" t="s">
        <v>604</v>
      </c>
    </row>
    <row r="3" spans="2:80">
      <c r="B3" s="318" t="s">
        <v>17</v>
      </c>
      <c r="C3" s="831" t="s">
        <v>865</v>
      </c>
      <c r="D3" s="832"/>
    </row>
    <row r="4" spans="2:80">
      <c r="B4" s="318">
        <f>MATCH(B3,C11:C28,0)</f>
        <v>9</v>
      </c>
      <c r="C4" s="831" t="s">
        <v>864</v>
      </c>
    </row>
    <row r="5" spans="2:80" ht="18.95" customHeight="1"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J5" s="273"/>
      <c r="AK5" s="273"/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273"/>
      <c r="AW5" s="943"/>
      <c r="AX5" s="946"/>
      <c r="AY5" s="273"/>
      <c r="AZ5" s="273"/>
      <c r="BA5" s="950"/>
      <c r="BB5" s="950"/>
      <c r="BC5" s="273"/>
      <c r="BD5" s="273"/>
      <c r="BE5" s="364"/>
      <c r="BG5" s="527"/>
      <c r="BH5" s="527"/>
      <c r="BI5" s="527"/>
      <c r="BJ5" s="527"/>
      <c r="BK5" s="527"/>
      <c r="BL5" s="527"/>
      <c r="BM5" s="527"/>
      <c r="BN5" s="527"/>
      <c r="BO5" s="527"/>
      <c r="BP5" s="527"/>
      <c r="BQ5" s="527"/>
      <c r="BR5" s="527"/>
      <c r="BS5" s="527"/>
      <c r="BT5" s="527"/>
      <c r="BU5" s="527"/>
      <c r="BV5" s="527"/>
      <c r="BW5" s="527"/>
      <c r="BX5" s="527"/>
      <c r="BY5" s="527"/>
      <c r="BZ5" s="527"/>
      <c r="CA5" s="527"/>
      <c r="CB5" s="527"/>
    </row>
    <row r="6" spans="2:80" ht="18.95" customHeight="1">
      <c r="B6" s="1066" t="s">
        <v>557</v>
      </c>
      <c r="C6" s="1066"/>
      <c r="D6" s="1066"/>
      <c r="E6" s="1066"/>
      <c r="F6" s="1066"/>
      <c r="G6" s="1066"/>
      <c r="H6" s="1066"/>
      <c r="I6" s="1066"/>
      <c r="J6" s="1066"/>
      <c r="O6" s="271"/>
      <c r="P6" s="1059" t="s">
        <v>472</v>
      </c>
      <c r="Q6" s="1059"/>
      <c r="R6" s="1059"/>
      <c r="S6" s="1059"/>
      <c r="T6" s="1059"/>
      <c r="U6" s="1059"/>
      <c r="V6" s="1059"/>
      <c r="W6" s="1059"/>
      <c r="X6" s="1059"/>
      <c r="Y6" s="1059"/>
      <c r="Z6" s="1059"/>
      <c r="AA6" s="1059"/>
      <c r="AB6" s="1059"/>
      <c r="AC6" s="1059"/>
      <c r="AD6" s="1059"/>
      <c r="AE6" s="1059"/>
      <c r="AF6" s="1059"/>
      <c r="AG6" s="1059"/>
      <c r="AH6" s="271"/>
      <c r="AJ6" s="273"/>
      <c r="AK6" s="1059" t="s">
        <v>473</v>
      </c>
      <c r="AL6" s="1059"/>
      <c r="AM6" s="1059"/>
      <c r="AN6" s="1059"/>
      <c r="AO6" s="1059"/>
      <c r="AP6" s="1059"/>
      <c r="AQ6" s="1059"/>
      <c r="AR6" s="1059"/>
      <c r="AS6" s="1059"/>
      <c r="AT6" s="1059"/>
      <c r="AU6" s="1059"/>
      <c r="AV6" s="1059"/>
      <c r="AW6" s="1059"/>
      <c r="AX6" s="1059"/>
      <c r="AY6" s="1059"/>
      <c r="AZ6" s="1059"/>
      <c r="BA6" s="1059"/>
      <c r="BB6" s="1059"/>
      <c r="BC6" s="1059"/>
      <c r="BD6" s="1059"/>
      <c r="BE6" s="364"/>
      <c r="BG6" s="527"/>
      <c r="BH6" s="1059" t="s">
        <v>703</v>
      </c>
      <c r="BI6" s="1059"/>
      <c r="BJ6" s="1059"/>
      <c r="BK6" s="1059"/>
      <c r="BL6" s="1059"/>
      <c r="BM6" s="1059"/>
      <c r="BN6" s="1059"/>
      <c r="BO6" s="1059"/>
      <c r="BP6" s="1059"/>
      <c r="BQ6" s="1059"/>
      <c r="BR6" s="1059"/>
      <c r="BS6" s="1059"/>
      <c r="BT6" s="1059"/>
      <c r="BU6" s="1059"/>
      <c r="BV6" s="1059"/>
      <c r="BW6" s="1059"/>
      <c r="BX6" s="1059"/>
      <c r="BY6" s="1059"/>
      <c r="BZ6" s="1059"/>
      <c r="CA6" s="527"/>
      <c r="CB6" s="527"/>
    </row>
    <row r="7" spans="2:80" ht="18.95" customHeight="1">
      <c r="O7" s="271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1"/>
      <c r="AJ7" s="273"/>
      <c r="AK7" s="317" t="s">
        <v>651</v>
      </c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943"/>
      <c r="AX7" s="946"/>
      <c r="AY7" s="273"/>
      <c r="AZ7" s="273"/>
      <c r="BA7" s="950"/>
      <c r="BB7" s="950"/>
      <c r="BC7" s="273"/>
      <c r="BD7" s="273"/>
      <c r="BE7" s="364"/>
      <c r="BG7" s="527"/>
      <c r="BH7" s="527"/>
      <c r="BI7" s="527"/>
      <c r="BJ7" s="527"/>
      <c r="BK7" s="527"/>
      <c r="BL7" s="527"/>
      <c r="BM7" s="527"/>
      <c r="BN7" s="527"/>
      <c r="BO7" s="527"/>
      <c r="BP7" s="527"/>
      <c r="BQ7" s="527"/>
      <c r="BR7" s="527"/>
      <c r="BS7" s="527"/>
      <c r="BT7" s="527"/>
      <c r="BU7" s="527"/>
      <c r="BV7" s="527"/>
      <c r="BW7" s="527"/>
      <c r="BX7" s="527"/>
      <c r="BY7" s="527"/>
      <c r="BZ7" s="527"/>
      <c r="CA7" s="527"/>
      <c r="CB7" s="527"/>
    </row>
    <row r="8" spans="2:80" ht="18.95" customHeight="1">
      <c r="B8" s="347" t="s">
        <v>605</v>
      </c>
      <c r="C8" s="309" t="s">
        <v>7</v>
      </c>
      <c r="D8" s="1067" t="s">
        <v>8</v>
      </c>
      <c r="E8" s="1068"/>
      <c r="F8" s="1069" t="s">
        <v>9</v>
      </c>
      <c r="G8" s="1070"/>
      <c r="O8" s="271"/>
      <c r="P8" s="275" t="s">
        <v>474</v>
      </c>
      <c r="Q8" s="276" t="s">
        <v>475</v>
      </c>
      <c r="R8" s="276">
        <v>1.4</v>
      </c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J8" s="273"/>
      <c r="AK8" s="318" t="s">
        <v>623</v>
      </c>
      <c r="AL8" s="842" t="s">
        <v>873</v>
      </c>
      <c r="AM8" s="273"/>
      <c r="AN8" s="273"/>
      <c r="AO8" s="273"/>
      <c r="AP8" s="273"/>
      <c r="AQ8" s="273"/>
      <c r="AR8" s="273"/>
      <c r="AS8" s="273"/>
      <c r="AT8" s="273"/>
      <c r="AU8" s="273"/>
      <c r="AV8" s="273"/>
      <c r="AW8" s="943"/>
      <c r="AX8" s="946"/>
      <c r="AY8" s="273"/>
      <c r="AZ8" s="273"/>
      <c r="BA8" s="950"/>
      <c r="BB8" s="950"/>
      <c r="BC8" s="273"/>
      <c r="BD8" s="273"/>
      <c r="BE8" s="364"/>
      <c r="BG8" s="527"/>
      <c r="BH8" s="527"/>
      <c r="BI8" s="527"/>
      <c r="BJ8" s="527"/>
      <c r="BK8" s="527"/>
      <c r="BL8" s="527"/>
      <c r="BM8" s="527"/>
      <c r="BN8" s="527"/>
      <c r="BO8" s="527"/>
      <c r="BP8" s="527"/>
      <c r="BQ8" s="527"/>
      <c r="BR8" s="527"/>
      <c r="BS8" s="527"/>
      <c r="BT8" s="527"/>
      <c r="BU8" s="527"/>
      <c r="BV8" s="527"/>
      <c r="BW8" s="527"/>
      <c r="BX8" s="527"/>
      <c r="BY8" s="527"/>
      <c r="BZ8" s="527"/>
      <c r="CA8" s="527"/>
      <c r="CB8" s="527"/>
    </row>
    <row r="9" spans="2:80" ht="18.95" customHeight="1">
      <c r="B9" s="348">
        <v>1</v>
      </c>
      <c r="C9" s="1075" t="s">
        <v>10</v>
      </c>
      <c r="D9" s="1073" t="s">
        <v>231</v>
      </c>
      <c r="E9" s="1073" t="s">
        <v>232</v>
      </c>
      <c r="F9" s="1073" t="s">
        <v>233</v>
      </c>
      <c r="G9" s="1072" t="s">
        <v>234</v>
      </c>
      <c r="O9" s="271"/>
      <c r="P9" s="275" t="s">
        <v>476</v>
      </c>
      <c r="Q9" s="276" t="s">
        <v>475</v>
      </c>
      <c r="R9" s="276">
        <v>1.5</v>
      </c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J9" s="273"/>
      <c r="AK9" s="318">
        <f>MATCH(AK8,AL19:AL52,0)</f>
        <v>8</v>
      </c>
      <c r="AL9" s="842" t="s">
        <v>864</v>
      </c>
      <c r="AM9" s="273"/>
      <c r="AN9" s="273"/>
      <c r="AO9" s="273"/>
      <c r="AP9" s="273"/>
      <c r="AQ9" s="273"/>
      <c r="AR9" s="273"/>
      <c r="AS9" s="273"/>
      <c r="AT9" s="273"/>
      <c r="AU9" s="273"/>
      <c r="AV9" s="273"/>
      <c r="AW9" s="943"/>
      <c r="AX9" s="946"/>
      <c r="AY9" s="273"/>
      <c r="AZ9" s="273"/>
      <c r="BA9" s="950"/>
      <c r="BB9" s="950"/>
      <c r="BC9" s="273"/>
      <c r="BD9" s="273"/>
      <c r="BE9" s="364"/>
      <c r="BG9" s="527"/>
      <c r="BH9" s="528" t="s">
        <v>704</v>
      </c>
      <c r="BI9" s="527"/>
      <c r="BJ9" s="527"/>
      <c r="BK9" s="527"/>
      <c r="BL9" s="527"/>
      <c r="BM9" s="527"/>
      <c r="BN9" s="527"/>
      <c r="BO9" s="527"/>
      <c r="BP9" s="527"/>
      <c r="BQ9" s="527"/>
      <c r="BR9" s="527"/>
      <c r="BS9" s="527"/>
      <c r="BT9" s="527"/>
      <c r="BU9" s="527"/>
      <c r="BV9" s="527"/>
      <c r="BW9" s="527"/>
      <c r="BX9" s="527"/>
      <c r="BY9" s="527"/>
      <c r="BZ9" s="527"/>
      <c r="CA9" s="527"/>
      <c r="CB9" s="527"/>
    </row>
    <row r="10" spans="2:80" ht="18.95" customHeight="1">
      <c r="B10" s="345" t="s">
        <v>606</v>
      </c>
      <c r="C10" s="1075"/>
      <c r="D10" s="1074"/>
      <c r="E10" s="1074"/>
      <c r="F10" s="1074"/>
      <c r="G10" s="1072"/>
      <c r="O10" s="271"/>
      <c r="P10" s="277" t="s">
        <v>477</v>
      </c>
      <c r="Q10" s="278" t="s">
        <v>478</v>
      </c>
      <c r="R10" s="278">
        <v>2.5</v>
      </c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J10" s="273"/>
      <c r="AK10" s="273"/>
      <c r="AL10" s="273"/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943"/>
      <c r="AX10" s="946"/>
      <c r="AY10" s="273"/>
      <c r="AZ10" s="273"/>
      <c r="BA10" s="950"/>
      <c r="BB10" s="950"/>
      <c r="BC10" s="273"/>
      <c r="BD10" s="273"/>
      <c r="BE10" s="364"/>
      <c r="BG10" s="527"/>
      <c r="BH10" s="344">
        <v>0</v>
      </c>
      <c r="BI10" s="527"/>
      <c r="BJ10" s="527"/>
      <c r="BK10" s="527"/>
      <c r="BL10" s="527"/>
      <c r="BM10" s="527"/>
      <c r="BN10" s="527"/>
      <c r="BO10" s="527"/>
      <c r="BP10" s="527"/>
      <c r="BQ10" s="527"/>
      <c r="BR10" s="527"/>
      <c r="BS10" s="527"/>
      <c r="BT10" s="527"/>
      <c r="BU10" s="527"/>
      <c r="BV10" s="527"/>
      <c r="BW10" s="527"/>
      <c r="BX10" s="527"/>
      <c r="BY10" s="527"/>
      <c r="BZ10" s="527"/>
      <c r="CA10" s="527"/>
      <c r="CB10" s="527"/>
    </row>
    <row r="11" spans="2:80" ht="18.95" customHeight="1">
      <c r="B11" s="316">
        <v>1</v>
      </c>
      <c r="C11" s="770" t="s">
        <v>230</v>
      </c>
      <c r="D11" s="311">
        <v>200</v>
      </c>
      <c r="E11" s="311">
        <v>200</v>
      </c>
      <c r="F11" s="343">
        <v>50</v>
      </c>
      <c r="G11" s="310">
        <v>65</v>
      </c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J11" s="273"/>
      <c r="AK11" s="273"/>
      <c r="AL11" s="273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943"/>
      <c r="AX11" s="946"/>
      <c r="AY11" s="273"/>
      <c r="AZ11" s="273"/>
      <c r="BA11" s="950"/>
      <c r="BB11" s="950"/>
      <c r="BC11" s="273"/>
      <c r="BD11" s="273"/>
      <c r="BE11" s="364"/>
      <c r="BG11" s="527"/>
      <c r="BH11" s="344">
        <v>1</v>
      </c>
      <c r="BI11" s="527"/>
      <c r="BJ11" s="527"/>
      <c r="BK11" s="527"/>
      <c r="BL11" s="527"/>
      <c r="BM11" s="527"/>
      <c r="BN11" s="527"/>
      <c r="BO11" s="527"/>
      <c r="BP11" s="527"/>
      <c r="BQ11" s="527"/>
      <c r="BR11" s="527"/>
      <c r="BS11" s="527"/>
      <c r="BT11" s="527"/>
      <c r="BU11" s="527"/>
      <c r="BV11" s="527"/>
      <c r="BW11" s="527"/>
      <c r="BX11" s="527"/>
      <c r="BY11" s="527"/>
      <c r="BZ11" s="527"/>
      <c r="CA11" s="527"/>
      <c r="CB11" s="527"/>
    </row>
    <row r="12" spans="2:80" ht="18.95" customHeight="1">
      <c r="B12" s="316">
        <v>2</v>
      </c>
      <c r="C12" s="770" t="s">
        <v>11</v>
      </c>
      <c r="D12" s="311">
        <v>200</v>
      </c>
      <c r="E12" s="311">
        <v>250</v>
      </c>
      <c r="F12" s="343">
        <v>50</v>
      </c>
      <c r="G12" s="310">
        <v>65</v>
      </c>
      <c r="O12" s="271"/>
      <c r="P12" s="279"/>
      <c r="Q12" s="279"/>
      <c r="R12" s="280"/>
      <c r="S12" s="279" t="s">
        <v>479</v>
      </c>
      <c r="T12" s="279" t="s">
        <v>480</v>
      </c>
      <c r="U12" s="279" t="s">
        <v>481</v>
      </c>
      <c r="V12" s="279" t="s">
        <v>482</v>
      </c>
      <c r="W12" s="279" t="s">
        <v>254</v>
      </c>
      <c r="X12" s="279" t="s">
        <v>483</v>
      </c>
      <c r="Y12" s="279" t="s">
        <v>484</v>
      </c>
      <c r="Z12" s="279" t="s">
        <v>485</v>
      </c>
      <c r="AA12" s="279" t="s">
        <v>486</v>
      </c>
      <c r="AB12" s="279" t="s">
        <v>487</v>
      </c>
      <c r="AC12" s="279" t="s">
        <v>488</v>
      </c>
      <c r="AD12" s="279" t="s">
        <v>489</v>
      </c>
      <c r="AE12" s="279" t="s">
        <v>245</v>
      </c>
      <c r="AF12" s="279" t="s">
        <v>490</v>
      </c>
      <c r="AG12" s="279" t="s">
        <v>491</v>
      </c>
      <c r="AH12" s="271"/>
      <c r="AJ12" s="273"/>
      <c r="AK12" s="347" t="s">
        <v>605</v>
      </c>
      <c r="AL12" s="273"/>
      <c r="AM12" s="273"/>
      <c r="AN12" s="273"/>
      <c r="AO12" s="273"/>
      <c r="AP12" s="273"/>
      <c r="AQ12" s="273"/>
      <c r="AR12" s="273"/>
      <c r="AS12" s="273"/>
      <c r="AT12" s="273"/>
      <c r="AU12" s="273"/>
      <c r="AV12" s="273"/>
      <c r="AW12" s="943"/>
      <c r="AX12" s="946"/>
      <c r="AY12" s="273"/>
      <c r="AZ12" s="273"/>
      <c r="BA12" s="950"/>
      <c r="BB12" s="950"/>
      <c r="BC12" s="273"/>
      <c r="BD12" s="273"/>
      <c r="BE12" s="364"/>
      <c r="BG12" s="527"/>
      <c r="BH12" s="527"/>
      <c r="BI12" s="527"/>
      <c r="BJ12" s="527"/>
      <c r="BK12" s="527"/>
      <c r="BL12" s="527"/>
      <c r="BM12" s="527"/>
      <c r="BN12" s="527"/>
      <c r="BO12" s="527"/>
      <c r="BP12" s="527"/>
      <c r="BQ12" s="527"/>
      <c r="BR12" s="527"/>
      <c r="BS12" s="527"/>
      <c r="BT12" s="527"/>
      <c r="BU12" s="527"/>
      <c r="BV12" s="527"/>
      <c r="BW12" s="527"/>
      <c r="BX12" s="527"/>
      <c r="BY12" s="527"/>
      <c r="BZ12" s="527"/>
      <c r="CA12" s="527"/>
      <c r="CB12" s="527"/>
    </row>
    <row r="13" spans="2:80" ht="18.95" customHeight="1">
      <c r="B13" s="316">
        <v>3</v>
      </c>
      <c r="C13" s="770" t="s">
        <v>12</v>
      </c>
      <c r="D13" s="311">
        <v>200</v>
      </c>
      <c r="E13" s="311">
        <v>300</v>
      </c>
      <c r="F13" s="343">
        <v>50</v>
      </c>
      <c r="G13" s="310">
        <v>65</v>
      </c>
      <c r="O13" s="271"/>
      <c r="P13" s="279" t="s">
        <v>492</v>
      </c>
      <c r="Q13" s="279" t="s">
        <v>211</v>
      </c>
      <c r="R13" s="280"/>
      <c r="S13" s="279">
        <f>S14*0.8</f>
        <v>6</v>
      </c>
      <c r="T13" s="279">
        <f>T14*0.8</f>
        <v>8</v>
      </c>
      <c r="U13" s="279">
        <v>12</v>
      </c>
      <c r="V13" s="279">
        <v>16</v>
      </c>
      <c r="W13" s="279">
        <v>20</v>
      </c>
      <c r="X13" s="279">
        <v>25</v>
      </c>
      <c r="Y13" s="279">
        <v>30</v>
      </c>
      <c r="Z13" s="279">
        <v>35</v>
      </c>
      <c r="AA13" s="279">
        <v>40</v>
      </c>
      <c r="AB13" s="279">
        <v>45</v>
      </c>
      <c r="AC13" s="279">
        <v>50</v>
      </c>
      <c r="AD13" s="279">
        <v>55</v>
      </c>
      <c r="AE13" s="279">
        <v>60</v>
      </c>
      <c r="AF13" s="279">
        <v>70</v>
      </c>
      <c r="AG13" s="279">
        <v>80</v>
      </c>
      <c r="AH13" s="271"/>
      <c r="AJ13" s="273"/>
      <c r="AK13" s="348">
        <v>1</v>
      </c>
      <c r="AL13" s="273"/>
      <c r="AM13" s="273"/>
      <c r="AN13" s="273"/>
      <c r="AO13" s="273"/>
      <c r="AP13" s="273"/>
      <c r="AQ13" s="273"/>
      <c r="AR13" s="273"/>
      <c r="AS13" s="273"/>
      <c r="AT13" s="273"/>
      <c r="AU13" s="273"/>
      <c r="AV13" s="273"/>
      <c r="AW13" s="943"/>
      <c r="AX13" s="946"/>
      <c r="AY13" s="273"/>
      <c r="AZ13" s="273"/>
      <c r="BA13" s="950"/>
      <c r="BB13" s="950"/>
      <c r="BC13" s="273"/>
      <c r="BD13" s="273"/>
      <c r="BE13" s="364"/>
      <c r="BG13" s="527"/>
      <c r="BH13" s="527"/>
      <c r="BI13" s="527"/>
      <c r="BJ13" s="527"/>
      <c r="BK13" s="527"/>
      <c r="BL13" s="527"/>
      <c r="BM13" s="527"/>
      <c r="BN13" s="527"/>
      <c r="BO13" s="527"/>
      <c r="BP13" s="527"/>
      <c r="BQ13" s="527"/>
      <c r="BR13" s="527"/>
      <c r="BS13" s="527"/>
      <c r="BT13" s="527"/>
      <c r="BU13" s="527"/>
      <c r="BV13" s="527"/>
      <c r="BW13" s="527"/>
      <c r="BX13" s="527"/>
      <c r="BY13" s="527"/>
      <c r="BZ13" s="527"/>
      <c r="CA13" s="527"/>
      <c r="CB13" s="527"/>
    </row>
    <row r="14" spans="2:80" ht="18.95" customHeight="1">
      <c r="B14" s="316">
        <v>4</v>
      </c>
      <c r="C14" s="770" t="s">
        <v>13</v>
      </c>
      <c r="D14" s="311">
        <v>270</v>
      </c>
      <c r="E14" s="311">
        <v>300</v>
      </c>
      <c r="F14" s="343">
        <v>60</v>
      </c>
      <c r="G14" s="310">
        <v>110</v>
      </c>
      <c r="O14" s="271"/>
      <c r="P14" s="279" t="s">
        <v>493</v>
      </c>
      <c r="Q14" s="279" t="s">
        <v>211</v>
      </c>
      <c r="R14" s="280"/>
      <c r="S14" s="279">
        <v>7.5</v>
      </c>
      <c r="T14" s="279">
        <v>10</v>
      </c>
      <c r="U14" s="279">
        <v>15</v>
      </c>
      <c r="V14" s="279">
        <v>20</v>
      </c>
      <c r="W14" s="279">
        <v>25</v>
      </c>
      <c r="X14" s="279">
        <v>30</v>
      </c>
      <c r="Y14" s="279">
        <v>37</v>
      </c>
      <c r="Z14" s="279">
        <v>45</v>
      </c>
      <c r="AA14" s="279">
        <v>50</v>
      </c>
      <c r="AB14" s="279">
        <v>55</v>
      </c>
      <c r="AC14" s="279">
        <v>60</v>
      </c>
      <c r="AD14" s="279">
        <v>67</v>
      </c>
      <c r="AE14" s="279">
        <v>75</v>
      </c>
      <c r="AF14" s="279">
        <v>85</v>
      </c>
      <c r="AG14" s="279">
        <v>95</v>
      </c>
      <c r="AH14" s="271"/>
      <c r="AJ14" s="273"/>
      <c r="AK14" s="345" t="s">
        <v>606</v>
      </c>
      <c r="AL14" s="273"/>
      <c r="AM14" s="273"/>
      <c r="AN14" s="273"/>
      <c r="AO14" s="273"/>
      <c r="AP14" s="273"/>
      <c r="AQ14" s="273"/>
      <c r="AR14" s="273"/>
      <c r="AS14" s="273"/>
      <c r="AT14" s="273"/>
      <c r="AU14" s="273"/>
      <c r="AV14" s="273"/>
      <c r="AW14" s="943"/>
      <c r="AX14" s="946"/>
      <c r="AY14" s="273"/>
      <c r="AZ14" s="273"/>
      <c r="BA14" s="950"/>
      <c r="BB14" s="950"/>
      <c r="BC14" s="273"/>
      <c r="BD14" s="273"/>
      <c r="BE14" s="364"/>
      <c r="BG14" s="527"/>
      <c r="BH14" s="527"/>
      <c r="BI14" s="527"/>
      <c r="BJ14" s="527"/>
      <c r="BK14" s="527"/>
      <c r="BL14" s="527"/>
      <c r="BM14" s="527"/>
      <c r="BN14" s="527"/>
      <c r="BO14" s="527"/>
      <c r="BP14" s="527"/>
      <c r="BQ14" s="527"/>
      <c r="BR14" s="527"/>
      <c r="BS14" s="527"/>
      <c r="BT14" s="527"/>
      <c r="BU14" s="527"/>
      <c r="BV14" s="527"/>
      <c r="BW14" s="527"/>
      <c r="BX14" s="527"/>
      <c r="BY14" s="527"/>
      <c r="BZ14" s="527"/>
      <c r="CA14" s="527"/>
      <c r="CB14" s="527"/>
    </row>
    <row r="15" spans="2:80" ht="18.95" customHeight="1">
      <c r="B15" s="316">
        <v>5</v>
      </c>
      <c r="C15" s="770" t="s">
        <v>14</v>
      </c>
      <c r="D15" s="311">
        <v>270</v>
      </c>
      <c r="E15" s="311">
        <v>350</v>
      </c>
      <c r="F15" s="884">
        <v>60</v>
      </c>
      <c r="G15" s="310">
        <v>110</v>
      </c>
      <c r="O15" s="271"/>
      <c r="P15" s="279" t="s">
        <v>494</v>
      </c>
      <c r="Q15" s="279" t="s">
        <v>211</v>
      </c>
      <c r="R15" s="280"/>
      <c r="S15" s="279">
        <f>S13+8</f>
        <v>14</v>
      </c>
      <c r="T15" s="279">
        <f>T13+8</f>
        <v>16</v>
      </c>
      <c r="U15" s="279">
        <v>20</v>
      </c>
      <c r="V15" s="279">
        <v>24</v>
      </c>
      <c r="W15" s="279">
        <v>28</v>
      </c>
      <c r="X15" s="279">
        <v>33</v>
      </c>
      <c r="Y15" s="279">
        <v>38</v>
      </c>
      <c r="Z15" s="279">
        <v>43</v>
      </c>
      <c r="AA15" s="279">
        <v>48</v>
      </c>
      <c r="AB15" s="279">
        <v>53</v>
      </c>
      <c r="AC15" s="279">
        <v>58</v>
      </c>
      <c r="AD15" s="279">
        <v>63</v>
      </c>
      <c r="AE15" s="279">
        <v>68</v>
      </c>
      <c r="AF15" s="279">
        <v>78</v>
      </c>
      <c r="AG15" s="279">
        <v>88</v>
      </c>
      <c r="AH15" s="271"/>
      <c r="AJ15" s="273"/>
      <c r="AK15" s="273"/>
      <c r="AL15" s="273"/>
      <c r="AM15" s="273"/>
      <c r="AN15" s="355"/>
      <c r="AO15" s="273"/>
      <c r="AP15" s="273"/>
      <c r="AQ15" s="273"/>
      <c r="AR15" s="273"/>
      <c r="AS15" s="273"/>
      <c r="AT15" s="273"/>
      <c r="AU15" s="273"/>
      <c r="AV15" s="273"/>
      <c r="AW15" s="943"/>
      <c r="AX15" s="946"/>
      <c r="AY15" s="273"/>
      <c r="AZ15" s="273"/>
      <c r="BA15" s="950"/>
      <c r="BB15" s="950"/>
      <c r="BC15" s="273"/>
      <c r="BD15" s="273"/>
      <c r="BE15" s="364"/>
      <c r="BG15" s="527"/>
      <c r="BH15" s="527"/>
      <c r="BI15" s="527"/>
      <c r="BJ15" s="527"/>
      <c r="BK15" s="527"/>
      <c r="BL15" s="527"/>
      <c r="BM15" s="527"/>
      <c r="BN15" s="527"/>
      <c r="BO15" s="527"/>
      <c r="BP15" s="527"/>
      <c r="BQ15" s="527"/>
      <c r="BR15" s="527"/>
      <c r="BS15" s="527"/>
      <c r="BT15" s="527"/>
      <c r="BU15" s="527"/>
      <c r="BV15" s="527"/>
      <c r="BW15" s="527"/>
      <c r="BX15" s="527"/>
      <c r="BY15" s="527"/>
      <c r="BZ15" s="527"/>
      <c r="CA15" s="527"/>
      <c r="CB15" s="527"/>
    </row>
    <row r="16" spans="2:80" ht="18.95" customHeight="1">
      <c r="B16" s="316">
        <v>6</v>
      </c>
      <c r="C16" s="770" t="s">
        <v>467</v>
      </c>
      <c r="D16" s="311">
        <v>270</v>
      </c>
      <c r="E16" s="311">
        <v>450</v>
      </c>
      <c r="F16" s="884">
        <v>60</v>
      </c>
      <c r="G16" s="310">
        <v>110</v>
      </c>
      <c r="O16" s="271"/>
      <c r="P16" s="279" t="s">
        <v>495</v>
      </c>
      <c r="Q16" s="279" t="s">
        <v>211</v>
      </c>
      <c r="R16" s="280"/>
      <c r="S16" s="281">
        <f>0.3*S13^(2/3)</f>
        <v>0.99057817466838782</v>
      </c>
      <c r="T16" s="281">
        <f>0.3*T13^(2/3)</f>
        <v>1.1999999999999997</v>
      </c>
      <c r="U16" s="279">
        <v>1.6</v>
      </c>
      <c r="V16" s="279">
        <v>1.9</v>
      </c>
      <c r="W16" s="279">
        <v>2.2000000000000002</v>
      </c>
      <c r="X16" s="279">
        <v>2.6</v>
      </c>
      <c r="Y16" s="279">
        <v>2.9</v>
      </c>
      <c r="Z16" s="279">
        <v>3.2</v>
      </c>
      <c r="AA16" s="279">
        <v>3.5</v>
      </c>
      <c r="AB16" s="279">
        <v>3.8</v>
      </c>
      <c r="AC16" s="279">
        <v>4.0999999999999996</v>
      </c>
      <c r="AD16" s="279">
        <v>4.2</v>
      </c>
      <c r="AE16" s="279">
        <v>4.4000000000000004</v>
      </c>
      <c r="AF16" s="279">
        <v>4.5999999999999996</v>
      </c>
      <c r="AG16" s="279">
        <v>4.8</v>
      </c>
      <c r="AH16" s="271"/>
      <c r="AJ16" s="273"/>
      <c r="AK16" s="273"/>
      <c r="AL16" s="273"/>
      <c r="AM16" s="273"/>
      <c r="AN16" s="355" t="s">
        <v>646</v>
      </c>
      <c r="AO16" s="273"/>
      <c r="AP16" s="273"/>
      <c r="AQ16" s="273"/>
      <c r="AR16" s="273"/>
      <c r="AS16" s="273"/>
      <c r="AT16" s="273"/>
      <c r="AU16" s="273"/>
      <c r="AV16" s="273"/>
      <c r="AW16" s="943"/>
      <c r="AX16" s="946"/>
      <c r="AY16" s="273"/>
      <c r="AZ16" s="273"/>
      <c r="BA16" s="950"/>
      <c r="BB16" s="950"/>
      <c r="BC16" s="273"/>
      <c r="BD16" s="273"/>
      <c r="BE16" s="364"/>
      <c r="BG16" s="527"/>
      <c r="BH16" s="527"/>
      <c r="BI16" s="527"/>
      <c r="BJ16" s="527"/>
      <c r="BK16" s="527"/>
      <c r="BL16" s="527"/>
      <c r="BM16" s="527"/>
      <c r="BN16" s="527"/>
      <c r="BO16" s="527"/>
      <c r="BP16" s="527"/>
      <c r="BQ16" s="527"/>
      <c r="BR16" s="527"/>
      <c r="BS16" s="527"/>
      <c r="BT16" s="527"/>
      <c r="BU16" s="527"/>
      <c r="BV16" s="527"/>
      <c r="BW16" s="527"/>
      <c r="BX16" s="527"/>
      <c r="BY16" s="527"/>
      <c r="BZ16" s="527"/>
      <c r="CA16" s="527"/>
      <c r="CB16" s="527"/>
    </row>
    <row r="17" spans="2:80" ht="18.95" customHeight="1">
      <c r="B17" s="316">
        <v>7</v>
      </c>
      <c r="C17" s="770" t="s">
        <v>15</v>
      </c>
      <c r="D17" s="311">
        <v>320</v>
      </c>
      <c r="E17" s="311">
        <v>350</v>
      </c>
      <c r="F17" s="884">
        <v>60</v>
      </c>
      <c r="G17" s="310">
        <v>100</v>
      </c>
      <c r="O17" s="271"/>
      <c r="P17" s="279" t="s">
        <v>496</v>
      </c>
      <c r="Q17" s="279" t="s">
        <v>211</v>
      </c>
      <c r="R17" s="280"/>
      <c r="S17" s="281">
        <f>0.7*S16</f>
        <v>0.69340472226787142</v>
      </c>
      <c r="T17" s="281">
        <f>0.7*T16</f>
        <v>0.83999999999999975</v>
      </c>
      <c r="U17" s="279">
        <v>1.1000000000000001</v>
      </c>
      <c r="V17" s="279">
        <v>1.3</v>
      </c>
      <c r="W17" s="279">
        <v>1.5</v>
      </c>
      <c r="X17" s="279">
        <v>1.8</v>
      </c>
      <c r="Y17" s="279">
        <v>2</v>
      </c>
      <c r="Z17" s="279">
        <v>2.2000000000000002</v>
      </c>
      <c r="AA17" s="279">
        <v>2.5</v>
      </c>
      <c r="AB17" s="279">
        <v>2.7</v>
      </c>
      <c r="AC17" s="279">
        <v>2.9</v>
      </c>
      <c r="AD17" s="279">
        <v>3</v>
      </c>
      <c r="AE17" s="279">
        <v>3.1</v>
      </c>
      <c r="AF17" s="279">
        <v>3.2</v>
      </c>
      <c r="AG17" s="279">
        <v>3.4</v>
      </c>
      <c r="AH17" s="271"/>
      <c r="AJ17" s="273"/>
      <c r="AK17" s="273"/>
      <c r="AL17" s="273"/>
      <c r="AM17" s="344" t="s">
        <v>647</v>
      </c>
      <c r="AN17" s="282" t="s">
        <v>497</v>
      </c>
      <c r="AO17" s="282" t="s">
        <v>498</v>
      </c>
      <c r="AP17" s="282" t="s">
        <v>499</v>
      </c>
      <c r="AQ17" s="283" t="s">
        <v>649</v>
      </c>
      <c r="AR17" s="283" t="s">
        <v>463</v>
      </c>
      <c r="AS17" s="283" t="s">
        <v>500</v>
      </c>
      <c r="AT17" s="283" t="s">
        <v>621</v>
      </c>
      <c r="AU17" s="283" t="s">
        <v>622</v>
      </c>
      <c r="AV17" s="344" t="s">
        <v>501</v>
      </c>
      <c r="AW17" s="943"/>
      <c r="AX17" s="946"/>
      <c r="AY17" s="273"/>
      <c r="AZ17" s="273"/>
      <c r="BA17" s="950"/>
      <c r="BB17" s="950"/>
      <c r="BC17" s="273"/>
      <c r="BD17" s="273"/>
      <c r="BE17" s="364"/>
      <c r="BG17" s="527"/>
      <c r="BH17" s="527"/>
      <c r="BI17" s="527"/>
      <c r="BJ17" s="527"/>
      <c r="BK17" s="527"/>
      <c r="BL17" s="527"/>
      <c r="BM17" s="527"/>
      <c r="BN17" s="527"/>
      <c r="BO17" s="527"/>
      <c r="BP17" s="527"/>
      <c r="BQ17" s="527"/>
      <c r="BR17" s="527"/>
      <c r="BS17" s="527"/>
      <c r="BT17" s="527"/>
      <c r="BU17" s="527"/>
      <c r="BV17" s="527"/>
      <c r="BW17" s="527"/>
      <c r="BX17" s="527"/>
      <c r="BY17" s="527"/>
      <c r="BZ17" s="527"/>
      <c r="CA17" s="527"/>
      <c r="CB17" s="527"/>
    </row>
    <row r="18" spans="2:80" ht="18.95" customHeight="1">
      <c r="B18" s="316">
        <v>8</v>
      </c>
      <c r="C18" s="770" t="s">
        <v>16</v>
      </c>
      <c r="D18" s="311">
        <v>320</v>
      </c>
      <c r="E18" s="311">
        <v>400</v>
      </c>
      <c r="F18" s="884">
        <v>60</v>
      </c>
      <c r="G18" s="310">
        <v>110</v>
      </c>
      <c r="O18" s="271"/>
      <c r="P18" s="279" t="s">
        <v>502</v>
      </c>
      <c r="Q18" s="279" t="s">
        <v>211</v>
      </c>
      <c r="R18" s="280"/>
      <c r="S18" s="281">
        <f>1.3*S16</f>
        <v>1.2877516270689042</v>
      </c>
      <c r="T18" s="281">
        <f>1.3*T16</f>
        <v>1.5599999999999996</v>
      </c>
      <c r="U18" s="279">
        <v>2</v>
      </c>
      <c r="V18" s="279">
        <v>2.5</v>
      </c>
      <c r="W18" s="279">
        <v>2.9</v>
      </c>
      <c r="X18" s="279">
        <v>3.3</v>
      </c>
      <c r="Y18" s="279">
        <v>3.8</v>
      </c>
      <c r="Z18" s="279">
        <v>4.2</v>
      </c>
      <c r="AA18" s="279">
        <v>4.5999999999999996</v>
      </c>
      <c r="AB18" s="279">
        <v>4.9000000000000004</v>
      </c>
      <c r="AC18" s="279">
        <v>5.3</v>
      </c>
      <c r="AD18" s="279">
        <v>5.5</v>
      </c>
      <c r="AE18" s="279">
        <v>5.7</v>
      </c>
      <c r="AF18" s="279">
        <v>6</v>
      </c>
      <c r="AG18" s="279">
        <v>6.3</v>
      </c>
      <c r="AH18" s="271"/>
      <c r="AJ18" s="273"/>
      <c r="AK18" s="273"/>
      <c r="AL18" s="273"/>
      <c r="AM18" s="344" t="s">
        <v>648</v>
      </c>
      <c r="AN18" s="282" t="s">
        <v>503</v>
      </c>
      <c r="AO18" s="282" t="s">
        <v>503</v>
      </c>
      <c r="AP18" s="282" t="s">
        <v>503</v>
      </c>
      <c r="AQ18" s="344" t="s">
        <v>464</v>
      </c>
      <c r="AR18" s="282" t="s">
        <v>464</v>
      </c>
      <c r="AS18" s="344" t="s">
        <v>464</v>
      </c>
      <c r="AT18" s="344" t="s">
        <v>556</v>
      </c>
      <c r="AU18" s="344" t="s">
        <v>556</v>
      </c>
      <c r="AV18" s="344"/>
      <c r="AW18" s="943"/>
      <c r="AX18" s="946"/>
      <c r="AY18" s="273"/>
      <c r="AZ18" s="273"/>
      <c r="BA18" s="950"/>
      <c r="BB18" s="950"/>
      <c r="BC18" s="273"/>
      <c r="BD18" s="273"/>
      <c r="BE18" s="364"/>
      <c r="BG18" s="527"/>
      <c r="BH18" s="527"/>
      <c r="BI18" s="527"/>
      <c r="BJ18" s="527"/>
      <c r="BK18" s="527"/>
      <c r="BL18" s="527"/>
      <c r="BM18" s="527"/>
      <c r="BN18" s="527"/>
      <c r="BO18" s="527"/>
      <c r="BP18" s="527"/>
      <c r="BQ18" s="527"/>
      <c r="BR18" s="527"/>
      <c r="BS18" s="527"/>
      <c r="BT18" s="527"/>
      <c r="BU18" s="527"/>
      <c r="BV18" s="527"/>
      <c r="BW18" s="527"/>
      <c r="BX18" s="527"/>
      <c r="BY18" s="527"/>
      <c r="BZ18" s="527"/>
      <c r="CA18" s="527"/>
      <c r="CB18" s="527"/>
    </row>
    <row r="19" spans="2:80" ht="18.95" customHeight="1">
      <c r="B19" s="316">
        <v>9</v>
      </c>
      <c r="C19" s="770" t="s">
        <v>17</v>
      </c>
      <c r="D19" s="311">
        <v>320</v>
      </c>
      <c r="E19" s="311">
        <v>450</v>
      </c>
      <c r="F19" s="884">
        <v>60</v>
      </c>
      <c r="G19" s="310">
        <v>110</v>
      </c>
      <c r="O19" s="271"/>
      <c r="P19" s="279" t="s">
        <v>504</v>
      </c>
      <c r="Q19" s="279" t="s">
        <v>212</v>
      </c>
      <c r="R19" s="280"/>
      <c r="S19" s="284">
        <f>22*(0.1*S15)^0.3</f>
        <v>24.336666543639829</v>
      </c>
      <c r="T19" s="284">
        <f>22*(0.1*T15)^0.3</f>
        <v>25.331369835779142</v>
      </c>
      <c r="U19" s="279">
        <v>27</v>
      </c>
      <c r="V19" s="279">
        <v>29</v>
      </c>
      <c r="W19" s="279">
        <v>30</v>
      </c>
      <c r="X19" s="279">
        <v>31</v>
      </c>
      <c r="Y19" s="279">
        <v>32</v>
      </c>
      <c r="Z19" s="279">
        <v>34</v>
      </c>
      <c r="AA19" s="279">
        <v>35</v>
      </c>
      <c r="AB19" s="279">
        <v>36</v>
      </c>
      <c r="AC19" s="279">
        <v>37</v>
      </c>
      <c r="AD19" s="279">
        <v>38</v>
      </c>
      <c r="AE19" s="279">
        <v>39</v>
      </c>
      <c r="AF19" s="279">
        <v>41</v>
      </c>
      <c r="AG19" s="279">
        <v>42</v>
      </c>
      <c r="AH19" s="271"/>
      <c r="AJ19" s="273"/>
      <c r="AK19" s="344">
        <v>1</v>
      </c>
      <c r="AL19" s="344" t="s">
        <v>650</v>
      </c>
      <c r="AM19" s="344">
        <v>0</v>
      </c>
      <c r="AN19" s="344">
        <v>0</v>
      </c>
      <c r="AO19" s="344">
        <v>0</v>
      </c>
      <c r="AP19" s="344">
        <v>0</v>
      </c>
      <c r="AQ19" s="344">
        <v>0</v>
      </c>
      <c r="AR19" s="344">
        <v>0</v>
      </c>
      <c r="AS19" s="344">
        <v>0</v>
      </c>
      <c r="AT19" s="344">
        <v>0</v>
      </c>
      <c r="AU19" s="344">
        <v>0</v>
      </c>
      <c r="AV19" s="344">
        <v>0</v>
      </c>
      <c r="AW19" s="943"/>
      <c r="AX19" s="946"/>
      <c r="AY19" s="273"/>
      <c r="AZ19" s="273"/>
      <c r="BA19" s="1057" t="s">
        <v>942</v>
      </c>
      <c r="BB19" s="1058"/>
      <c r="BC19" s="1057" t="s">
        <v>943</v>
      </c>
      <c r="BD19" s="1058"/>
      <c r="BE19" s="364"/>
      <c r="BG19" s="527"/>
      <c r="BH19" s="527"/>
      <c r="BI19" s="527"/>
      <c r="BJ19" s="527"/>
      <c r="BK19" s="527"/>
      <c r="BL19" s="527"/>
      <c r="BM19" s="527"/>
      <c r="BN19" s="527"/>
      <c r="BO19" s="527"/>
      <c r="BP19" s="527"/>
      <c r="BQ19" s="527"/>
      <c r="BR19" s="527"/>
      <c r="BS19" s="527"/>
      <c r="BT19" s="527"/>
      <c r="BU19" s="527"/>
      <c r="BV19" s="527"/>
      <c r="BW19" s="527"/>
      <c r="BX19" s="527"/>
      <c r="BY19" s="527"/>
      <c r="BZ19" s="527"/>
      <c r="CA19" s="527"/>
      <c r="CB19" s="527"/>
    </row>
    <row r="20" spans="2:80" ht="18.95" customHeight="1">
      <c r="B20" s="316">
        <v>10</v>
      </c>
      <c r="C20" s="770" t="s">
        <v>18</v>
      </c>
      <c r="D20" s="311">
        <v>400</v>
      </c>
      <c r="E20" s="311">
        <v>400</v>
      </c>
      <c r="F20" s="884">
        <v>60</v>
      </c>
      <c r="G20" s="310">
        <v>133</v>
      </c>
      <c r="O20" s="271"/>
      <c r="P20" s="279" t="s">
        <v>506</v>
      </c>
      <c r="Q20" s="279" t="s">
        <v>507</v>
      </c>
      <c r="R20" s="280"/>
      <c r="S20" s="279"/>
      <c r="T20" s="279"/>
      <c r="U20" s="279">
        <v>-1.8</v>
      </c>
      <c r="V20" s="279">
        <v>-1.9</v>
      </c>
      <c r="W20" s="279">
        <v>-2</v>
      </c>
      <c r="X20" s="279">
        <v>-2.1</v>
      </c>
      <c r="Y20" s="279">
        <v>-2.2000000000000002</v>
      </c>
      <c r="Z20" s="279">
        <v>2.25</v>
      </c>
      <c r="AA20" s="279">
        <v>-2.2999999999999998</v>
      </c>
      <c r="AB20" s="279">
        <v>-2.4</v>
      </c>
      <c r="AC20" s="279">
        <v>-2.4500000000000002</v>
      </c>
      <c r="AD20" s="279">
        <v>-2.5</v>
      </c>
      <c r="AE20" s="279">
        <v>-2.6</v>
      </c>
      <c r="AF20" s="279">
        <v>-2.7</v>
      </c>
      <c r="AG20" s="279">
        <v>-2.8</v>
      </c>
      <c r="AH20" s="271"/>
      <c r="AJ20" s="273"/>
      <c r="AK20" s="344">
        <v>2</v>
      </c>
      <c r="AL20" s="344" t="s">
        <v>615</v>
      </c>
      <c r="AM20" s="344">
        <v>11</v>
      </c>
      <c r="AN20" s="344">
        <v>174339</v>
      </c>
      <c r="AO20" s="344">
        <v>4627</v>
      </c>
      <c r="AP20" s="344">
        <f>AN20-AM20*AO20</f>
        <v>123442</v>
      </c>
      <c r="AQ20" s="344">
        <v>90</v>
      </c>
      <c r="AR20" s="344">
        <v>100</v>
      </c>
      <c r="AS20" s="344">
        <v>150</v>
      </c>
      <c r="AT20" s="356">
        <v>2.52</v>
      </c>
      <c r="AU20" s="356">
        <v>0.12</v>
      </c>
      <c r="AV20" s="929" t="s">
        <v>939</v>
      </c>
      <c r="AW20" s="1156">
        <f>AT20+AU20</f>
        <v>2.64</v>
      </c>
      <c r="AX20" s="947">
        <f>AO20/1000000</f>
        <v>4.627E-3</v>
      </c>
      <c r="AY20" s="273">
        <f>AX20*2</f>
        <v>9.2540000000000001E-3</v>
      </c>
      <c r="AZ20" s="273">
        <f>AY20*1</f>
        <v>9.2540000000000001E-3</v>
      </c>
      <c r="BA20" s="952">
        <f>AZ20*25</f>
        <v>0.23135</v>
      </c>
      <c r="BB20" s="953">
        <f>BA20*1.35</f>
        <v>0.3123225</v>
      </c>
      <c r="BC20" s="952">
        <f>BA20*2</f>
        <v>0.4627</v>
      </c>
      <c r="BD20" s="953">
        <f>BC20*1.35</f>
        <v>0.62464500000000001</v>
      </c>
      <c r="BE20" s="364"/>
      <c r="BG20" s="527"/>
      <c r="BH20" s="527"/>
      <c r="BI20" s="527"/>
      <c r="BJ20" s="527"/>
      <c r="BK20" s="527"/>
      <c r="BL20" s="527"/>
      <c r="BM20" s="527"/>
      <c r="BN20" s="527"/>
      <c r="BO20" s="527"/>
      <c r="BP20" s="527"/>
      <c r="BQ20" s="527"/>
      <c r="BR20" s="527"/>
      <c r="BS20" s="527"/>
      <c r="BT20" s="527"/>
      <c r="BU20" s="527"/>
      <c r="BV20" s="527"/>
      <c r="BW20" s="527"/>
      <c r="BX20" s="527"/>
      <c r="BY20" s="527"/>
      <c r="BZ20" s="527"/>
      <c r="CA20" s="527"/>
      <c r="CB20" s="527"/>
    </row>
    <row r="21" spans="2:80" ht="18.95" customHeight="1">
      <c r="B21" s="316">
        <v>11</v>
      </c>
      <c r="C21" s="770" t="s">
        <v>19</v>
      </c>
      <c r="D21" s="311">
        <v>400</v>
      </c>
      <c r="E21" s="311">
        <v>450</v>
      </c>
      <c r="F21" s="884">
        <v>60</v>
      </c>
      <c r="G21" s="310">
        <v>133</v>
      </c>
      <c r="O21" s="271"/>
      <c r="P21" s="279" t="s">
        <v>508</v>
      </c>
      <c r="Q21" s="279" t="s">
        <v>507</v>
      </c>
      <c r="R21" s="280"/>
      <c r="S21" s="279"/>
      <c r="T21" s="279"/>
      <c r="U21" s="279">
        <v>-3.5</v>
      </c>
      <c r="V21" s="279"/>
      <c r="W21" s="279"/>
      <c r="X21" s="279"/>
      <c r="Y21" s="279"/>
      <c r="Z21" s="279"/>
      <c r="AA21" s="279"/>
      <c r="AB21" s="279"/>
      <c r="AC21" s="279"/>
      <c r="AD21" s="279">
        <v>-3.2</v>
      </c>
      <c r="AE21" s="279">
        <v>-3</v>
      </c>
      <c r="AF21" s="279">
        <v>-2.8</v>
      </c>
      <c r="AG21" s="279">
        <v>-2.8</v>
      </c>
      <c r="AH21" s="271"/>
      <c r="AJ21" s="273"/>
      <c r="AK21" s="344">
        <v>3</v>
      </c>
      <c r="AL21" s="282" t="s">
        <v>616</v>
      </c>
      <c r="AM21" s="344">
        <v>11</v>
      </c>
      <c r="AN21" s="282">
        <v>231689</v>
      </c>
      <c r="AO21" s="282">
        <v>7270</v>
      </c>
      <c r="AP21" s="282">
        <v>151714</v>
      </c>
      <c r="AQ21" s="344">
        <v>140</v>
      </c>
      <c r="AR21" s="282">
        <v>100</v>
      </c>
      <c r="AS21" s="344">
        <v>200</v>
      </c>
      <c r="AT21" s="356">
        <v>3.1</v>
      </c>
      <c r="AU21" s="356">
        <v>0.17</v>
      </c>
      <c r="AV21" s="929" t="s">
        <v>939</v>
      </c>
      <c r="AW21" s="1157">
        <f t="shared" ref="AW21:AW40" si="0">AT21+AU21</f>
        <v>3.27</v>
      </c>
      <c r="AX21" s="947">
        <f t="shared" ref="AX21:AX40" si="1">AO21/1000000</f>
        <v>7.2700000000000004E-3</v>
      </c>
      <c r="AY21" s="273">
        <f t="shared" ref="AY21:AY40" si="2">AX21*2</f>
        <v>1.4540000000000001E-2</v>
      </c>
      <c r="AZ21" s="273">
        <f t="shared" ref="AZ21:AZ40" si="3">AY21*1</f>
        <v>1.4540000000000001E-2</v>
      </c>
      <c r="BA21" s="954">
        <f t="shared" ref="BA21:BA40" si="4">AZ21*25</f>
        <v>0.36350000000000005</v>
      </c>
      <c r="BB21" s="955">
        <f t="shared" ref="BB21:BB40" si="5">BA21*1.35</f>
        <v>0.49072500000000008</v>
      </c>
      <c r="BC21" s="954">
        <f t="shared" ref="BC21:BC40" si="6">BA21*2</f>
        <v>0.72700000000000009</v>
      </c>
      <c r="BD21" s="955">
        <f t="shared" ref="BD21:BD40" si="7">BC21*1.35</f>
        <v>0.98145000000000016</v>
      </c>
      <c r="BE21" s="364"/>
      <c r="BG21" s="527"/>
      <c r="BH21" s="527"/>
      <c r="BI21" s="527"/>
      <c r="BJ21" s="527"/>
      <c r="BK21" s="527"/>
      <c r="BL21" s="527"/>
      <c r="BM21" s="527"/>
      <c r="BN21" s="527"/>
      <c r="BO21" s="527"/>
      <c r="BP21" s="527"/>
      <c r="BQ21" s="527"/>
      <c r="BR21" s="527"/>
      <c r="BS21" s="527"/>
      <c r="BT21" s="527"/>
      <c r="BU21" s="527"/>
      <c r="BV21" s="527"/>
      <c r="BW21" s="527"/>
      <c r="BX21" s="527"/>
      <c r="BY21" s="527"/>
      <c r="BZ21" s="527"/>
      <c r="CA21" s="527"/>
      <c r="CB21" s="527"/>
    </row>
    <row r="22" spans="2:80" ht="18.95" customHeight="1">
      <c r="B22" s="316">
        <v>12</v>
      </c>
      <c r="C22" s="770" t="s">
        <v>559</v>
      </c>
      <c r="D22" s="311">
        <v>400</v>
      </c>
      <c r="E22" s="311">
        <v>500</v>
      </c>
      <c r="F22" s="884">
        <v>60</v>
      </c>
      <c r="G22" s="310">
        <v>133</v>
      </c>
      <c r="O22" s="271"/>
      <c r="P22" s="279" t="s">
        <v>509</v>
      </c>
      <c r="Q22" s="279" t="s">
        <v>507</v>
      </c>
      <c r="R22" s="280"/>
      <c r="S22" s="279"/>
      <c r="T22" s="279"/>
      <c r="U22" s="279">
        <v>-2</v>
      </c>
      <c r="V22" s="279"/>
      <c r="W22" s="279"/>
      <c r="X22" s="279"/>
      <c r="Y22" s="279"/>
      <c r="Z22" s="279"/>
      <c r="AA22" s="279"/>
      <c r="AB22" s="279"/>
      <c r="AC22" s="279"/>
      <c r="AD22" s="279">
        <v>-2.2000000000000002</v>
      </c>
      <c r="AE22" s="279">
        <v>-2.2999999999999998</v>
      </c>
      <c r="AF22" s="279">
        <v>-0.24</v>
      </c>
      <c r="AG22" s="279">
        <v>-2.5</v>
      </c>
      <c r="AH22" s="271"/>
      <c r="AJ22" s="273"/>
      <c r="AK22" s="344">
        <v>4</v>
      </c>
      <c r="AL22" s="282" t="s">
        <v>617</v>
      </c>
      <c r="AM22" s="344">
        <v>6</v>
      </c>
      <c r="AN22" s="282">
        <v>306319</v>
      </c>
      <c r="AO22" s="282">
        <v>22393</v>
      </c>
      <c r="AP22" s="282">
        <v>171960</v>
      </c>
      <c r="AQ22" s="344">
        <v>190</v>
      </c>
      <c r="AR22" s="282">
        <v>180</v>
      </c>
      <c r="AS22" s="344">
        <v>265</v>
      </c>
      <c r="AT22" s="356">
        <v>3.52</v>
      </c>
      <c r="AU22" s="356">
        <v>0.24</v>
      </c>
      <c r="AV22" s="929" t="s">
        <v>939</v>
      </c>
      <c r="AW22" s="1158">
        <f t="shared" si="0"/>
        <v>3.76</v>
      </c>
      <c r="AX22" s="947">
        <f t="shared" si="1"/>
        <v>2.2393E-2</v>
      </c>
      <c r="AY22" s="273">
        <f t="shared" si="2"/>
        <v>4.4785999999999999E-2</v>
      </c>
      <c r="AZ22" s="273">
        <f t="shared" si="3"/>
        <v>4.4785999999999999E-2</v>
      </c>
      <c r="BA22" s="956">
        <f t="shared" si="4"/>
        <v>1.11965</v>
      </c>
      <c r="BB22" s="957">
        <f t="shared" si="5"/>
        <v>1.5115275000000001</v>
      </c>
      <c r="BC22" s="956">
        <f t="shared" si="6"/>
        <v>2.2393000000000001</v>
      </c>
      <c r="BD22" s="957">
        <f t="shared" si="7"/>
        <v>3.0230550000000003</v>
      </c>
      <c r="BE22" s="364"/>
      <c r="BG22" s="527"/>
      <c r="BH22" s="527"/>
      <c r="BI22" s="527"/>
      <c r="BJ22" s="527"/>
      <c r="BK22" s="527"/>
      <c r="BL22" s="527"/>
      <c r="BM22" s="527"/>
      <c r="BN22" s="527"/>
      <c r="BO22" s="527"/>
      <c r="BP22" s="527"/>
      <c r="BQ22" s="527"/>
      <c r="BR22" s="527"/>
      <c r="BS22" s="527"/>
      <c r="BT22" s="527"/>
      <c r="BU22" s="527"/>
      <c r="BV22" s="527"/>
      <c r="BW22" s="527"/>
      <c r="BX22" s="527"/>
      <c r="BY22" s="527"/>
      <c r="BZ22" s="527"/>
      <c r="CA22" s="527"/>
      <c r="CB22" s="527"/>
    </row>
    <row r="23" spans="2:80" ht="18.95" customHeight="1">
      <c r="B23" s="316">
        <v>13</v>
      </c>
      <c r="C23" s="770" t="s">
        <v>20</v>
      </c>
      <c r="D23" s="311">
        <v>450</v>
      </c>
      <c r="E23" s="311">
        <v>400</v>
      </c>
      <c r="F23" s="884">
        <v>60</v>
      </c>
      <c r="G23" s="310">
        <v>133</v>
      </c>
      <c r="O23" s="271"/>
      <c r="P23" s="279" t="s">
        <v>510</v>
      </c>
      <c r="Q23" s="279" t="s">
        <v>507</v>
      </c>
      <c r="R23" s="280"/>
      <c r="S23" s="279"/>
      <c r="T23" s="279"/>
      <c r="U23" s="279">
        <v>-3.5</v>
      </c>
      <c r="V23" s="279"/>
      <c r="W23" s="279"/>
      <c r="X23" s="279"/>
      <c r="Y23" s="279"/>
      <c r="Z23" s="279"/>
      <c r="AA23" s="279"/>
      <c r="AB23" s="279"/>
      <c r="AC23" s="279"/>
      <c r="AD23" s="279">
        <v>-3.1</v>
      </c>
      <c r="AE23" s="279">
        <v>-2.9</v>
      </c>
      <c r="AF23" s="279">
        <v>-2.7</v>
      </c>
      <c r="AG23" s="279">
        <v>-2.6</v>
      </c>
      <c r="AH23" s="271"/>
      <c r="AJ23" s="273"/>
      <c r="AK23" s="344">
        <v>5</v>
      </c>
      <c r="AL23" s="282" t="s">
        <v>618</v>
      </c>
      <c r="AM23" s="344">
        <v>6</v>
      </c>
      <c r="AN23" s="282">
        <v>370390</v>
      </c>
      <c r="AO23" s="282">
        <v>28932</v>
      </c>
      <c r="AP23" s="282">
        <v>196793</v>
      </c>
      <c r="AQ23" s="344">
        <v>245</v>
      </c>
      <c r="AR23" s="282">
        <v>180</v>
      </c>
      <c r="AS23" s="344">
        <v>320</v>
      </c>
      <c r="AT23" s="356">
        <v>4.0199999999999996</v>
      </c>
      <c r="AU23" s="356">
        <v>0.3</v>
      </c>
      <c r="AV23" s="929" t="s">
        <v>939</v>
      </c>
      <c r="AW23" s="1159">
        <f t="shared" si="0"/>
        <v>4.3199999999999994</v>
      </c>
      <c r="AX23" s="947">
        <f t="shared" si="1"/>
        <v>2.8931999999999999E-2</v>
      </c>
      <c r="AY23" s="273">
        <f t="shared" si="2"/>
        <v>5.7863999999999999E-2</v>
      </c>
      <c r="AZ23" s="273">
        <f t="shared" si="3"/>
        <v>5.7863999999999999E-2</v>
      </c>
      <c r="BA23" s="958">
        <f t="shared" si="4"/>
        <v>1.4465999999999999</v>
      </c>
      <c r="BB23" s="959">
        <f t="shared" si="5"/>
        <v>1.9529099999999999</v>
      </c>
      <c r="BC23" s="958">
        <f t="shared" si="6"/>
        <v>2.8931999999999998</v>
      </c>
      <c r="BD23" s="959">
        <f t="shared" si="7"/>
        <v>3.9058199999999998</v>
      </c>
      <c r="BE23" s="364"/>
      <c r="BG23" s="527"/>
      <c r="BH23" s="527"/>
      <c r="BI23" s="527"/>
      <c r="BJ23" s="527"/>
      <c r="BK23" s="527"/>
      <c r="BL23" s="527"/>
      <c r="BM23" s="527"/>
      <c r="BN23" s="527"/>
      <c r="BO23" s="527"/>
      <c r="BP23" s="527"/>
      <c r="BQ23" s="527"/>
      <c r="BR23" s="527"/>
      <c r="BS23" s="527"/>
      <c r="BT23" s="527"/>
      <c r="BU23" s="527"/>
      <c r="BV23" s="527"/>
      <c r="BW23" s="527"/>
      <c r="BX23" s="527"/>
      <c r="BY23" s="527"/>
      <c r="BZ23" s="527"/>
      <c r="CA23" s="527"/>
      <c r="CB23" s="527"/>
    </row>
    <row r="24" spans="2:80" ht="18.95" customHeight="1">
      <c r="B24" s="316">
        <v>14</v>
      </c>
      <c r="C24" s="770" t="s">
        <v>21</v>
      </c>
      <c r="D24" s="311">
        <v>450</v>
      </c>
      <c r="E24" s="311">
        <v>450</v>
      </c>
      <c r="F24" s="884">
        <v>60</v>
      </c>
      <c r="G24" s="310">
        <v>133</v>
      </c>
      <c r="O24" s="271"/>
      <c r="P24" s="279" t="s">
        <v>29</v>
      </c>
      <c r="Q24" s="279"/>
      <c r="R24" s="280"/>
      <c r="S24" s="279"/>
      <c r="T24" s="279"/>
      <c r="U24" s="279">
        <v>2</v>
      </c>
      <c r="V24" s="279"/>
      <c r="W24" s="279"/>
      <c r="X24" s="279"/>
      <c r="Y24" s="279"/>
      <c r="Z24" s="279"/>
      <c r="AA24" s="279"/>
      <c r="AB24" s="279"/>
      <c r="AC24" s="279"/>
      <c r="AD24" s="279">
        <v>1.75</v>
      </c>
      <c r="AE24" s="279">
        <v>1.6</v>
      </c>
      <c r="AF24" s="279">
        <v>1.45</v>
      </c>
      <c r="AG24" s="279">
        <v>1.4</v>
      </c>
      <c r="AH24" s="271"/>
      <c r="AJ24" s="273"/>
      <c r="AK24" s="344">
        <v>6</v>
      </c>
      <c r="AL24" s="282" t="s">
        <v>619</v>
      </c>
      <c r="AM24" s="344">
        <v>6</v>
      </c>
      <c r="AN24" s="282">
        <v>462454</v>
      </c>
      <c r="AO24" s="282">
        <v>39732</v>
      </c>
      <c r="AP24" s="282">
        <v>224057</v>
      </c>
      <c r="AQ24" s="344">
        <v>325</v>
      </c>
      <c r="AR24" s="282">
        <v>180</v>
      </c>
      <c r="AS24" s="344">
        <v>400</v>
      </c>
      <c r="AT24" s="356">
        <v>4.57</v>
      </c>
      <c r="AU24" s="356">
        <v>0.39</v>
      </c>
      <c r="AV24" s="929" t="s">
        <v>939</v>
      </c>
      <c r="AW24" s="1160">
        <f t="shared" si="0"/>
        <v>4.96</v>
      </c>
      <c r="AX24" s="947">
        <f t="shared" si="1"/>
        <v>3.9732000000000003E-2</v>
      </c>
      <c r="AY24" s="273">
        <f t="shared" si="2"/>
        <v>7.9464000000000007E-2</v>
      </c>
      <c r="AZ24" s="273">
        <f t="shared" si="3"/>
        <v>7.9464000000000007E-2</v>
      </c>
      <c r="BA24" s="960">
        <f t="shared" si="4"/>
        <v>1.9866000000000001</v>
      </c>
      <c r="BB24" s="961">
        <f t="shared" si="5"/>
        <v>2.6819100000000002</v>
      </c>
      <c r="BC24" s="960">
        <f t="shared" si="6"/>
        <v>3.9732000000000003</v>
      </c>
      <c r="BD24" s="961">
        <f t="shared" si="7"/>
        <v>5.3638200000000005</v>
      </c>
      <c r="BE24" s="364"/>
      <c r="BG24" s="527"/>
      <c r="BH24" s="527"/>
      <c r="BI24" s="527"/>
      <c r="BJ24" s="527"/>
      <c r="BK24" s="527"/>
      <c r="BL24" s="527"/>
      <c r="BM24" s="527"/>
      <c r="BN24" s="527"/>
      <c r="BO24" s="527"/>
      <c r="BP24" s="527"/>
      <c r="BQ24" s="527"/>
      <c r="BR24" s="527"/>
      <c r="BS24" s="527"/>
      <c r="BT24" s="527"/>
      <c r="BU24" s="527"/>
      <c r="BV24" s="527"/>
      <c r="BW24" s="527"/>
      <c r="BX24" s="527"/>
      <c r="BY24" s="527"/>
      <c r="BZ24" s="527"/>
      <c r="CA24" s="527"/>
      <c r="CB24" s="527"/>
    </row>
    <row r="25" spans="2:80" ht="18.95" customHeight="1">
      <c r="B25" s="316">
        <v>15</v>
      </c>
      <c r="C25" s="770" t="s">
        <v>22</v>
      </c>
      <c r="D25" s="311">
        <v>450</v>
      </c>
      <c r="E25" s="311">
        <v>500</v>
      </c>
      <c r="F25" s="884">
        <v>60</v>
      </c>
      <c r="G25" s="310">
        <v>133</v>
      </c>
      <c r="O25" s="271"/>
      <c r="P25" s="279" t="s">
        <v>511</v>
      </c>
      <c r="Q25" s="279" t="s">
        <v>507</v>
      </c>
      <c r="R25" s="280"/>
      <c r="S25" s="279"/>
      <c r="T25" s="279"/>
      <c r="U25" s="279">
        <v>-1.75</v>
      </c>
      <c r="V25" s="279"/>
      <c r="W25" s="279"/>
      <c r="X25" s="279"/>
      <c r="Y25" s="279"/>
      <c r="Z25" s="279"/>
      <c r="AA25" s="279"/>
      <c r="AB25" s="279"/>
      <c r="AC25" s="279"/>
      <c r="AD25" s="279">
        <v>-0.18</v>
      </c>
      <c r="AE25" s="279">
        <v>-1.9</v>
      </c>
      <c r="AF25" s="279">
        <v>-2</v>
      </c>
      <c r="AG25" s="279">
        <v>-2.2000000000000002</v>
      </c>
      <c r="AH25" s="271"/>
      <c r="AJ25" s="273"/>
      <c r="AK25" s="344">
        <v>7</v>
      </c>
      <c r="AL25" s="344" t="s">
        <v>620</v>
      </c>
      <c r="AM25" s="344">
        <v>6</v>
      </c>
      <c r="AN25" s="344">
        <v>577542</v>
      </c>
      <c r="AO25" s="344">
        <v>50511</v>
      </c>
      <c r="AP25" s="344">
        <v>274472</v>
      </c>
      <c r="AQ25" s="344">
        <v>420</v>
      </c>
      <c r="AR25" s="344">
        <v>180</v>
      </c>
      <c r="AS25" s="344">
        <v>500</v>
      </c>
      <c r="AT25" s="356">
        <v>5.6</v>
      </c>
      <c r="AU25" s="356">
        <v>0.51</v>
      </c>
      <c r="AV25" s="929" t="s">
        <v>939</v>
      </c>
      <c r="AW25" s="1161">
        <f t="shared" si="0"/>
        <v>6.1099999999999994</v>
      </c>
      <c r="AX25" s="947">
        <f t="shared" si="1"/>
        <v>5.0511E-2</v>
      </c>
      <c r="AY25" s="273">
        <f t="shared" si="2"/>
        <v>0.101022</v>
      </c>
      <c r="AZ25" s="273">
        <f t="shared" si="3"/>
        <v>0.101022</v>
      </c>
      <c r="BA25" s="962">
        <f t="shared" si="4"/>
        <v>2.52555</v>
      </c>
      <c r="BB25" s="963">
        <f t="shared" si="5"/>
        <v>3.4094925000000003</v>
      </c>
      <c r="BC25" s="962">
        <f t="shared" si="6"/>
        <v>5.0510999999999999</v>
      </c>
      <c r="BD25" s="963">
        <f t="shared" si="7"/>
        <v>6.8189850000000005</v>
      </c>
      <c r="BE25" s="364"/>
      <c r="BG25" s="527"/>
      <c r="BH25" s="527"/>
      <c r="BI25" s="527"/>
      <c r="BJ25" s="527"/>
      <c r="BK25" s="527"/>
      <c r="BL25" s="527"/>
      <c r="BM25" s="527"/>
      <c r="BN25" s="527"/>
      <c r="BO25" s="527"/>
      <c r="BP25" s="527"/>
      <c r="BQ25" s="527"/>
      <c r="BR25" s="527"/>
      <c r="BS25" s="527"/>
      <c r="BT25" s="527"/>
      <c r="BU25" s="527"/>
      <c r="BV25" s="527"/>
      <c r="BW25" s="527"/>
      <c r="BX25" s="527"/>
      <c r="BY25" s="527"/>
      <c r="BZ25" s="527"/>
      <c r="CA25" s="527"/>
      <c r="CB25" s="527"/>
    </row>
    <row r="26" spans="2:80" ht="18.95" customHeight="1">
      <c r="B26" s="316">
        <v>16</v>
      </c>
      <c r="C26" s="770" t="s">
        <v>23</v>
      </c>
      <c r="D26" s="311">
        <v>500</v>
      </c>
      <c r="E26" s="311">
        <v>500</v>
      </c>
      <c r="F26" s="884">
        <v>60</v>
      </c>
      <c r="G26" s="310">
        <v>153</v>
      </c>
      <c r="O26" s="271"/>
      <c r="P26" s="279" t="s">
        <v>512</v>
      </c>
      <c r="Q26" s="279" t="s">
        <v>507</v>
      </c>
      <c r="R26" s="280"/>
      <c r="S26" s="279"/>
      <c r="T26" s="279"/>
      <c r="U26" s="279">
        <v>-3.5</v>
      </c>
      <c r="V26" s="279"/>
      <c r="W26" s="279"/>
      <c r="X26" s="279"/>
      <c r="Y26" s="279"/>
      <c r="Z26" s="279"/>
      <c r="AA26" s="279"/>
      <c r="AB26" s="279"/>
      <c r="AC26" s="279"/>
      <c r="AD26" s="279">
        <v>-3.1</v>
      </c>
      <c r="AE26" s="279">
        <v>-2.9</v>
      </c>
      <c r="AF26" s="279">
        <v>-2.7</v>
      </c>
      <c r="AG26" s="279">
        <v>-2.6</v>
      </c>
      <c r="AH26" s="271"/>
      <c r="AJ26" s="273"/>
      <c r="AK26" s="344">
        <v>8</v>
      </c>
      <c r="AL26" s="344" t="s">
        <v>623</v>
      </c>
      <c r="AM26" s="344">
        <v>6</v>
      </c>
      <c r="AN26" s="344">
        <v>232122</v>
      </c>
      <c r="AO26" s="344">
        <v>18869</v>
      </c>
      <c r="AP26" s="344">
        <f>AN26-AM26*AO26</f>
        <v>118908</v>
      </c>
      <c r="AQ26" s="344">
        <v>155</v>
      </c>
      <c r="AR26" s="344">
        <v>188</v>
      </c>
      <c r="AS26" s="344">
        <v>200</v>
      </c>
      <c r="AT26" s="350">
        <v>2.4500000000000002</v>
      </c>
      <c r="AU26" s="350">
        <v>0.15</v>
      </c>
      <c r="AV26" s="344" t="s">
        <v>505</v>
      </c>
      <c r="AW26" s="1157">
        <f t="shared" si="0"/>
        <v>2.6</v>
      </c>
      <c r="AX26" s="947">
        <f t="shared" si="1"/>
        <v>1.8869E-2</v>
      </c>
      <c r="AY26" s="273">
        <f t="shared" si="2"/>
        <v>3.7738000000000001E-2</v>
      </c>
      <c r="AZ26" s="273">
        <f t="shared" si="3"/>
        <v>3.7738000000000001E-2</v>
      </c>
      <c r="BA26" s="954">
        <f t="shared" si="4"/>
        <v>0.94345000000000001</v>
      </c>
      <c r="BB26" s="955">
        <f t="shared" si="5"/>
        <v>1.2736575000000001</v>
      </c>
      <c r="BC26" s="954">
        <f t="shared" si="6"/>
        <v>1.8869</v>
      </c>
      <c r="BD26" s="955">
        <f t="shared" si="7"/>
        <v>2.5473150000000002</v>
      </c>
      <c r="BE26" s="364"/>
      <c r="BG26" s="527"/>
      <c r="BH26" s="527"/>
      <c r="BI26" s="527"/>
      <c r="BJ26" s="527"/>
      <c r="BK26" s="527"/>
      <c r="BL26" s="527"/>
      <c r="BM26" s="527"/>
      <c r="BN26" s="527"/>
      <c r="BO26" s="527"/>
      <c r="BP26" s="527"/>
      <c r="BQ26" s="527"/>
      <c r="BR26" s="527"/>
      <c r="BS26" s="527"/>
      <c r="BT26" s="527"/>
      <c r="BU26" s="527"/>
      <c r="BV26" s="527"/>
      <c r="BW26" s="527"/>
      <c r="BX26" s="527"/>
      <c r="BY26" s="527"/>
      <c r="BZ26" s="527"/>
      <c r="CA26" s="527"/>
      <c r="CB26" s="527"/>
    </row>
    <row r="27" spans="2:80" ht="18.95" customHeight="1">
      <c r="B27" s="316">
        <v>17</v>
      </c>
      <c r="C27" s="770" t="s">
        <v>24</v>
      </c>
      <c r="D27" s="311">
        <v>500</v>
      </c>
      <c r="E27" s="311">
        <v>550</v>
      </c>
      <c r="F27" s="884">
        <v>60</v>
      </c>
      <c r="G27" s="310">
        <v>153</v>
      </c>
      <c r="O27" s="271"/>
      <c r="P27" s="279" t="s">
        <v>513</v>
      </c>
      <c r="Q27" s="279" t="s">
        <v>211</v>
      </c>
      <c r="R27" s="280"/>
      <c r="S27" s="285">
        <v>0.72</v>
      </c>
      <c r="T27" s="285">
        <v>0.86</v>
      </c>
      <c r="U27" s="285">
        <v>1.1200000000000001</v>
      </c>
      <c r="V27" s="285">
        <v>1.34</v>
      </c>
      <c r="W27" s="285">
        <v>1.53</v>
      </c>
      <c r="X27" s="279">
        <v>1.71</v>
      </c>
      <c r="Y27" s="279" t="s">
        <v>213</v>
      </c>
      <c r="Z27" s="279">
        <v>2.0099999999999998</v>
      </c>
      <c r="AA27" s="279">
        <v>2.27</v>
      </c>
      <c r="AB27" s="279"/>
      <c r="AC27" s="279"/>
      <c r="AD27" s="285"/>
      <c r="AE27" s="285"/>
      <c r="AF27" s="285"/>
      <c r="AG27" s="285"/>
      <c r="AH27" s="271"/>
      <c r="AJ27" s="273"/>
      <c r="AK27" s="344">
        <v>9</v>
      </c>
      <c r="AL27" s="344" t="s">
        <v>624</v>
      </c>
      <c r="AM27" s="344">
        <v>5</v>
      </c>
      <c r="AN27" s="344">
        <v>307303</v>
      </c>
      <c r="AO27" s="344">
        <v>26880</v>
      </c>
      <c r="AP27" s="344">
        <f t="shared" ref="AP27:AP40" si="8">AN27-AM27*AO27</f>
        <v>172903</v>
      </c>
      <c r="AQ27" s="344">
        <v>185</v>
      </c>
      <c r="AR27" s="344">
        <v>223</v>
      </c>
      <c r="AS27" s="344">
        <v>265</v>
      </c>
      <c r="AT27" s="350">
        <v>3.6</v>
      </c>
      <c r="AU27" s="350">
        <v>0.2</v>
      </c>
      <c r="AV27" s="344" t="s">
        <v>505</v>
      </c>
      <c r="AW27" s="1158">
        <f t="shared" si="0"/>
        <v>3.8000000000000003</v>
      </c>
      <c r="AX27" s="947">
        <f t="shared" si="1"/>
        <v>2.6880000000000001E-2</v>
      </c>
      <c r="AY27" s="273">
        <f t="shared" si="2"/>
        <v>5.3760000000000002E-2</v>
      </c>
      <c r="AZ27" s="273">
        <f t="shared" si="3"/>
        <v>5.3760000000000002E-2</v>
      </c>
      <c r="BA27" s="956">
        <f t="shared" si="4"/>
        <v>1.3440000000000001</v>
      </c>
      <c r="BB27" s="957">
        <f t="shared" si="5"/>
        <v>1.8144000000000002</v>
      </c>
      <c r="BC27" s="956">
        <f t="shared" si="6"/>
        <v>2.6880000000000002</v>
      </c>
      <c r="BD27" s="957">
        <f t="shared" si="7"/>
        <v>3.6288000000000005</v>
      </c>
      <c r="BE27" s="364"/>
      <c r="BG27" s="527"/>
      <c r="BH27" s="527"/>
      <c r="BI27" s="527"/>
      <c r="BJ27" s="527"/>
      <c r="BK27" s="527"/>
      <c r="BL27" s="527"/>
      <c r="BM27" s="527"/>
      <c r="BN27" s="527"/>
      <c r="BO27" s="527"/>
      <c r="BP27" s="527"/>
      <c r="BQ27" s="527"/>
      <c r="BR27" s="527"/>
      <c r="BS27" s="527"/>
      <c r="BT27" s="527"/>
      <c r="BU27" s="527"/>
      <c r="BV27" s="527"/>
      <c r="BW27" s="527"/>
      <c r="BX27" s="527"/>
      <c r="BY27" s="527"/>
      <c r="BZ27" s="527"/>
      <c r="CA27" s="527"/>
      <c r="CB27" s="527"/>
    </row>
    <row r="28" spans="2:80" ht="18.95" customHeight="1">
      <c r="B28" s="316">
        <v>18</v>
      </c>
      <c r="C28" s="770" t="s">
        <v>465</v>
      </c>
      <c r="D28" s="311">
        <v>500</v>
      </c>
      <c r="E28" s="311">
        <v>650</v>
      </c>
      <c r="F28" s="884">
        <v>60</v>
      </c>
      <c r="G28" s="310">
        <v>153</v>
      </c>
      <c r="O28" s="271"/>
      <c r="P28" s="279" t="s">
        <v>513</v>
      </c>
      <c r="Q28" s="279" t="s">
        <v>211</v>
      </c>
      <c r="R28" s="280"/>
      <c r="S28" s="286">
        <f>((0.41-0.001*S14)*(S14*10)^(2/3))/10</f>
        <v>0.71582477752862483</v>
      </c>
      <c r="T28" s="286">
        <f t="shared" ref="T28:AG28" si="9">((0.41-0.001*T14)*(T14*10)^(2/3))/10</f>
        <v>0.86177387601275368</v>
      </c>
      <c r="U28" s="286">
        <f t="shared" si="9"/>
        <v>1.1151276942240185</v>
      </c>
      <c r="V28" s="286">
        <f t="shared" si="9"/>
        <v>1.3337812384078231</v>
      </c>
      <c r="W28" s="286">
        <f t="shared" si="9"/>
        <v>1.5278735125193914</v>
      </c>
      <c r="X28" s="286">
        <f t="shared" si="9"/>
        <v>1.7029338036917216</v>
      </c>
      <c r="Y28" s="286">
        <f t="shared" si="9"/>
        <v>1.9223980378451746</v>
      </c>
      <c r="Z28" s="286">
        <f t="shared" si="9"/>
        <v>2.1433900335399518</v>
      </c>
      <c r="AA28" s="286">
        <f t="shared" si="9"/>
        <v>2.2678578898107697</v>
      </c>
      <c r="AB28" s="286">
        <f t="shared" si="9"/>
        <v>2.3830700728282301</v>
      </c>
      <c r="AC28" s="286">
        <f t="shared" si="9"/>
        <v>2.4898253131430437</v>
      </c>
      <c r="AD28" s="286">
        <f t="shared" si="9"/>
        <v>2.6262979126986172</v>
      </c>
      <c r="AE28" s="286">
        <f t="shared" si="9"/>
        <v>2.7653640709492491</v>
      </c>
      <c r="AF28" s="286">
        <f t="shared" si="9"/>
        <v>2.916280617839226</v>
      </c>
      <c r="AG28" s="286">
        <f t="shared" si="9"/>
        <v>3.0441049688118698</v>
      </c>
      <c r="AH28" s="271"/>
      <c r="AJ28" s="273"/>
      <c r="AK28" s="344">
        <v>10</v>
      </c>
      <c r="AL28" s="344" t="s">
        <v>625</v>
      </c>
      <c r="AM28" s="344">
        <v>4</v>
      </c>
      <c r="AN28" s="344">
        <v>371951</v>
      </c>
      <c r="AO28" s="344">
        <v>45558</v>
      </c>
      <c r="AP28" s="344">
        <f t="shared" si="8"/>
        <v>189719</v>
      </c>
      <c r="AQ28" s="344">
        <v>250</v>
      </c>
      <c r="AR28" s="344">
        <v>283</v>
      </c>
      <c r="AS28" s="344">
        <v>320</v>
      </c>
      <c r="AT28" s="350">
        <v>3.95</v>
      </c>
      <c r="AU28" s="350">
        <v>0.25</v>
      </c>
      <c r="AV28" s="344" t="s">
        <v>505</v>
      </c>
      <c r="AW28" s="1159">
        <f t="shared" si="0"/>
        <v>4.2</v>
      </c>
      <c r="AX28" s="947">
        <f t="shared" si="1"/>
        <v>4.5558000000000001E-2</v>
      </c>
      <c r="AY28" s="273">
        <f t="shared" si="2"/>
        <v>9.1116000000000003E-2</v>
      </c>
      <c r="AZ28" s="273">
        <f t="shared" si="3"/>
        <v>9.1116000000000003E-2</v>
      </c>
      <c r="BA28" s="958">
        <f t="shared" si="4"/>
        <v>2.2779000000000003</v>
      </c>
      <c r="BB28" s="959">
        <f t="shared" si="5"/>
        <v>3.0751650000000006</v>
      </c>
      <c r="BC28" s="958">
        <f t="shared" si="6"/>
        <v>4.5558000000000005</v>
      </c>
      <c r="BD28" s="959">
        <f t="shared" si="7"/>
        <v>6.1503300000000012</v>
      </c>
      <c r="BE28" s="364"/>
      <c r="BG28" s="527"/>
      <c r="BH28" s="527"/>
      <c r="BI28" s="527"/>
      <c r="BJ28" s="527"/>
      <c r="BK28" s="527"/>
      <c r="BL28" s="527"/>
      <c r="BM28" s="527"/>
      <c r="BN28" s="527"/>
      <c r="BO28" s="527"/>
      <c r="BP28" s="527"/>
      <c r="BQ28" s="527"/>
      <c r="BR28" s="527"/>
      <c r="BS28" s="527"/>
      <c r="BT28" s="527"/>
      <c r="BU28" s="527"/>
      <c r="BV28" s="527"/>
      <c r="BW28" s="527"/>
      <c r="BX28" s="527"/>
      <c r="BY28" s="527"/>
      <c r="BZ28" s="527"/>
      <c r="CA28" s="527"/>
      <c r="CB28" s="527"/>
    </row>
    <row r="29" spans="2:80" ht="18.95" customHeight="1">
      <c r="O29" s="271"/>
      <c r="P29" s="279" t="s">
        <v>514</v>
      </c>
      <c r="Q29" s="279" t="s">
        <v>211</v>
      </c>
      <c r="R29" s="280"/>
      <c r="S29" s="286">
        <f>S28/0.713</f>
        <v>1.0039618198157432</v>
      </c>
      <c r="T29" s="286">
        <f t="shared" ref="T29:AG29" si="10">T28/0.713</f>
        <v>1.2086590126406083</v>
      </c>
      <c r="U29" s="286">
        <f t="shared" si="10"/>
        <v>1.5639939610435043</v>
      </c>
      <c r="V29" s="286">
        <f t="shared" si="10"/>
        <v>1.8706609234331322</v>
      </c>
      <c r="W29" s="286">
        <f t="shared" si="10"/>
        <v>2.1428801017102264</v>
      </c>
      <c r="X29" s="286">
        <f t="shared" si="10"/>
        <v>2.3884064567906336</v>
      </c>
      <c r="Y29" s="286">
        <f t="shared" si="10"/>
        <v>2.6962104317604134</v>
      </c>
      <c r="Z29" s="286">
        <f t="shared" si="10"/>
        <v>3.0061571297895537</v>
      </c>
      <c r="AA29" s="286">
        <f t="shared" si="10"/>
        <v>3.180726353170785</v>
      </c>
      <c r="AB29" s="286">
        <f t="shared" si="10"/>
        <v>3.3423142676412767</v>
      </c>
      <c r="AC29" s="286">
        <f t="shared" si="10"/>
        <v>3.4920411124025859</v>
      </c>
      <c r="AD29" s="286">
        <f t="shared" si="10"/>
        <v>3.6834472828872613</v>
      </c>
      <c r="AE29" s="286">
        <f t="shared" si="10"/>
        <v>3.8784909830985264</v>
      </c>
      <c r="AF29" s="286">
        <f t="shared" si="10"/>
        <v>4.0901551442345383</v>
      </c>
      <c r="AG29" s="286">
        <f t="shared" si="10"/>
        <v>4.2694319338174891</v>
      </c>
      <c r="AH29" s="271"/>
      <c r="AJ29" s="273"/>
      <c r="AK29" s="344">
        <v>11</v>
      </c>
      <c r="AL29" s="344" t="s">
        <v>626</v>
      </c>
      <c r="AM29" s="344">
        <v>4</v>
      </c>
      <c r="AN29" s="344">
        <v>467373</v>
      </c>
      <c r="AO29" s="344">
        <v>62222</v>
      </c>
      <c r="AP29" s="344">
        <f t="shared" si="8"/>
        <v>218485</v>
      </c>
      <c r="AQ29" s="344">
        <v>328</v>
      </c>
      <c r="AR29" s="344">
        <v>283</v>
      </c>
      <c r="AS29" s="344">
        <v>400</v>
      </c>
      <c r="AT29" s="350">
        <v>4.5</v>
      </c>
      <c r="AU29" s="350">
        <v>0.3</v>
      </c>
      <c r="AV29" s="344" t="s">
        <v>505</v>
      </c>
      <c r="AW29" s="1160">
        <f t="shared" si="0"/>
        <v>4.8</v>
      </c>
      <c r="AX29" s="947">
        <f t="shared" si="1"/>
        <v>6.2222E-2</v>
      </c>
      <c r="AY29" s="273">
        <f t="shared" si="2"/>
        <v>0.124444</v>
      </c>
      <c r="AZ29" s="273">
        <f t="shared" si="3"/>
        <v>0.124444</v>
      </c>
      <c r="BA29" s="960">
        <f t="shared" si="4"/>
        <v>3.1111</v>
      </c>
      <c r="BB29" s="961">
        <f t="shared" si="5"/>
        <v>4.1999849999999999</v>
      </c>
      <c r="BC29" s="960">
        <f t="shared" si="6"/>
        <v>6.2222</v>
      </c>
      <c r="BD29" s="961">
        <f t="shared" si="7"/>
        <v>8.3999699999999997</v>
      </c>
      <c r="BE29" s="364"/>
      <c r="BG29" s="527"/>
      <c r="BH29" s="527"/>
      <c r="BI29" s="527"/>
      <c r="BJ29" s="527"/>
      <c r="BK29" s="527"/>
      <c r="BL29" s="527"/>
      <c r="BM29" s="527"/>
      <c r="BN29" s="527"/>
      <c r="BO29" s="527"/>
      <c r="BP29" s="527"/>
      <c r="BQ29" s="527"/>
      <c r="BR29" s="527"/>
      <c r="BS29" s="527"/>
      <c r="BT29" s="527"/>
      <c r="BU29" s="527"/>
      <c r="BV29" s="527"/>
      <c r="BW29" s="527"/>
      <c r="BX29" s="527"/>
      <c r="BY29" s="527"/>
      <c r="BZ29" s="527"/>
      <c r="CA29" s="527"/>
      <c r="CB29" s="527"/>
    </row>
    <row r="30" spans="2:80" ht="18.95" customHeight="1">
      <c r="B30" s="1066" t="s">
        <v>558</v>
      </c>
      <c r="C30" s="1066"/>
      <c r="D30" s="1066"/>
      <c r="E30" s="1066"/>
      <c r="F30" s="1066"/>
      <c r="G30" s="1066"/>
      <c r="H30" s="1066"/>
      <c r="I30" s="1066"/>
      <c r="J30" s="1066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J30" s="273"/>
      <c r="AK30" s="344">
        <v>12</v>
      </c>
      <c r="AL30" s="344" t="s">
        <v>627</v>
      </c>
      <c r="AM30" s="344">
        <v>4</v>
      </c>
      <c r="AN30" s="344">
        <v>584778</v>
      </c>
      <c r="AO30" s="344">
        <v>66492</v>
      </c>
      <c r="AP30" s="344">
        <f t="shared" si="8"/>
        <v>318810</v>
      </c>
      <c r="AQ30" s="344">
        <v>387</v>
      </c>
      <c r="AR30" s="344">
        <v>283</v>
      </c>
      <c r="AS30" s="344">
        <v>500</v>
      </c>
      <c r="AT30" s="350">
        <v>6.3</v>
      </c>
      <c r="AU30" s="350">
        <v>0.4</v>
      </c>
      <c r="AV30" s="344" t="s">
        <v>505</v>
      </c>
      <c r="AW30" s="1161">
        <f t="shared" si="0"/>
        <v>6.7</v>
      </c>
      <c r="AX30" s="947">
        <f t="shared" si="1"/>
        <v>6.6491999999999996E-2</v>
      </c>
      <c r="AY30" s="273">
        <f t="shared" si="2"/>
        <v>0.13298399999999999</v>
      </c>
      <c r="AZ30" s="273">
        <f t="shared" si="3"/>
        <v>0.13298399999999999</v>
      </c>
      <c r="BA30" s="962">
        <f t="shared" si="4"/>
        <v>3.3245999999999998</v>
      </c>
      <c r="BB30" s="963">
        <f t="shared" si="5"/>
        <v>4.4882099999999996</v>
      </c>
      <c r="BC30" s="962">
        <f t="shared" si="6"/>
        <v>6.6491999999999996</v>
      </c>
      <c r="BD30" s="963">
        <f t="shared" si="7"/>
        <v>8.9764199999999992</v>
      </c>
      <c r="BE30" s="364"/>
      <c r="BG30" s="527"/>
      <c r="BH30" s="527"/>
      <c r="BI30" s="527"/>
      <c r="BJ30" s="527"/>
      <c r="BK30" s="527"/>
      <c r="BL30" s="527"/>
      <c r="BM30" s="527"/>
      <c r="BN30" s="527"/>
      <c r="BO30" s="527"/>
      <c r="BP30" s="527"/>
      <c r="BQ30" s="527"/>
      <c r="BR30" s="527"/>
      <c r="BS30" s="527"/>
      <c r="BT30" s="527"/>
      <c r="BU30" s="527"/>
      <c r="BV30" s="527"/>
      <c r="BW30" s="527"/>
      <c r="BX30" s="527"/>
      <c r="BY30" s="527"/>
      <c r="BZ30" s="527"/>
      <c r="CA30" s="527"/>
      <c r="CB30" s="527"/>
    </row>
    <row r="31" spans="2:80" ht="18.95" customHeight="1">
      <c r="C31" s="6"/>
      <c r="D31" s="9"/>
      <c r="E31" s="9"/>
      <c r="F31" s="9"/>
      <c r="G31" s="9"/>
      <c r="H31" s="9"/>
      <c r="I31" s="9"/>
      <c r="J31" s="9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J31" s="273"/>
      <c r="AK31" s="344">
        <v>13</v>
      </c>
      <c r="AL31" s="344" t="s">
        <v>874</v>
      </c>
      <c r="AM31" s="344">
        <v>6</v>
      </c>
      <c r="AN31" s="344">
        <v>232384</v>
      </c>
      <c r="AO31" s="344">
        <v>18869</v>
      </c>
      <c r="AP31" s="344">
        <f t="shared" si="8"/>
        <v>119170</v>
      </c>
      <c r="AQ31" s="344">
        <v>155</v>
      </c>
      <c r="AR31" s="344">
        <v>188</v>
      </c>
      <c r="AS31" s="344">
        <v>200</v>
      </c>
      <c r="AT31" s="356">
        <f>(AP31*10^-6*25)/1.2</f>
        <v>2.4827083333333335</v>
      </c>
      <c r="AU31" s="356">
        <f>((1200*AS31-AM31*AO31)*10^-6*25)/1.2-(AP31*10^-6*25)/1.2</f>
        <v>0.15866666666666607</v>
      </c>
      <c r="AV31" s="929" t="s">
        <v>938</v>
      </c>
      <c r="AW31" s="1157">
        <f t="shared" si="0"/>
        <v>2.6413749999999996</v>
      </c>
      <c r="AX31" s="947">
        <f t="shared" si="1"/>
        <v>1.8869E-2</v>
      </c>
      <c r="AY31" s="273">
        <f t="shared" si="2"/>
        <v>3.7738000000000001E-2</v>
      </c>
      <c r="AZ31" s="273">
        <f t="shared" si="3"/>
        <v>3.7738000000000001E-2</v>
      </c>
      <c r="BA31" s="954">
        <f t="shared" si="4"/>
        <v>0.94345000000000001</v>
      </c>
      <c r="BB31" s="955">
        <f t="shared" si="5"/>
        <v>1.2736575000000001</v>
      </c>
      <c r="BC31" s="954">
        <f t="shared" si="6"/>
        <v>1.8869</v>
      </c>
      <c r="BD31" s="955">
        <f t="shared" si="7"/>
        <v>2.5473150000000002</v>
      </c>
      <c r="BE31" s="364"/>
      <c r="BG31" s="527"/>
      <c r="BH31" s="527"/>
      <c r="BI31" s="527"/>
      <c r="BJ31" s="527"/>
      <c r="BK31" s="527"/>
      <c r="BL31" s="527"/>
      <c r="BM31" s="527"/>
      <c r="BN31" s="527"/>
      <c r="BO31" s="527"/>
      <c r="BP31" s="527"/>
      <c r="BQ31" s="527"/>
      <c r="BR31" s="527"/>
      <c r="BS31" s="527"/>
      <c r="BT31" s="527"/>
      <c r="BU31" s="527"/>
      <c r="BV31" s="527"/>
      <c r="BW31" s="527"/>
      <c r="BX31" s="527"/>
      <c r="BY31" s="527"/>
      <c r="BZ31" s="527"/>
      <c r="CA31" s="527"/>
      <c r="CB31" s="527"/>
    </row>
    <row r="32" spans="2:80" ht="18.95" customHeight="1">
      <c r="B32" s="347" t="s">
        <v>605</v>
      </c>
      <c r="C32" s="309" t="s">
        <v>7</v>
      </c>
      <c r="D32" s="1060" t="s">
        <v>25</v>
      </c>
      <c r="E32" s="1060"/>
      <c r="F32" s="1060"/>
      <c r="G32" s="1060"/>
      <c r="H32" s="1060"/>
      <c r="I32" s="1060"/>
      <c r="O32" s="271"/>
      <c r="P32" s="1059" t="s">
        <v>515</v>
      </c>
      <c r="Q32" s="1059"/>
      <c r="R32" s="1059"/>
      <c r="S32" s="1059"/>
      <c r="T32" s="1059"/>
      <c r="U32" s="1059"/>
      <c r="V32" s="1059"/>
      <c r="W32" s="1059"/>
      <c r="X32" s="1059"/>
      <c r="Y32" s="1059"/>
      <c r="Z32" s="1059"/>
      <c r="AA32" s="1059"/>
      <c r="AB32" s="1059"/>
      <c r="AC32" s="1059"/>
      <c r="AD32" s="1059"/>
      <c r="AE32" s="1059"/>
      <c r="AF32" s="1059"/>
      <c r="AG32" s="1059"/>
      <c r="AH32" s="271"/>
      <c r="AJ32" s="273"/>
      <c r="AK32" s="344">
        <v>14</v>
      </c>
      <c r="AL32" s="344" t="s">
        <v>875</v>
      </c>
      <c r="AM32" s="344">
        <v>5</v>
      </c>
      <c r="AN32" s="344">
        <v>308047</v>
      </c>
      <c r="AO32" s="344">
        <v>26880</v>
      </c>
      <c r="AP32" s="344">
        <f t="shared" si="8"/>
        <v>173647</v>
      </c>
      <c r="AQ32" s="344">
        <v>185</v>
      </c>
      <c r="AR32" s="344">
        <v>225</v>
      </c>
      <c r="AS32" s="344">
        <v>265</v>
      </c>
      <c r="AT32" s="356">
        <f t="shared" ref="AT32:AT34" si="11">(AP32*10^-6*25)/1.2</f>
        <v>3.6176458333333334</v>
      </c>
      <c r="AU32" s="356">
        <f>((1200*AS32-AM32*AO32)*10^-6*25)/1.2-(AP32*10^-6*25)/1.2</f>
        <v>0.20735416666666673</v>
      </c>
      <c r="AV32" s="929" t="s">
        <v>938</v>
      </c>
      <c r="AW32" s="1158">
        <f t="shared" si="0"/>
        <v>3.8250000000000002</v>
      </c>
      <c r="AX32" s="947">
        <f t="shared" si="1"/>
        <v>2.6880000000000001E-2</v>
      </c>
      <c r="AY32" s="273">
        <f t="shared" si="2"/>
        <v>5.3760000000000002E-2</v>
      </c>
      <c r="AZ32" s="273">
        <f t="shared" si="3"/>
        <v>5.3760000000000002E-2</v>
      </c>
      <c r="BA32" s="956">
        <f t="shared" si="4"/>
        <v>1.3440000000000001</v>
      </c>
      <c r="BB32" s="957">
        <f t="shared" si="5"/>
        <v>1.8144000000000002</v>
      </c>
      <c r="BC32" s="956">
        <f t="shared" si="6"/>
        <v>2.6880000000000002</v>
      </c>
      <c r="BD32" s="957">
        <f t="shared" si="7"/>
        <v>3.6288000000000005</v>
      </c>
      <c r="BE32" s="364"/>
      <c r="BG32" s="527"/>
      <c r="BH32" s="527"/>
      <c r="BI32" s="527"/>
      <c r="BJ32" s="527"/>
      <c r="BK32" s="527"/>
      <c r="BL32" s="527"/>
      <c r="BM32" s="527"/>
      <c r="BN32" s="527"/>
      <c r="BO32" s="527"/>
      <c r="BP32" s="527"/>
      <c r="BQ32" s="527"/>
      <c r="BR32" s="527"/>
      <c r="BS32" s="527"/>
      <c r="BT32" s="527"/>
      <c r="BU32" s="527"/>
      <c r="BV32" s="527"/>
      <c r="BW32" s="527"/>
      <c r="BX32" s="527"/>
      <c r="BY32" s="527"/>
      <c r="BZ32" s="527"/>
      <c r="CA32" s="527"/>
      <c r="CB32" s="527"/>
    </row>
    <row r="33" spans="2:80" ht="18.95" customHeight="1">
      <c r="B33" s="348">
        <v>1</v>
      </c>
      <c r="C33" s="1075" t="s">
        <v>10</v>
      </c>
      <c r="D33" s="1061" t="s">
        <v>26</v>
      </c>
      <c r="E33" s="1062"/>
      <c r="F33" s="1061" t="s">
        <v>27</v>
      </c>
      <c r="G33" s="1062"/>
      <c r="H33" s="1061" t="s">
        <v>28</v>
      </c>
      <c r="I33" s="1062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J33" s="273"/>
      <c r="AK33" s="344">
        <v>15</v>
      </c>
      <c r="AL33" s="344" t="s">
        <v>876</v>
      </c>
      <c r="AM33" s="344">
        <v>4</v>
      </c>
      <c r="AN33" s="344">
        <v>372140</v>
      </c>
      <c r="AO33" s="344">
        <v>41547</v>
      </c>
      <c r="AP33" s="344">
        <f t="shared" si="8"/>
        <v>205952</v>
      </c>
      <c r="AQ33" s="344">
        <v>230</v>
      </c>
      <c r="AR33" s="344">
        <v>278</v>
      </c>
      <c r="AS33" s="344">
        <v>320</v>
      </c>
      <c r="AT33" s="356">
        <f t="shared" si="11"/>
        <v>4.2906666666666666</v>
      </c>
      <c r="AU33" s="356">
        <f>((1200*AS33-AM33*AO33)*10^-6*25)/1.2-(AP33*10^-6*25)/1.2</f>
        <v>0.24708333333333332</v>
      </c>
      <c r="AV33" s="929" t="s">
        <v>938</v>
      </c>
      <c r="AW33" s="1159">
        <f t="shared" si="0"/>
        <v>4.53775</v>
      </c>
      <c r="AX33" s="947">
        <f t="shared" si="1"/>
        <v>4.1547000000000001E-2</v>
      </c>
      <c r="AY33" s="273">
        <f t="shared" si="2"/>
        <v>8.3094000000000001E-2</v>
      </c>
      <c r="AZ33" s="273">
        <f t="shared" si="3"/>
        <v>8.3094000000000001E-2</v>
      </c>
      <c r="BA33" s="958">
        <f t="shared" si="4"/>
        <v>2.07735</v>
      </c>
      <c r="BB33" s="959">
        <f t="shared" si="5"/>
        <v>2.8044225000000003</v>
      </c>
      <c r="BC33" s="958">
        <f t="shared" si="6"/>
        <v>4.1547000000000001</v>
      </c>
      <c r="BD33" s="959">
        <f t="shared" si="7"/>
        <v>5.6088450000000005</v>
      </c>
      <c r="BE33" s="364"/>
      <c r="BG33" s="527"/>
      <c r="BH33" s="527"/>
      <c r="BI33" s="527"/>
      <c r="BJ33" s="527"/>
      <c r="BK33" s="527"/>
      <c r="BL33" s="527"/>
      <c r="BM33" s="527"/>
      <c r="BN33" s="527"/>
      <c r="BO33" s="527"/>
      <c r="BP33" s="527"/>
      <c r="BQ33" s="527"/>
      <c r="BR33" s="527"/>
      <c r="BS33" s="527"/>
      <c r="BT33" s="527"/>
      <c r="BU33" s="527"/>
      <c r="BV33" s="527"/>
      <c r="BW33" s="527"/>
      <c r="BX33" s="527"/>
      <c r="BY33" s="527"/>
      <c r="BZ33" s="527"/>
      <c r="CA33" s="527"/>
      <c r="CB33" s="527"/>
    </row>
    <row r="34" spans="2:80" ht="18.95" customHeight="1">
      <c r="B34" s="345" t="s">
        <v>606</v>
      </c>
      <c r="C34" s="1075"/>
      <c r="D34" s="314" t="s">
        <v>29</v>
      </c>
      <c r="E34" s="341" t="s">
        <v>236</v>
      </c>
      <c r="F34" s="314" t="s">
        <v>29</v>
      </c>
      <c r="G34" s="341" t="s">
        <v>237</v>
      </c>
      <c r="H34" s="312" t="s">
        <v>238</v>
      </c>
      <c r="I34" s="313" t="s">
        <v>235</v>
      </c>
      <c r="O34" s="271"/>
      <c r="P34" s="287" t="s">
        <v>516</v>
      </c>
      <c r="Q34" s="276" t="s">
        <v>475</v>
      </c>
      <c r="R34" s="288">
        <v>1</v>
      </c>
      <c r="S34" s="271"/>
      <c r="T34" s="271"/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J34" s="273"/>
      <c r="AK34" s="344">
        <v>16</v>
      </c>
      <c r="AL34" s="344" t="s">
        <v>877</v>
      </c>
      <c r="AM34" s="344">
        <v>4</v>
      </c>
      <c r="AN34" s="344">
        <v>466654</v>
      </c>
      <c r="AO34" s="344">
        <v>60070</v>
      </c>
      <c r="AP34" s="344">
        <f t="shared" si="8"/>
        <v>226374</v>
      </c>
      <c r="AQ34" s="344">
        <v>320</v>
      </c>
      <c r="AR34" s="344">
        <v>285</v>
      </c>
      <c r="AS34" s="344">
        <v>400</v>
      </c>
      <c r="AT34" s="356">
        <f t="shared" si="11"/>
        <v>4.7161249999999999</v>
      </c>
      <c r="AU34" s="356">
        <f>((1200*AS34-AM34*AO34)*10^-6*25)/1.2-(AP34*10^-6*25)/1.2</f>
        <v>0.27804166666666674</v>
      </c>
      <c r="AV34" s="929" t="s">
        <v>938</v>
      </c>
      <c r="AW34" s="1160">
        <f t="shared" si="0"/>
        <v>4.9941666666666666</v>
      </c>
      <c r="AX34" s="947">
        <f t="shared" si="1"/>
        <v>6.0069999999999998E-2</v>
      </c>
      <c r="AY34" s="273">
        <f t="shared" si="2"/>
        <v>0.12014</v>
      </c>
      <c r="AZ34" s="273">
        <f t="shared" si="3"/>
        <v>0.12014</v>
      </c>
      <c r="BA34" s="960">
        <f t="shared" si="4"/>
        <v>3.0034999999999998</v>
      </c>
      <c r="BB34" s="961">
        <f t="shared" si="5"/>
        <v>4.0547250000000004</v>
      </c>
      <c r="BC34" s="960">
        <f t="shared" si="6"/>
        <v>6.0069999999999997</v>
      </c>
      <c r="BD34" s="961">
        <f t="shared" si="7"/>
        <v>8.1094500000000007</v>
      </c>
      <c r="BE34" s="364"/>
      <c r="BG34" s="527"/>
      <c r="BH34" s="527"/>
      <c r="BI34" s="527"/>
      <c r="BJ34" s="527"/>
      <c r="BK34" s="527"/>
      <c r="BL34" s="527"/>
      <c r="BM34" s="527"/>
      <c r="BN34" s="527"/>
      <c r="BO34" s="527"/>
      <c r="BP34" s="527"/>
      <c r="BQ34" s="527"/>
      <c r="BR34" s="527"/>
      <c r="BS34" s="527"/>
      <c r="BT34" s="527"/>
      <c r="BU34" s="527"/>
      <c r="BV34" s="527"/>
      <c r="BW34" s="527"/>
      <c r="BX34" s="527"/>
      <c r="BY34" s="527"/>
      <c r="BZ34" s="527"/>
      <c r="CA34" s="527"/>
      <c r="CB34" s="527"/>
    </row>
    <row r="35" spans="2:80" ht="18.95" customHeight="1">
      <c r="B35" s="316">
        <v>1</v>
      </c>
      <c r="C35" s="310" t="s">
        <v>230</v>
      </c>
      <c r="D35" s="343">
        <v>4</v>
      </c>
      <c r="E35" s="343">
        <v>20</v>
      </c>
      <c r="F35" s="343">
        <v>4</v>
      </c>
      <c r="G35" s="343">
        <v>20</v>
      </c>
      <c r="H35" s="310">
        <v>6</v>
      </c>
      <c r="I35" s="605">
        <v>125</v>
      </c>
      <c r="O35" s="271"/>
      <c r="P35" s="289" t="s">
        <v>517</v>
      </c>
      <c r="Q35" s="278" t="s">
        <v>478</v>
      </c>
      <c r="R35" s="278">
        <v>7.85</v>
      </c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J35" s="273"/>
      <c r="AK35" s="344">
        <v>17</v>
      </c>
      <c r="AL35" s="344" t="s">
        <v>628</v>
      </c>
      <c r="AM35" s="344">
        <v>6</v>
      </c>
      <c r="AN35" s="344">
        <v>185493</v>
      </c>
      <c r="AO35" s="344">
        <v>12689</v>
      </c>
      <c r="AP35" s="344">
        <f t="shared" si="8"/>
        <v>109359</v>
      </c>
      <c r="AQ35" s="344">
        <v>110</v>
      </c>
      <c r="AR35" s="344">
        <v>189</v>
      </c>
      <c r="AS35" s="344">
        <v>160</v>
      </c>
      <c r="AT35" s="350">
        <v>2.16</v>
      </c>
      <c r="AU35" s="356">
        <f t="shared" ref="AU35:AU40" si="12">((1200*AS35-AM35*AO35)*10^-6*25)/1.2-(AP35*10^-6*25)/1.2</f>
        <v>0.13556249999999981</v>
      </c>
      <c r="AV35" s="929" t="s">
        <v>938</v>
      </c>
      <c r="AW35" s="1156">
        <f t="shared" si="0"/>
        <v>2.2955625</v>
      </c>
      <c r="AX35" s="947">
        <f t="shared" si="1"/>
        <v>1.2689000000000001E-2</v>
      </c>
      <c r="AY35" s="273">
        <f t="shared" si="2"/>
        <v>2.5378000000000001E-2</v>
      </c>
      <c r="AZ35" s="273">
        <f t="shared" si="3"/>
        <v>2.5378000000000001E-2</v>
      </c>
      <c r="BA35" s="952">
        <f t="shared" si="4"/>
        <v>0.63445000000000007</v>
      </c>
      <c r="BB35" s="953">
        <f t="shared" si="5"/>
        <v>0.8565075000000002</v>
      </c>
      <c r="BC35" s="952">
        <f t="shared" si="6"/>
        <v>1.2689000000000001</v>
      </c>
      <c r="BD35" s="953">
        <f t="shared" si="7"/>
        <v>1.7130150000000004</v>
      </c>
      <c r="BE35" s="364"/>
      <c r="BG35" s="527"/>
      <c r="BH35" s="527"/>
      <c r="BI35" s="527"/>
      <c r="BJ35" s="527"/>
      <c r="BK35" s="527"/>
      <c r="BL35" s="527"/>
      <c r="BM35" s="527"/>
      <c r="BN35" s="527"/>
      <c r="BO35" s="527"/>
      <c r="BP35" s="527"/>
      <c r="BQ35" s="527"/>
      <c r="BR35" s="527"/>
      <c r="BS35" s="527"/>
      <c r="BT35" s="527"/>
      <c r="BU35" s="527"/>
      <c r="BV35" s="527"/>
      <c r="BW35" s="527"/>
      <c r="BX35" s="527"/>
      <c r="BY35" s="527"/>
      <c r="BZ35" s="527"/>
      <c r="CA35" s="527"/>
      <c r="CB35" s="527"/>
    </row>
    <row r="36" spans="2:80" ht="18.95" customHeight="1">
      <c r="B36" s="316">
        <v>2</v>
      </c>
      <c r="C36" s="310" t="s">
        <v>11</v>
      </c>
      <c r="D36" s="343">
        <v>5</v>
      </c>
      <c r="E36" s="343">
        <v>20</v>
      </c>
      <c r="F36" s="343">
        <v>5</v>
      </c>
      <c r="G36" s="343">
        <v>20</v>
      </c>
      <c r="H36" s="310">
        <v>8</v>
      </c>
      <c r="I36" s="605">
        <v>125</v>
      </c>
      <c r="O36" s="271"/>
      <c r="P36" s="289" t="s">
        <v>518</v>
      </c>
      <c r="Q36" s="278" t="s">
        <v>519</v>
      </c>
      <c r="R36" s="278">
        <v>210</v>
      </c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  <c r="AJ36" s="273"/>
      <c r="AK36" s="344">
        <v>18</v>
      </c>
      <c r="AL36" s="344" t="s">
        <v>629</v>
      </c>
      <c r="AM36" s="344">
        <v>6</v>
      </c>
      <c r="AN36" s="344">
        <v>231867</v>
      </c>
      <c r="AO36" s="344">
        <v>18319</v>
      </c>
      <c r="AP36" s="344">
        <f t="shared" si="8"/>
        <v>121953</v>
      </c>
      <c r="AQ36" s="344">
        <v>150</v>
      </c>
      <c r="AR36" s="344">
        <v>189</v>
      </c>
      <c r="AS36" s="344">
        <v>200</v>
      </c>
      <c r="AT36" s="350">
        <v>2.48</v>
      </c>
      <c r="AU36" s="356">
        <f t="shared" si="12"/>
        <v>0.16943750000000035</v>
      </c>
      <c r="AV36" s="929" t="s">
        <v>938</v>
      </c>
      <c r="AW36" s="1157">
        <f t="shared" si="0"/>
        <v>2.6494375000000003</v>
      </c>
      <c r="AX36" s="947">
        <f t="shared" si="1"/>
        <v>1.8318999999999998E-2</v>
      </c>
      <c r="AY36" s="273">
        <f t="shared" si="2"/>
        <v>3.6637999999999997E-2</v>
      </c>
      <c r="AZ36" s="273">
        <f t="shared" si="3"/>
        <v>3.6637999999999997E-2</v>
      </c>
      <c r="BA36" s="954">
        <f t="shared" si="4"/>
        <v>0.91594999999999993</v>
      </c>
      <c r="BB36" s="955">
        <f t="shared" si="5"/>
        <v>1.2365325</v>
      </c>
      <c r="BC36" s="954">
        <f t="shared" si="6"/>
        <v>1.8318999999999999</v>
      </c>
      <c r="BD36" s="955">
        <f t="shared" si="7"/>
        <v>2.4730650000000001</v>
      </c>
      <c r="BE36" s="364"/>
      <c r="BG36" s="527"/>
      <c r="BH36" s="527"/>
      <c r="BI36" s="527"/>
      <c r="BJ36" s="527"/>
      <c r="BK36" s="527"/>
      <c r="BL36" s="527"/>
      <c r="BM36" s="527"/>
      <c r="BN36" s="527"/>
      <c r="BO36" s="527"/>
      <c r="BP36" s="527"/>
      <c r="BQ36" s="527"/>
      <c r="BR36" s="527"/>
      <c r="BS36" s="527"/>
      <c r="BT36" s="527"/>
      <c r="BU36" s="527"/>
      <c r="BV36" s="527"/>
      <c r="BW36" s="527"/>
      <c r="BX36" s="527"/>
      <c r="BY36" s="527"/>
      <c r="BZ36" s="527"/>
      <c r="CA36" s="527"/>
      <c r="CB36" s="527"/>
    </row>
    <row r="37" spans="2:80" ht="18.95" customHeight="1">
      <c r="B37" s="316">
        <v>3</v>
      </c>
      <c r="C37" s="310" t="s">
        <v>12</v>
      </c>
      <c r="D37" s="343">
        <v>6</v>
      </c>
      <c r="E37" s="343">
        <v>20</v>
      </c>
      <c r="F37" s="343">
        <v>6</v>
      </c>
      <c r="G37" s="343">
        <v>20</v>
      </c>
      <c r="H37" s="310">
        <v>8</v>
      </c>
      <c r="I37" s="605">
        <v>125</v>
      </c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J37" s="273"/>
      <c r="AK37" s="344">
        <v>19</v>
      </c>
      <c r="AL37" s="344" t="s">
        <v>630</v>
      </c>
      <c r="AM37" s="344">
        <v>5</v>
      </c>
      <c r="AN37" s="344">
        <v>306681</v>
      </c>
      <c r="AO37" s="344">
        <v>28968</v>
      </c>
      <c r="AP37" s="344">
        <f t="shared" si="8"/>
        <v>161841</v>
      </c>
      <c r="AQ37" s="344">
        <v>195</v>
      </c>
      <c r="AR37" s="344">
        <v>224</v>
      </c>
      <c r="AS37" s="344">
        <v>265</v>
      </c>
      <c r="AT37" s="350">
        <v>3.23</v>
      </c>
      <c r="AU37" s="356">
        <f t="shared" si="12"/>
        <v>0.2358125000000002</v>
      </c>
      <c r="AV37" s="929" t="s">
        <v>938</v>
      </c>
      <c r="AW37" s="1158">
        <f t="shared" si="0"/>
        <v>3.4658125000000002</v>
      </c>
      <c r="AX37" s="947">
        <f t="shared" si="1"/>
        <v>2.8968000000000001E-2</v>
      </c>
      <c r="AY37" s="273">
        <f t="shared" si="2"/>
        <v>5.7936000000000001E-2</v>
      </c>
      <c r="AZ37" s="273">
        <f t="shared" si="3"/>
        <v>5.7936000000000001E-2</v>
      </c>
      <c r="BA37" s="956">
        <f t="shared" si="4"/>
        <v>1.4484000000000001</v>
      </c>
      <c r="BB37" s="957">
        <f t="shared" si="5"/>
        <v>1.9553400000000003</v>
      </c>
      <c r="BC37" s="956">
        <f t="shared" si="6"/>
        <v>2.8968000000000003</v>
      </c>
      <c r="BD37" s="957">
        <f t="shared" si="7"/>
        <v>3.9106800000000006</v>
      </c>
      <c r="BE37" s="364"/>
      <c r="BG37" s="527"/>
      <c r="BH37" s="527"/>
      <c r="BI37" s="527"/>
      <c r="BJ37" s="527"/>
      <c r="BK37" s="527"/>
      <c r="BL37" s="527"/>
      <c r="BM37" s="527"/>
      <c r="BN37" s="527"/>
      <c r="BO37" s="527"/>
      <c r="BP37" s="527"/>
      <c r="BQ37" s="527"/>
      <c r="BR37" s="527"/>
      <c r="BS37" s="527"/>
      <c r="BT37" s="527"/>
      <c r="BU37" s="527"/>
      <c r="BV37" s="527"/>
      <c r="BW37" s="527"/>
      <c r="BX37" s="527"/>
      <c r="BY37" s="527"/>
      <c r="BZ37" s="527"/>
      <c r="CA37" s="527"/>
      <c r="CB37" s="527"/>
    </row>
    <row r="38" spans="2:80" ht="18.95" customHeight="1">
      <c r="B38" s="316">
        <v>4</v>
      </c>
      <c r="C38" s="310" t="s">
        <v>13</v>
      </c>
      <c r="D38" s="343">
        <v>4</v>
      </c>
      <c r="E38" s="343">
        <v>25</v>
      </c>
      <c r="F38" s="343">
        <v>4</v>
      </c>
      <c r="G38" s="343">
        <v>16</v>
      </c>
      <c r="H38" s="310">
        <v>8</v>
      </c>
      <c r="I38" s="605">
        <v>125</v>
      </c>
      <c r="O38" s="271"/>
      <c r="P38" s="290" t="s">
        <v>520</v>
      </c>
      <c r="Q38" s="1071" t="s">
        <v>521</v>
      </c>
      <c r="R38" s="1071"/>
      <c r="S38" s="1071" t="s">
        <v>522</v>
      </c>
      <c r="T38" s="10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J38" s="273"/>
      <c r="AK38" s="344">
        <v>20</v>
      </c>
      <c r="AL38" s="344" t="s">
        <v>631</v>
      </c>
      <c r="AM38" s="344">
        <v>4</v>
      </c>
      <c r="AN38" s="344">
        <v>369165</v>
      </c>
      <c r="AO38" s="344">
        <v>44637</v>
      </c>
      <c r="AP38" s="344">
        <f t="shared" si="8"/>
        <v>190617</v>
      </c>
      <c r="AQ38" s="344">
        <v>240</v>
      </c>
      <c r="AR38" s="344">
        <v>286</v>
      </c>
      <c r="AS38" s="344">
        <v>320</v>
      </c>
      <c r="AT38" s="350">
        <v>3.73</v>
      </c>
      <c r="AU38" s="356">
        <f t="shared" si="12"/>
        <v>0.30906250000000091</v>
      </c>
      <c r="AV38" s="929" t="s">
        <v>938</v>
      </c>
      <c r="AW38" s="1159">
        <f t="shared" si="0"/>
        <v>4.0390625000000009</v>
      </c>
      <c r="AX38" s="947">
        <f t="shared" si="1"/>
        <v>4.4637000000000003E-2</v>
      </c>
      <c r="AY38" s="273">
        <f t="shared" si="2"/>
        <v>8.9274000000000006E-2</v>
      </c>
      <c r="AZ38" s="273">
        <f t="shared" si="3"/>
        <v>8.9274000000000006E-2</v>
      </c>
      <c r="BA38" s="958">
        <f t="shared" si="4"/>
        <v>2.2318500000000001</v>
      </c>
      <c r="BB38" s="959">
        <f t="shared" si="5"/>
        <v>3.0129975000000004</v>
      </c>
      <c r="BC38" s="958">
        <f t="shared" si="6"/>
        <v>4.4637000000000002</v>
      </c>
      <c r="BD38" s="959">
        <f t="shared" si="7"/>
        <v>6.0259950000000009</v>
      </c>
      <c r="BE38" s="364"/>
      <c r="BG38" s="527"/>
      <c r="BH38" s="527"/>
      <c r="BI38" s="527"/>
      <c r="BJ38" s="527"/>
      <c r="BK38" s="527"/>
      <c r="BL38" s="527"/>
      <c r="BM38" s="527"/>
      <c r="BN38" s="527"/>
      <c r="BO38" s="527"/>
      <c r="BP38" s="527"/>
      <c r="BQ38" s="527"/>
      <c r="BR38" s="527"/>
      <c r="BS38" s="527"/>
      <c r="BT38" s="527"/>
      <c r="BU38" s="527"/>
      <c r="BV38" s="527"/>
      <c r="BW38" s="527"/>
      <c r="BX38" s="527"/>
      <c r="BY38" s="527"/>
      <c r="BZ38" s="527"/>
      <c r="CA38" s="527"/>
      <c r="CB38" s="527"/>
    </row>
    <row r="39" spans="2:80" ht="18.95" customHeight="1">
      <c r="B39" s="316">
        <v>5</v>
      </c>
      <c r="C39" s="310" t="s">
        <v>14</v>
      </c>
      <c r="D39" s="343">
        <v>7</v>
      </c>
      <c r="E39" s="343">
        <v>25</v>
      </c>
      <c r="F39" s="343">
        <v>7</v>
      </c>
      <c r="G39" s="343">
        <v>25</v>
      </c>
      <c r="H39" s="310">
        <v>8</v>
      </c>
      <c r="I39" s="605">
        <v>125</v>
      </c>
      <c r="O39" s="271"/>
      <c r="P39" s="271"/>
      <c r="Q39" s="291" t="s">
        <v>523</v>
      </c>
      <c r="R39" s="291" t="s">
        <v>524</v>
      </c>
      <c r="S39" s="291" t="s">
        <v>523</v>
      </c>
      <c r="T39" s="291" t="s">
        <v>524</v>
      </c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J39" s="273"/>
      <c r="AK39" s="344">
        <v>21</v>
      </c>
      <c r="AL39" s="344" t="s">
        <v>632</v>
      </c>
      <c r="AM39" s="344">
        <v>4</v>
      </c>
      <c r="AN39" s="344">
        <v>460845</v>
      </c>
      <c r="AO39" s="344">
        <v>59756</v>
      </c>
      <c r="AP39" s="344">
        <f t="shared" si="8"/>
        <v>221821</v>
      </c>
      <c r="AQ39" s="344">
        <v>320</v>
      </c>
      <c r="AR39" s="344">
        <v>282</v>
      </c>
      <c r="AS39" s="344">
        <v>400</v>
      </c>
      <c r="AT39" s="350">
        <v>4.26</v>
      </c>
      <c r="AU39" s="356">
        <f t="shared" si="12"/>
        <v>0.39906250000000032</v>
      </c>
      <c r="AV39" s="929" t="s">
        <v>938</v>
      </c>
      <c r="AW39" s="1160">
        <f t="shared" si="0"/>
        <v>4.6590625000000001</v>
      </c>
      <c r="AX39" s="947">
        <f t="shared" si="1"/>
        <v>5.9755999999999997E-2</v>
      </c>
      <c r="AY39" s="273">
        <f t="shared" si="2"/>
        <v>0.11951199999999999</v>
      </c>
      <c r="AZ39" s="273">
        <f t="shared" si="3"/>
        <v>0.11951199999999999</v>
      </c>
      <c r="BA39" s="960">
        <f t="shared" si="4"/>
        <v>2.9878</v>
      </c>
      <c r="BB39" s="961">
        <f t="shared" si="5"/>
        <v>4.0335299999999998</v>
      </c>
      <c r="BC39" s="960">
        <f t="shared" si="6"/>
        <v>5.9756</v>
      </c>
      <c r="BD39" s="961">
        <f t="shared" si="7"/>
        <v>8.0670599999999997</v>
      </c>
      <c r="BE39" s="364"/>
      <c r="BG39" s="527"/>
      <c r="BH39" s="527"/>
      <c r="BI39" s="527"/>
      <c r="BJ39" s="527"/>
      <c r="BK39" s="527"/>
      <c r="BL39" s="527"/>
      <c r="BM39" s="527"/>
      <c r="BN39" s="527"/>
      <c r="BO39" s="527"/>
      <c r="BP39" s="527"/>
      <c r="BQ39" s="527"/>
      <c r="BR39" s="527"/>
      <c r="BS39" s="527"/>
      <c r="BT39" s="527"/>
      <c r="BU39" s="527"/>
      <c r="BV39" s="527"/>
      <c r="BW39" s="527"/>
      <c r="BX39" s="527"/>
      <c r="BY39" s="527"/>
      <c r="BZ39" s="527"/>
      <c r="CA39" s="527"/>
      <c r="CB39" s="527"/>
    </row>
    <row r="40" spans="2:80" ht="18.95" customHeight="1">
      <c r="B40" s="316">
        <v>6</v>
      </c>
      <c r="C40" s="310" t="s">
        <v>467</v>
      </c>
      <c r="D40" s="343">
        <v>6</v>
      </c>
      <c r="E40" s="343">
        <v>32</v>
      </c>
      <c r="F40" s="343">
        <v>6</v>
      </c>
      <c r="G40" s="343">
        <v>16</v>
      </c>
      <c r="H40" s="310">
        <v>8</v>
      </c>
      <c r="I40" s="605">
        <v>125</v>
      </c>
      <c r="O40" s="271"/>
      <c r="P40" s="279" t="s">
        <v>525</v>
      </c>
      <c r="Q40" s="279">
        <v>275</v>
      </c>
      <c r="R40" s="279">
        <v>390</v>
      </c>
      <c r="S40" s="279">
        <v>255</v>
      </c>
      <c r="T40" s="279">
        <v>370</v>
      </c>
      <c r="U40" s="271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J40" s="273"/>
      <c r="AK40" s="344">
        <v>22</v>
      </c>
      <c r="AL40" s="344" t="s">
        <v>633</v>
      </c>
      <c r="AM40" s="344">
        <v>4</v>
      </c>
      <c r="AN40" s="344">
        <v>575445</v>
      </c>
      <c r="AO40" s="344">
        <v>75264</v>
      </c>
      <c r="AP40" s="344">
        <f t="shared" si="8"/>
        <v>274389</v>
      </c>
      <c r="AQ40" s="344">
        <v>410</v>
      </c>
      <c r="AR40" s="344">
        <v>275</v>
      </c>
      <c r="AS40" s="344">
        <v>500</v>
      </c>
      <c r="AT40" s="350">
        <v>5.17</v>
      </c>
      <c r="AU40" s="356">
        <f t="shared" si="12"/>
        <v>0.51156249999999925</v>
      </c>
      <c r="AV40" s="929" t="s">
        <v>938</v>
      </c>
      <c r="AW40" s="1161">
        <f t="shared" si="0"/>
        <v>5.6815624999999992</v>
      </c>
      <c r="AX40" s="947">
        <f t="shared" si="1"/>
        <v>7.5263999999999998E-2</v>
      </c>
      <c r="AY40" s="273">
        <f t="shared" si="2"/>
        <v>0.150528</v>
      </c>
      <c r="AZ40" s="273">
        <f t="shared" si="3"/>
        <v>0.150528</v>
      </c>
      <c r="BA40" s="964">
        <f t="shared" si="4"/>
        <v>3.7631999999999999</v>
      </c>
      <c r="BB40" s="965">
        <f t="shared" si="5"/>
        <v>5.0803200000000004</v>
      </c>
      <c r="BC40" s="964">
        <f t="shared" si="6"/>
        <v>7.5263999999999998</v>
      </c>
      <c r="BD40" s="965">
        <f t="shared" si="7"/>
        <v>10.160640000000001</v>
      </c>
      <c r="BE40" s="364"/>
      <c r="BG40" s="527"/>
      <c r="BH40" s="527"/>
      <c r="BI40" s="527"/>
      <c r="BJ40" s="527"/>
      <c r="BK40" s="527"/>
      <c r="BL40" s="527"/>
      <c r="BM40" s="527"/>
      <c r="BN40" s="527"/>
      <c r="BO40" s="527"/>
      <c r="BP40" s="527"/>
      <c r="BQ40" s="527"/>
      <c r="BR40" s="527"/>
      <c r="BS40" s="527"/>
      <c r="BT40" s="527"/>
      <c r="BU40" s="527"/>
      <c r="BV40" s="527"/>
      <c r="BW40" s="527"/>
      <c r="BX40" s="527"/>
      <c r="BY40" s="527"/>
      <c r="BZ40" s="527"/>
      <c r="CA40" s="527"/>
      <c r="CB40" s="527"/>
    </row>
    <row r="41" spans="2:80" ht="18.95" customHeight="1">
      <c r="B41" s="316">
        <v>7</v>
      </c>
      <c r="C41" s="310" t="s">
        <v>15</v>
      </c>
      <c r="D41" s="343">
        <v>6</v>
      </c>
      <c r="E41" s="343">
        <v>25</v>
      </c>
      <c r="F41" s="343">
        <v>6</v>
      </c>
      <c r="G41" s="343">
        <v>25</v>
      </c>
      <c r="H41" s="310">
        <v>8</v>
      </c>
      <c r="I41" s="605">
        <v>125</v>
      </c>
      <c r="O41" s="271"/>
      <c r="P41" s="279" t="s">
        <v>526</v>
      </c>
      <c r="Q41" s="279">
        <v>355</v>
      </c>
      <c r="R41" s="279">
        <v>490</v>
      </c>
      <c r="S41" s="279">
        <v>335</v>
      </c>
      <c r="T41" s="279">
        <v>470</v>
      </c>
      <c r="U41" s="271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J41" s="273"/>
      <c r="AK41" s="344">
        <v>23</v>
      </c>
      <c r="AL41" s="344" t="s">
        <v>634</v>
      </c>
      <c r="AM41" s="344"/>
      <c r="AN41" s="344"/>
      <c r="AO41" s="344"/>
      <c r="AP41" s="344"/>
      <c r="AQ41" s="344"/>
      <c r="AR41" s="344"/>
      <c r="AS41" s="344"/>
      <c r="AT41" s="350"/>
      <c r="AU41" s="350"/>
      <c r="AV41" s="344"/>
      <c r="AW41" s="943"/>
      <c r="AX41" s="946"/>
      <c r="AY41" s="273"/>
      <c r="AZ41" s="273"/>
      <c r="BA41" s="950"/>
      <c r="BB41" s="950"/>
      <c r="BC41" s="273"/>
      <c r="BD41" s="273"/>
      <c r="BE41" s="364"/>
      <c r="BG41" s="527"/>
      <c r="BH41" s="527"/>
      <c r="BI41" s="527"/>
      <c r="BJ41" s="527"/>
      <c r="BK41" s="527"/>
      <c r="BL41" s="527"/>
      <c r="BM41" s="527"/>
      <c r="BN41" s="527"/>
      <c r="BO41" s="527"/>
      <c r="BP41" s="527"/>
      <c r="BQ41" s="527"/>
      <c r="BR41" s="527"/>
      <c r="BS41" s="527"/>
      <c r="BT41" s="527"/>
      <c r="BU41" s="527"/>
      <c r="BV41" s="527"/>
      <c r="BW41" s="527"/>
      <c r="BX41" s="527"/>
      <c r="BY41" s="527"/>
      <c r="BZ41" s="527"/>
      <c r="CA41" s="527"/>
      <c r="CB41" s="527"/>
    </row>
    <row r="42" spans="2:80" ht="18.95" customHeight="1">
      <c r="B42" s="316">
        <v>8</v>
      </c>
      <c r="C42" s="310" t="s">
        <v>16</v>
      </c>
      <c r="D42" s="343">
        <v>6</v>
      </c>
      <c r="E42" s="343">
        <v>32</v>
      </c>
      <c r="F42" s="343">
        <v>6</v>
      </c>
      <c r="G42" s="343">
        <v>16</v>
      </c>
      <c r="H42" s="310">
        <v>8</v>
      </c>
      <c r="I42" s="605">
        <v>125</v>
      </c>
      <c r="O42" s="271"/>
      <c r="P42" s="279" t="s">
        <v>527</v>
      </c>
      <c r="Q42" s="279">
        <v>420</v>
      </c>
      <c r="R42" s="279">
        <v>520</v>
      </c>
      <c r="S42" s="279">
        <v>390</v>
      </c>
      <c r="T42" s="279">
        <v>520</v>
      </c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  <c r="AG42" s="271"/>
      <c r="AH42" s="271"/>
      <c r="AJ42" s="273"/>
      <c r="AK42" s="344">
        <v>24</v>
      </c>
      <c r="AL42" s="344" t="s">
        <v>635</v>
      </c>
      <c r="AM42" s="344"/>
      <c r="AN42" s="344"/>
      <c r="AO42" s="344"/>
      <c r="AP42" s="344"/>
      <c r="AQ42" s="344"/>
      <c r="AR42" s="344"/>
      <c r="AS42" s="344"/>
      <c r="AT42" s="350"/>
      <c r="AU42" s="350"/>
      <c r="AV42" s="344"/>
      <c r="AW42" s="943"/>
      <c r="AX42" s="946"/>
      <c r="AY42" s="273"/>
      <c r="AZ42" s="273"/>
      <c r="BA42" s="950"/>
      <c r="BB42" s="950"/>
      <c r="BC42" s="273"/>
      <c r="BD42" s="273"/>
      <c r="BE42" s="364"/>
      <c r="BG42" s="527"/>
      <c r="BH42" s="527"/>
      <c r="BI42" s="527"/>
      <c r="BJ42" s="527"/>
      <c r="BK42" s="527"/>
      <c r="BL42" s="527"/>
      <c r="BM42" s="527"/>
      <c r="BN42" s="527"/>
      <c r="BO42" s="527"/>
      <c r="BP42" s="527"/>
      <c r="BQ42" s="527"/>
      <c r="BR42" s="527"/>
      <c r="BS42" s="527"/>
      <c r="BT42" s="527"/>
      <c r="BU42" s="527"/>
      <c r="BV42" s="527"/>
      <c r="BW42" s="527"/>
      <c r="BX42" s="527"/>
      <c r="BY42" s="527"/>
      <c r="BZ42" s="527"/>
      <c r="CA42" s="527"/>
      <c r="CB42" s="527"/>
    </row>
    <row r="43" spans="2:80" ht="18.95" customHeight="1">
      <c r="B43" s="316">
        <v>9</v>
      </c>
      <c r="C43" s="310" t="s">
        <v>17</v>
      </c>
      <c r="D43" s="343">
        <v>6</v>
      </c>
      <c r="E43" s="343">
        <v>32</v>
      </c>
      <c r="F43" s="343">
        <v>6</v>
      </c>
      <c r="G43" s="343">
        <v>16</v>
      </c>
      <c r="H43" s="310">
        <v>8</v>
      </c>
      <c r="I43" s="605">
        <v>125</v>
      </c>
      <c r="O43" s="271"/>
      <c r="P43" s="279" t="s">
        <v>469</v>
      </c>
      <c r="Q43" s="279">
        <v>460</v>
      </c>
      <c r="R43" s="279">
        <v>540</v>
      </c>
      <c r="S43" s="279">
        <v>430</v>
      </c>
      <c r="T43" s="279">
        <v>540</v>
      </c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J43" s="273"/>
      <c r="AK43" s="344">
        <v>25</v>
      </c>
      <c r="AL43" s="344" t="s">
        <v>636</v>
      </c>
      <c r="AM43" s="344"/>
      <c r="AN43" s="344"/>
      <c r="AO43" s="344"/>
      <c r="AP43" s="344"/>
      <c r="AQ43" s="344"/>
      <c r="AR43" s="344"/>
      <c r="AS43" s="344"/>
      <c r="AT43" s="350"/>
      <c r="AU43" s="350"/>
      <c r="AV43" s="344"/>
      <c r="AW43" s="943"/>
      <c r="AX43" s="946"/>
      <c r="AY43" s="273"/>
      <c r="AZ43" s="273"/>
      <c r="BA43" s="950"/>
      <c r="BB43" s="950"/>
      <c r="BC43" s="273"/>
      <c r="BD43" s="273"/>
      <c r="BE43" s="364"/>
      <c r="BG43" s="527"/>
      <c r="BH43" s="527"/>
      <c r="BI43" s="527"/>
      <c r="BJ43" s="527"/>
      <c r="BK43" s="527"/>
      <c r="BL43" s="527"/>
      <c r="BM43" s="527"/>
      <c r="BN43" s="527"/>
      <c r="BO43" s="527"/>
      <c r="BP43" s="527"/>
      <c r="BQ43" s="527"/>
      <c r="BR43" s="527"/>
      <c r="BS43" s="527"/>
      <c r="BT43" s="527"/>
      <c r="BU43" s="527"/>
      <c r="BV43" s="527"/>
      <c r="BW43" s="527"/>
      <c r="BX43" s="527"/>
      <c r="BY43" s="527"/>
      <c r="BZ43" s="527"/>
      <c r="CA43" s="527"/>
      <c r="CB43" s="527"/>
    </row>
    <row r="44" spans="2:80" ht="18.95" customHeight="1">
      <c r="B44" s="316">
        <v>10</v>
      </c>
      <c r="C44" s="310" t="s">
        <v>18</v>
      </c>
      <c r="D44" s="343">
        <v>7</v>
      </c>
      <c r="E44" s="343">
        <v>25</v>
      </c>
      <c r="F44" s="343">
        <v>7</v>
      </c>
      <c r="G44" s="343">
        <v>25</v>
      </c>
      <c r="H44" s="310">
        <v>8</v>
      </c>
      <c r="I44" s="605">
        <v>125</v>
      </c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  <c r="AE44" s="271"/>
      <c r="AF44" s="271"/>
      <c r="AG44" s="271"/>
      <c r="AH44" s="271"/>
      <c r="AJ44" s="273"/>
      <c r="AK44" s="344">
        <v>26</v>
      </c>
      <c r="AL44" s="344" t="s">
        <v>637</v>
      </c>
      <c r="AM44" s="344"/>
      <c r="AN44" s="344"/>
      <c r="AO44" s="344"/>
      <c r="AP44" s="344"/>
      <c r="AQ44" s="344"/>
      <c r="AR44" s="344"/>
      <c r="AS44" s="344"/>
      <c r="AT44" s="350"/>
      <c r="AU44" s="350"/>
      <c r="AV44" s="344"/>
      <c r="AW44" s="943"/>
      <c r="AX44" s="946"/>
      <c r="AY44" s="273"/>
      <c r="AZ44" s="273"/>
      <c r="BA44" s="950"/>
      <c r="BB44" s="950"/>
      <c r="BC44" s="273"/>
      <c r="BD44" s="273"/>
      <c r="BE44" s="364"/>
      <c r="BG44" s="527"/>
      <c r="BH44" s="527"/>
      <c r="BI44" s="527"/>
      <c r="BJ44" s="527"/>
      <c r="BK44" s="527"/>
      <c r="BL44" s="527"/>
      <c r="BM44" s="527"/>
      <c r="BN44" s="527"/>
      <c r="BO44" s="527"/>
      <c r="BP44" s="527"/>
      <c r="BQ44" s="527"/>
      <c r="BR44" s="527"/>
      <c r="BS44" s="527"/>
      <c r="BT44" s="527"/>
      <c r="BU44" s="527"/>
      <c r="BV44" s="527"/>
      <c r="BW44" s="527"/>
      <c r="BX44" s="527"/>
      <c r="BY44" s="527"/>
      <c r="BZ44" s="527"/>
      <c r="CA44" s="527"/>
      <c r="CB44" s="527"/>
    </row>
    <row r="45" spans="2:80" ht="18.95" customHeight="1">
      <c r="B45" s="316">
        <v>11</v>
      </c>
      <c r="C45" s="310" t="s">
        <v>19</v>
      </c>
      <c r="D45" s="343">
        <v>8</v>
      </c>
      <c r="E45" s="343">
        <v>25</v>
      </c>
      <c r="F45" s="343">
        <v>8</v>
      </c>
      <c r="G45" s="343">
        <v>25</v>
      </c>
      <c r="H45" s="310">
        <v>8</v>
      </c>
      <c r="I45" s="605">
        <v>125</v>
      </c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J45" s="273"/>
      <c r="AK45" s="344">
        <v>27</v>
      </c>
      <c r="AL45" s="344" t="s">
        <v>638</v>
      </c>
      <c r="AM45" s="344"/>
      <c r="AN45" s="344"/>
      <c r="AO45" s="344"/>
      <c r="AP45" s="344"/>
      <c r="AQ45" s="344"/>
      <c r="AR45" s="344"/>
      <c r="AS45" s="344"/>
      <c r="AT45" s="350"/>
      <c r="AU45" s="350"/>
      <c r="AV45" s="344"/>
      <c r="AW45" s="943"/>
      <c r="AX45" s="946"/>
      <c r="AY45" s="273"/>
      <c r="AZ45" s="273"/>
      <c r="BA45" s="950"/>
      <c r="BB45" s="950"/>
      <c r="BC45" s="273"/>
      <c r="BD45" s="273"/>
      <c r="BE45" s="364"/>
      <c r="BG45" s="527"/>
      <c r="BH45" s="527"/>
      <c r="BI45" s="527"/>
      <c r="BJ45" s="527"/>
      <c r="BK45" s="527"/>
      <c r="BL45" s="527"/>
      <c r="BM45" s="527"/>
      <c r="BN45" s="527"/>
      <c r="BO45" s="527"/>
      <c r="BP45" s="527"/>
      <c r="BQ45" s="527"/>
      <c r="BR45" s="527"/>
      <c r="BS45" s="527"/>
      <c r="BT45" s="527"/>
      <c r="BU45" s="527"/>
      <c r="BV45" s="527"/>
      <c r="BW45" s="527"/>
      <c r="BX45" s="527"/>
      <c r="BY45" s="527"/>
      <c r="BZ45" s="527"/>
      <c r="CA45" s="527"/>
      <c r="CB45" s="527"/>
    </row>
    <row r="46" spans="2:80" ht="18.95" customHeight="1">
      <c r="B46" s="316">
        <v>12</v>
      </c>
      <c r="C46" s="310" t="s">
        <v>559</v>
      </c>
      <c r="D46" s="343">
        <v>9</v>
      </c>
      <c r="E46" s="343">
        <v>25</v>
      </c>
      <c r="F46" s="343">
        <v>7</v>
      </c>
      <c r="G46" s="343">
        <v>32</v>
      </c>
      <c r="H46" s="310">
        <v>8</v>
      </c>
      <c r="I46" s="605">
        <v>125</v>
      </c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  <c r="AA46" s="271"/>
      <c r="AB46" s="271"/>
      <c r="AC46" s="271"/>
      <c r="AD46" s="271"/>
      <c r="AE46" s="271"/>
      <c r="AF46" s="271"/>
      <c r="AG46" s="271"/>
      <c r="AH46" s="271"/>
      <c r="AJ46" s="273"/>
      <c r="AK46" s="344">
        <v>28</v>
      </c>
      <c r="AL46" s="344" t="s">
        <v>639</v>
      </c>
      <c r="AM46" s="344"/>
      <c r="AN46" s="344"/>
      <c r="AO46" s="344"/>
      <c r="AP46" s="344"/>
      <c r="AQ46" s="344"/>
      <c r="AR46" s="344"/>
      <c r="AS46" s="344"/>
      <c r="AT46" s="350"/>
      <c r="AU46" s="350"/>
      <c r="AV46" s="344"/>
      <c r="AW46" s="943"/>
      <c r="AX46" s="946"/>
      <c r="AY46" s="273"/>
      <c r="AZ46" s="273"/>
      <c r="BA46" s="950"/>
      <c r="BB46" s="950"/>
      <c r="BC46" s="273"/>
      <c r="BD46" s="273"/>
      <c r="BE46" s="364"/>
      <c r="BG46" s="527"/>
      <c r="BH46" s="527"/>
      <c r="BI46" s="527"/>
      <c r="BJ46" s="527"/>
      <c r="BK46" s="527"/>
      <c r="BL46" s="527"/>
      <c r="BM46" s="527"/>
      <c r="BN46" s="527"/>
      <c r="BO46" s="527"/>
      <c r="BP46" s="527"/>
      <c r="BQ46" s="527"/>
      <c r="BR46" s="527"/>
      <c r="BS46" s="527"/>
      <c r="BT46" s="527"/>
      <c r="BU46" s="527"/>
      <c r="BV46" s="527"/>
      <c r="BW46" s="527"/>
      <c r="BX46" s="527"/>
      <c r="BY46" s="527"/>
      <c r="BZ46" s="527"/>
      <c r="CA46" s="527"/>
      <c r="CB46" s="527"/>
    </row>
    <row r="47" spans="2:80" ht="18.95" customHeight="1">
      <c r="B47" s="316">
        <v>13</v>
      </c>
      <c r="C47" s="310" t="s">
        <v>20</v>
      </c>
      <c r="D47" s="343">
        <v>7</v>
      </c>
      <c r="E47" s="343">
        <v>25</v>
      </c>
      <c r="F47" s="343">
        <v>7</v>
      </c>
      <c r="G47" s="343">
        <v>25</v>
      </c>
      <c r="H47" s="310">
        <v>8</v>
      </c>
      <c r="I47" s="605">
        <v>125</v>
      </c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J47" s="273"/>
      <c r="AK47" s="344">
        <v>29</v>
      </c>
      <c r="AL47" s="344" t="s">
        <v>640</v>
      </c>
      <c r="AM47" s="344"/>
      <c r="AN47" s="344"/>
      <c r="AO47" s="344"/>
      <c r="AP47" s="344"/>
      <c r="AQ47" s="344"/>
      <c r="AR47" s="344"/>
      <c r="AS47" s="344"/>
      <c r="AT47" s="350"/>
      <c r="AU47" s="350"/>
      <c r="AV47" s="344"/>
      <c r="AW47" s="943"/>
      <c r="AX47" s="946"/>
      <c r="AY47" s="273"/>
      <c r="AZ47" s="273"/>
      <c r="BA47" s="950"/>
      <c r="BB47" s="950"/>
      <c r="BC47" s="273"/>
      <c r="BD47" s="273"/>
      <c r="BE47" s="364"/>
      <c r="BG47" s="527"/>
      <c r="BH47" s="527"/>
      <c r="BI47" s="527"/>
      <c r="BJ47" s="527"/>
      <c r="BK47" s="527"/>
      <c r="BL47" s="527"/>
      <c r="BM47" s="527"/>
      <c r="BN47" s="527"/>
      <c r="BO47" s="527"/>
      <c r="BP47" s="527"/>
      <c r="BQ47" s="527"/>
      <c r="BR47" s="527"/>
      <c r="BS47" s="527"/>
      <c r="BT47" s="527"/>
      <c r="BU47" s="527"/>
      <c r="BV47" s="527"/>
      <c r="BW47" s="527"/>
      <c r="BX47" s="527"/>
      <c r="BY47" s="527"/>
      <c r="BZ47" s="527"/>
      <c r="CA47" s="527"/>
      <c r="CB47" s="527"/>
    </row>
    <row r="48" spans="2:80" ht="18.95" customHeight="1">
      <c r="B48" s="316">
        <v>14</v>
      </c>
      <c r="C48" s="310" t="s">
        <v>21</v>
      </c>
      <c r="D48" s="343">
        <v>8</v>
      </c>
      <c r="E48" s="343">
        <v>25</v>
      </c>
      <c r="F48" s="343">
        <v>8</v>
      </c>
      <c r="G48" s="343">
        <v>25</v>
      </c>
      <c r="H48" s="310">
        <v>8</v>
      </c>
      <c r="I48" s="605">
        <v>125</v>
      </c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271"/>
      <c r="AG48" s="271"/>
      <c r="AH48" s="271"/>
      <c r="AJ48" s="273"/>
      <c r="AK48" s="344">
        <v>30</v>
      </c>
      <c r="AL48" s="344" t="s">
        <v>641</v>
      </c>
      <c r="AM48" s="344"/>
      <c r="AN48" s="344"/>
      <c r="AO48" s="344"/>
      <c r="AP48" s="344"/>
      <c r="AQ48" s="344"/>
      <c r="AR48" s="344"/>
      <c r="AS48" s="344"/>
      <c r="AT48" s="350"/>
      <c r="AU48" s="350"/>
      <c r="AV48" s="344"/>
      <c r="AW48" s="943"/>
      <c r="AX48" s="946"/>
      <c r="AY48" s="273"/>
      <c r="AZ48" s="273"/>
      <c r="BA48" s="950"/>
      <c r="BB48" s="950"/>
      <c r="BC48" s="273"/>
      <c r="BD48" s="273"/>
      <c r="BE48" s="364"/>
      <c r="BG48" s="527"/>
      <c r="BH48" s="527"/>
      <c r="BI48" s="527"/>
      <c r="BJ48" s="527"/>
      <c r="BK48" s="527"/>
      <c r="BL48" s="527"/>
      <c r="BM48" s="527"/>
      <c r="BN48" s="527"/>
      <c r="BO48" s="527"/>
      <c r="BP48" s="527"/>
      <c r="BQ48" s="527"/>
      <c r="BR48" s="527"/>
      <c r="BS48" s="527"/>
      <c r="BT48" s="527"/>
      <c r="BU48" s="527"/>
      <c r="BV48" s="527"/>
      <c r="BW48" s="527"/>
      <c r="BX48" s="527"/>
      <c r="BY48" s="527"/>
      <c r="BZ48" s="527"/>
      <c r="CA48" s="527"/>
      <c r="CB48" s="527"/>
    </row>
    <row r="49" spans="2:80" ht="18.95" customHeight="1">
      <c r="B49" s="316">
        <v>15</v>
      </c>
      <c r="C49" s="310" t="s">
        <v>22</v>
      </c>
      <c r="D49" s="343">
        <v>9</v>
      </c>
      <c r="E49" s="343">
        <v>25</v>
      </c>
      <c r="F49" s="343">
        <v>7</v>
      </c>
      <c r="G49" s="343">
        <v>32</v>
      </c>
      <c r="H49" s="310">
        <v>8</v>
      </c>
      <c r="I49" s="605">
        <v>125</v>
      </c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J49" s="273"/>
      <c r="AK49" s="344">
        <v>31</v>
      </c>
      <c r="AL49" s="344" t="s">
        <v>642</v>
      </c>
      <c r="AM49" s="344"/>
      <c r="AN49" s="344"/>
      <c r="AO49" s="344"/>
      <c r="AP49" s="344"/>
      <c r="AQ49" s="344"/>
      <c r="AR49" s="344"/>
      <c r="AS49" s="344"/>
      <c r="AT49" s="350"/>
      <c r="AU49" s="350"/>
      <c r="AV49" s="344"/>
      <c r="AW49" s="943"/>
      <c r="AX49" s="946"/>
      <c r="AY49" s="273"/>
      <c r="AZ49" s="273"/>
      <c r="BA49" s="950"/>
      <c r="BB49" s="950"/>
      <c r="BC49" s="273"/>
      <c r="BD49" s="273"/>
      <c r="BE49" s="364"/>
      <c r="BG49" s="527"/>
      <c r="BH49" s="527"/>
      <c r="BI49" s="527"/>
      <c r="BJ49" s="527"/>
      <c r="BK49" s="527"/>
      <c r="BL49" s="527"/>
      <c r="BM49" s="527"/>
      <c r="BN49" s="527"/>
      <c r="BO49" s="527"/>
      <c r="BP49" s="527"/>
      <c r="BQ49" s="527"/>
      <c r="BR49" s="527"/>
      <c r="BS49" s="527"/>
      <c r="BT49" s="527"/>
      <c r="BU49" s="527"/>
      <c r="BV49" s="527"/>
      <c r="BW49" s="527"/>
      <c r="BX49" s="527"/>
      <c r="BY49" s="527"/>
      <c r="BZ49" s="527"/>
      <c r="CA49" s="527"/>
      <c r="CB49" s="527"/>
    </row>
    <row r="50" spans="2:80" ht="18.95" customHeight="1">
      <c r="B50" s="316">
        <v>16</v>
      </c>
      <c r="C50" s="310" t="s">
        <v>23</v>
      </c>
      <c r="D50" s="343">
        <v>8</v>
      </c>
      <c r="E50" s="343">
        <v>25</v>
      </c>
      <c r="F50" s="343">
        <v>8</v>
      </c>
      <c r="G50" s="343">
        <v>25</v>
      </c>
      <c r="H50" s="310">
        <v>8</v>
      </c>
      <c r="I50" s="605">
        <v>125</v>
      </c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1"/>
      <c r="AG50" s="271"/>
      <c r="AH50" s="271"/>
      <c r="AJ50" s="273"/>
      <c r="AK50" s="344">
        <v>32</v>
      </c>
      <c r="AL50" s="344" t="s">
        <v>643</v>
      </c>
      <c r="AM50" s="344"/>
      <c r="AN50" s="344"/>
      <c r="AO50" s="344"/>
      <c r="AP50" s="344"/>
      <c r="AQ50" s="344"/>
      <c r="AR50" s="344"/>
      <c r="AS50" s="344"/>
      <c r="AT50" s="350"/>
      <c r="AU50" s="350"/>
      <c r="AV50" s="344"/>
      <c r="AW50" s="943"/>
      <c r="AX50" s="946"/>
      <c r="AY50" s="273"/>
      <c r="AZ50" s="273"/>
      <c r="BA50" s="950"/>
      <c r="BB50" s="950"/>
      <c r="BC50" s="273"/>
      <c r="BD50" s="273"/>
      <c r="BE50" s="364"/>
      <c r="BG50" s="527"/>
      <c r="BH50" s="527"/>
      <c r="BI50" s="527"/>
      <c r="BJ50" s="527"/>
      <c r="BK50" s="527"/>
      <c r="BL50" s="527"/>
      <c r="BM50" s="527"/>
      <c r="BN50" s="527"/>
      <c r="BO50" s="527"/>
      <c r="BP50" s="527"/>
      <c r="BQ50" s="527"/>
      <c r="BR50" s="527"/>
      <c r="BS50" s="527"/>
      <c r="BT50" s="527"/>
      <c r="BU50" s="527"/>
      <c r="BV50" s="527"/>
      <c r="BW50" s="527"/>
      <c r="BX50" s="527"/>
      <c r="BY50" s="527"/>
      <c r="BZ50" s="527"/>
      <c r="CA50" s="527"/>
      <c r="CB50" s="527"/>
    </row>
    <row r="51" spans="2:80" ht="18.95" customHeight="1">
      <c r="B51" s="316">
        <v>17</v>
      </c>
      <c r="C51" s="310" t="s">
        <v>24</v>
      </c>
      <c r="D51" s="343">
        <v>9</v>
      </c>
      <c r="E51" s="343">
        <v>25</v>
      </c>
      <c r="F51" s="343">
        <v>9</v>
      </c>
      <c r="G51" s="343">
        <v>25</v>
      </c>
      <c r="H51" s="310">
        <v>8</v>
      </c>
      <c r="I51" s="605">
        <v>125</v>
      </c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J51" s="273"/>
      <c r="AK51" s="344">
        <v>33</v>
      </c>
      <c r="AL51" s="344" t="s">
        <v>644</v>
      </c>
      <c r="AM51" s="344"/>
      <c r="AN51" s="344"/>
      <c r="AO51" s="344"/>
      <c r="AP51" s="344"/>
      <c r="AQ51" s="344"/>
      <c r="AR51" s="344"/>
      <c r="AS51" s="344"/>
      <c r="AT51" s="350"/>
      <c r="AU51" s="350"/>
      <c r="AV51" s="344"/>
      <c r="AW51" s="943"/>
      <c r="AX51" s="946"/>
      <c r="AY51" s="273"/>
      <c r="AZ51" s="273"/>
      <c r="BA51" s="950"/>
      <c r="BB51" s="950"/>
      <c r="BC51" s="273"/>
      <c r="BD51" s="273"/>
      <c r="BE51" s="364"/>
      <c r="BG51" s="527"/>
      <c r="BH51" s="527"/>
      <c r="BI51" s="527"/>
      <c r="BJ51" s="527"/>
      <c r="BK51" s="527"/>
      <c r="BL51" s="527"/>
      <c r="BM51" s="527"/>
      <c r="BN51" s="527"/>
      <c r="BO51" s="527"/>
      <c r="BP51" s="527"/>
      <c r="BQ51" s="527"/>
      <c r="BR51" s="527"/>
      <c r="BS51" s="527"/>
      <c r="BT51" s="527"/>
      <c r="BU51" s="527"/>
      <c r="BV51" s="527"/>
      <c r="BW51" s="527"/>
      <c r="BX51" s="527"/>
      <c r="BY51" s="527"/>
      <c r="BZ51" s="527"/>
      <c r="CA51" s="527"/>
      <c r="CB51" s="527"/>
    </row>
    <row r="52" spans="2:80" ht="18.95" customHeight="1">
      <c r="B52" s="316">
        <v>18</v>
      </c>
      <c r="C52" s="310" t="s">
        <v>465</v>
      </c>
      <c r="D52" s="343">
        <v>10</v>
      </c>
      <c r="E52" s="343">
        <v>25</v>
      </c>
      <c r="F52" s="343">
        <v>8</v>
      </c>
      <c r="G52" s="343">
        <v>32</v>
      </c>
      <c r="H52" s="310">
        <v>8</v>
      </c>
      <c r="I52" s="605">
        <v>125</v>
      </c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71"/>
      <c r="AD52" s="271"/>
      <c r="AE52" s="271"/>
      <c r="AF52" s="271"/>
      <c r="AG52" s="271"/>
      <c r="AH52" s="271"/>
      <c r="AJ52" s="273"/>
      <c r="AK52" s="344">
        <v>34</v>
      </c>
      <c r="AL52" s="344" t="s">
        <v>645</v>
      </c>
      <c r="AM52" s="344"/>
      <c r="AN52" s="344"/>
      <c r="AO52" s="344"/>
      <c r="AP52" s="344"/>
      <c r="AQ52" s="344"/>
      <c r="AR52" s="344"/>
      <c r="AS52" s="344"/>
      <c r="AT52" s="350"/>
      <c r="AU52" s="350"/>
      <c r="AV52" s="344"/>
      <c r="AW52" s="943"/>
      <c r="AX52" s="946"/>
      <c r="AY52" s="273"/>
      <c r="AZ52" s="273"/>
      <c r="BA52" s="950"/>
      <c r="BB52" s="950"/>
      <c r="BC52" s="273"/>
      <c r="BD52" s="273"/>
      <c r="BE52" s="364"/>
      <c r="BG52" s="527"/>
      <c r="BH52" s="527"/>
      <c r="BI52" s="527"/>
      <c r="BJ52" s="527"/>
      <c r="BK52" s="527"/>
      <c r="BL52" s="527"/>
      <c r="BM52" s="527"/>
      <c r="BN52" s="527"/>
      <c r="BO52" s="527"/>
      <c r="BP52" s="527"/>
      <c r="BQ52" s="527"/>
      <c r="BR52" s="527"/>
      <c r="BS52" s="527"/>
      <c r="BT52" s="527"/>
      <c r="BU52" s="527"/>
      <c r="BV52" s="527"/>
      <c r="BW52" s="527"/>
      <c r="BX52" s="527"/>
      <c r="BY52" s="527"/>
      <c r="BZ52" s="527"/>
      <c r="CA52" s="527"/>
      <c r="CB52" s="527"/>
    </row>
    <row r="53" spans="2:80" ht="18.95" customHeight="1"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1"/>
      <c r="AD53" s="271"/>
      <c r="AE53" s="271"/>
      <c r="AF53" s="271"/>
      <c r="AG53" s="271"/>
      <c r="AH53" s="271"/>
      <c r="AJ53" s="273"/>
      <c r="AK53" s="273"/>
      <c r="AL53" s="273"/>
      <c r="AM53" s="273"/>
      <c r="AN53" s="273"/>
      <c r="AO53" s="273"/>
      <c r="AP53" s="273"/>
      <c r="AQ53" s="273"/>
      <c r="AR53" s="273"/>
      <c r="AS53" s="273"/>
      <c r="AT53" s="273"/>
      <c r="AU53" s="273"/>
      <c r="AV53" s="273"/>
      <c r="AW53" s="943"/>
      <c r="AX53" s="946"/>
      <c r="AY53" s="273"/>
      <c r="AZ53" s="273"/>
      <c r="BA53" s="950"/>
      <c r="BB53" s="950"/>
      <c r="BC53" s="273"/>
      <c r="BD53" s="273"/>
      <c r="BE53" s="364"/>
      <c r="BG53" s="527"/>
      <c r="BH53" s="527"/>
      <c r="BI53" s="527"/>
      <c r="BJ53" s="527"/>
      <c r="BK53" s="527"/>
      <c r="BL53" s="527"/>
      <c r="BM53" s="527"/>
      <c r="BN53" s="527"/>
      <c r="BO53" s="527"/>
      <c r="BP53" s="527"/>
      <c r="BQ53" s="527"/>
      <c r="BR53" s="527"/>
      <c r="BS53" s="527"/>
      <c r="BT53" s="527"/>
      <c r="BU53" s="527"/>
      <c r="BV53" s="527"/>
      <c r="BW53" s="527"/>
      <c r="BX53" s="527"/>
      <c r="BY53" s="527"/>
      <c r="BZ53" s="527"/>
      <c r="CA53" s="527"/>
      <c r="CB53" s="527"/>
    </row>
    <row r="54" spans="2:80" ht="18.95" customHeight="1"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  <c r="AA54" s="271"/>
      <c r="AB54" s="271"/>
      <c r="AC54" s="271"/>
      <c r="AD54" s="271"/>
      <c r="AE54" s="271"/>
      <c r="AF54" s="271"/>
      <c r="AG54" s="271"/>
      <c r="AH54" s="271"/>
      <c r="AJ54" s="273"/>
      <c r="AK54" s="273"/>
      <c r="AL54" s="273"/>
      <c r="AM54" s="273"/>
      <c r="AN54" s="273"/>
      <c r="AO54" s="273"/>
      <c r="AP54" s="273"/>
      <c r="AQ54" s="273"/>
      <c r="AR54" s="273"/>
      <c r="AS54" s="273"/>
      <c r="AT54" s="273"/>
      <c r="AU54" s="273"/>
      <c r="AV54" s="273"/>
      <c r="AW54" s="943"/>
      <c r="AX54" s="946"/>
      <c r="AY54" s="273"/>
      <c r="AZ54" s="273"/>
      <c r="BA54" s="950"/>
      <c r="BB54" s="950"/>
      <c r="BC54" s="273"/>
      <c r="BD54" s="273"/>
      <c r="BE54" s="364"/>
      <c r="BG54" s="527"/>
      <c r="BH54" s="527"/>
      <c r="BI54" s="527"/>
      <c r="BJ54" s="527"/>
      <c r="BK54" s="527"/>
      <c r="BL54" s="527"/>
      <c r="BM54" s="527"/>
      <c r="BN54" s="527"/>
      <c r="BO54" s="527"/>
      <c r="BP54" s="527"/>
      <c r="BQ54" s="527"/>
      <c r="BR54" s="527"/>
      <c r="BS54" s="527"/>
      <c r="BT54" s="527"/>
      <c r="BU54" s="527"/>
      <c r="BV54" s="527"/>
      <c r="BW54" s="527"/>
      <c r="BX54" s="527"/>
      <c r="BY54" s="527"/>
      <c r="BZ54" s="527"/>
      <c r="CA54" s="527"/>
      <c r="CB54" s="527"/>
    </row>
    <row r="55" spans="2:80" ht="18.95" customHeight="1">
      <c r="B55" s="1066" t="s">
        <v>560</v>
      </c>
      <c r="C55" s="1066"/>
      <c r="D55" s="1066"/>
      <c r="E55" s="1066"/>
      <c r="F55" s="1066"/>
      <c r="G55" s="1066"/>
      <c r="H55" s="1066"/>
      <c r="I55" s="1066"/>
      <c r="J55" s="1066"/>
      <c r="O55" s="271"/>
      <c r="P55" s="271"/>
      <c r="Q55" s="271"/>
      <c r="R55" s="271"/>
      <c r="S55" s="271"/>
      <c r="T55" s="271"/>
      <c r="U55" s="271"/>
      <c r="V55" s="271"/>
      <c r="W55" s="271"/>
      <c r="X55" s="271"/>
      <c r="Y55" s="271"/>
      <c r="Z55" s="271"/>
      <c r="AA55" s="271"/>
      <c r="AB55" s="271"/>
      <c r="AC55" s="271"/>
      <c r="AD55" s="271"/>
      <c r="AE55" s="271"/>
      <c r="AF55" s="271"/>
      <c r="AG55" s="271"/>
      <c r="AH55" s="271"/>
      <c r="AJ55" s="273"/>
      <c r="AK55" s="273"/>
      <c r="AL55" s="273"/>
      <c r="AM55" s="273"/>
      <c r="AN55" s="273"/>
      <c r="AO55" s="273"/>
      <c r="AP55" s="273"/>
      <c r="AQ55" s="273"/>
      <c r="AR55" s="273"/>
      <c r="AS55" s="273"/>
      <c r="AT55" s="273"/>
      <c r="AU55" s="273"/>
      <c r="AV55" s="273"/>
      <c r="AW55" s="943"/>
      <c r="AX55" s="946"/>
      <c r="AY55" s="273"/>
      <c r="AZ55" s="273"/>
      <c r="BA55" s="950"/>
      <c r="BB55" s="950"/>
      <c r="BC55" s="273"/>
      <c r="BD55" s="273"/>
      <c r="BE55" s="364"/>
      <c r="BG55" s="527"/>
      <c r="BH55" s="527"/>
      <c r="BI55" s="527"/>
      <c r="BJ55" s="527"/>
      <c r="BK55" s="527"/>
      <c r="BL55" s="527"/>
      <c r="BM55" s="527"/>
      <c r="BN55" s="527"/>
      <c r="BO55" s="527"/>
      <c r="BP55" s="527"/>
      <c r="BQ55" s="527"/>
      <c r="BR55" s="527"/>
      <c r="BS55" s="527"/>
      <c r="BT55" s="527"/>
      <c r="BU55" s="527"/>
      <c r="BV55" s="527"/>
      <c r="BW55" s="527"/>
      <c r="BX55" s="527"/>
      <c r="BY55" s="527"/>
      <c r="BZ55" s="527"/>
      <c r="CA55" s="527"/>
      <c r="CB55" s="527"/>
    </row>
    <row r="56" spans="2:80" ht="18.95" customHeight="1">
      <c r="C56" s="6"/>
      <c r="D56" s="9"/>
      <c r="E56" s="9"/>
      <c r="F56" s="9"/>
      <c r="G56" s="9"/>
      <c r="H56" s="9"/>
      <c r="I56" s="9"/>
      <c r="O56" s="271"/>
      <c r="P56" s="1059" t="s">
        <v>528</v>
      </c>
      <c r="Q56" s="1059"/>
      <c r="R56" s="1059"/>
      <c r="S56" s="1059"/>
      <c r="T56" s="1059"/>
      <c r="U56" s="1059"/>
      <c r="V56" s="1059"/>
      <c r="W56" s="1059"/>
      <c r="X56" s="1059"/>
      <c r="Y56" s="1059"/>
      <c r="Z56" s="1059"/>
      <c r="AA56" s="1059"/>
      <c r="AB56" s="1059"/>
      <c r="AC56" s="1059"/>
      <c r="AD56" s="1059"/>
      <c r="AE56" s="1059"/>
      <c r="AF56" s="1059"/>
      <c r="AG56" s="1059"/>
      <c r="AH56" s="271"/>
      <c r="AJ56" s="273"/>
      <c r="AK56" s="273"/>
      <c r="AL56" s="273"/>
      <c r="AM56" s="273"/>
      <c r="AN56" s="273"/>
      <c r="AO56" s="273"/>
      <c r="AP56" s="273"/>
      <c r="AQ56" s="273"/>
      <c r="AR56" s="273"/>
      <c r="AS56" s="273"/>
      <c r="AT56" s="273"/>
      <c r="AU56" s="273"/>
      <c r="AV56" s="273"/>
      <c r="AW56" s="943"/>
      <c r="AX56" s="946"/>
      <c r="AY56" s="273"/>
      <c r="AZ56" s="273"/>
      <c r="BA56" s="950"/>
      <c r="BB56" s="950"/>
      <c r="BC56" s="273"/>
      <c r="BD56" s="273"/>
      <c r="BE56" s="364"/>
      <c r="BG56" s="527"/>
      <c r="BH56" s="527"/>
      <c r="BI56" s="527"/>
      <c r="BJ56" s="527"/>
      <c r="BK56" s="527"/>
      <c r="BL56" s="527"/>
      <c r="BM56" s="527"/>
      <c r="BN56" s="527"/>
      <c r="BO56" s="527"/>
      <c r="BP56" s="527"/>
      <c r="BQ56" s="527"/>
      <c r="BR56" s="527"/>
      <c r="BS56" s="527"/>
      <c r="BT56" s="527"/>
      <c r="BU56" s="527"/>
      <c r="BV56" s="527"/>
      <c r="BW56" s="527"/>
      <c r="BX56" s="527"/>
      <c r="BY56" s="527"/>
      <c r="BZ56" s="527"/>
      <c r="CA56" s="527"/>
      <c r="CB56" s="527"/>
    </row>
    <row r="57" spans="2:80" ht="18.95" customHeight="1">
      <c r="B57" s="347" t="s">
        <v>605</v>
      </c>
      <c r="C57" s="309" t="s">
        <v>7</v>
      </c>
      <c r="D57" s="1079" t="s">
        <v>30</v>
      </c>
      <c r="E57" s="1079"/>
      <c r="F57" s="1079"/>
      <c r="G57" s="1079"/>
      <c r="H57" s="1079"/>
      <c r="O57" s="271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1"/>
      <c r="AA57" s="271"/>
      <c r="AB57" s="271"/>
      <c r="AC57" s="271"/>
      <c r="AD57" s="271"/>
      <c r="AE57" s="271"/>
      <c r="AF57" s="271"/>
      <c r="AG57" s="271"/>
      <c r="AH57" s="271"/>
      <c r="AJ57" s="273"/>
      <c r="AK57" s="273"/>
      <c r="AL57" s="273"/>
      <c r="AM57" s="273"/>
      <c r="AN57" s="273"/>
      <c r="AO57" s="273"/>
      <c r="AP57" s="273"/>
      <c r="AQ57" s="273"/>
      <c r="AR57" s="273"/>
      <c r="AS57" s="273"/>
      <c r="AT57" s="273"/>
      <c r="AU57" s="273"/>
      <c r="AV57" s="273"/>
      <c r="AW57" s="943"/>
      <c r="AX57" s="946"/>
      <c r="AY57" s="273"/>
      <c r="AZ57" s="273"/>
      <c r="BA57" s="950"/>
      <c r="BB57" s="950"/>
      <c r="BC57" s="273"/>
      <c r="BD57" s="273"/>
      <c r="BE57" s="364"/>
      <c r="BG57" s="527"/>
      <c r="BH57" s="527"/>
      <c r="BI57" s="527"/>
      <c r="BJ57" s="527"/>
      <c r="BK57" s="527"/>
      <c r="BL57" s="527"/>
      <c r="BM57" s="527"/>
      <c r="BN57" s="527"/>
      <c r="BO57" s="527"/>
      <c r="BP57" s="527"/>
      <c r="BQ57" s="527"/>
      <c r="BR57" s="527"/>
      <c r="BS57" s="527"/>
      <c r="BT57" s="527"/>
      <c r="BU57" s="527"/>
      <c r="BV57" s="527"/>
      <c r="BW57" s="527"/>
      <c r="BX57" s="527"/>
      <c r="BY57" s="527"/>
      <c r="BZ57" s="527"/>
      <c r="CA57" s="527"/>
      <c r="CB57" s="527"/>
    </row>
    <row r="58" spans="2:80" ht="18.95" customHeight="1">
      <c r="B58" s="348">
        <v>1</v>
      </c>
      <c r="C58" s="1075" t="s">
        <v>10</v>
      </c>
      <c r="D58" s="1076" t="s">
        <v>31</v>
      </c>
      <c r="E58" s="1077"/>
      <c r="F58" s="1076" t="s">
        <v>32</v>
      </c>
      <c r="G58" s="1078"/>
      <c r="H58" s="1077"/>
      <c r="O58" s="271"/>
      <c r="P58" s="287" t="s">
        <v>529</v>
      </c>
      <c r="Q58" s="276" t="s">
        <v>475</v>
      </c>
      <c r="R58" s="292">
        <v>1.1499999999999999</v>
      </c>
      <c r="S58" s="271"/>
      <c r="T58" s="271"/>
      <c r="U58" s="271"/>
      <c r="V58" s="271"/>
      <c r="W58" s="271"/>
      <c r="X58" s="271"/>
      <c r="Y58" s="271"/>
      <c r="Z58" s="271"/>
      <c r="AA58" s="271"/>
      <c r="AB58" s="271"/>
      <c r="AC58" s="271"/>
      <c r="AD58" s="271"/>
      <c r="AE58" s="271"/>
      <c r="AF58" s="271"/>
      <c r="AG58" s="271"/>
      <c r="AH58" s="271"/>
      <c r="AJ58" s="273"/>
      <c r="AK58" s="273"/>
      <c r="AL58" s="273"/>
      <c r="AM58" s="273"/>
      <c r="AN58" s="273"/>
      <c r="AO58" s="273"/>
      <c r="AP58" s="273"/>
      <c r="AQ58" s="273"/>
      <c r="AR58" s="273"/>
      <c r="AS58" s="273"/>
      <c r="AT58" s="273"/>
      <c r="AU58" s="273"/>
      <c r="AV58" s="273"/>
      <c r="AW58" s="943"/>
      <c r="AX58" s="946"/>
      <c r="AY58" s="273"/>
      <c r="AZ58" s="273"/>
      <c r="BA58" s="950"/>
      <c r="BB58" s="950"/>
      <c r="BC58" s="273"/>
      <c r="BD58" s="273"/>
      <c r="BE58" s="364"/>
      <c r="BG58" s="527"/>
      <c r="BH58" s="527"/>
      <c r="BI58" s="527"/>
      <c r="BJ58" s="527"/>
      <c r="BK58" s="527"/>
      <c r="BL58" s="527"/>
      <c r="BM58" s="527"/>
      <c r="BN58" s="527"/>
      <c r="BO58" s="527"/>
      <c r="BP58" s="527"/>
      <c r="BQ58" s="527"/>
      <c r="BR58" s="527"/>
      <c r="BS58" s="527"/>
      <c r="BT58" s="527"/>
      <c r="BU58" s="527"/>
      <c r="BV58" s="527"/>
      <c r="BW58" s="527"/>
      <c r="BX58" s="527"/>
      <c r="BY58" s="527"/>
      <c r="BZ58" s="527"/>
      <c r="CA58" s="527"/>
      <c r="CB58" s="527"/>
    </row>
    <row r="59" spans="2:80" ht="18.95" customHeight="1">
      <c r="B59" s="345" t="s">
        <v>606</v>
      </c>
      <c r="C59" s="1075"/>
      <c r="D59" s="342" t="s">
        <v>33</v>
      </c>
      <c r="E59" s="342" t="s">
        <v>34</v>
      </c>
      <c r="F59" s="342" t="s">
        <v>35</v>
      </c>
      <c r="G59" s="342" t="s">
        <v>36</v>
      </c>
      <c r="H59" s="315" t="s">
        <v>37</v>
      </c>
      <c r="O59" s="271"/>
      <c r="P59" s="289" t="s">
        <v>517</v>
      </c>
      <c r="Q59" s="278" t="s">
        <v>478</v>
      </c>
      <c r="R59" s="278">
        <v>7.85</v>
      </c>
      <c r="S59" s="271"/>
      <c r="T59" s="271"/>
      <c r="U59" s="271"/>
      <c r="V59" s="271"/>
      <c r="W59" s="271"/>
      <c r="X59" s="271"/>
      <c r="Y59" s="271"/>
      <c r="Z59" s="271"/>
      <c r="AA59" s="271"/>
      <c r="AB59" s="271"/>
      <c r="AC59" s="271"/>
      <c r="AD59" s="271"/>
      <c r="AE59" s="271"/>
      <c r="AF59" s="271"/>
      <c r="AG59" s="271"/>
      <c r="AH59" s="271"/>
      <c r="AJ59" s="273"/>
      <c r="AK59" s="273"/>
      <c r="AL59" s="273"/>
      <c r="AM59" s="273"/>
      <c r="AN59" s="273"/>
      <c r="AO59" s="273"/>
      <c r="AP59" s="273"/>
      <c r="AQ59" s="273"/>
      <c r="AR59" s="273"/>
      <c r="AS59" s="273"/>
      <c r="AT59" s="273"/>
      <c r="AU59" s="273"/>
      <c r="AV59" s="273"/>
      <c r="AW59" s="943"/>
      <c r="AX59" s="946"/>
      <c r="AY59" s="273"/>
      <c r="AZ59" s="273"/>
      <c r="BA59" s="950"/>
      <c r="BB59" s="950"/>
      <c r="BC59" s="273"/>
      <c r="BD59" s="273"/>
      <c r="BE59" s="364"/>
      <c r="BG59" s="527"/>
      <c r="BH59" s="527"/>
      <c r="BI59" s="527"/>
      <c r="BJ59" s="527"/>
      <c r="BK59" s="527"/>
      <c r="BL59" s="527"/>
      <c r="BM59" s="527"/>
      <c r="BN59" s="527"/>
      <c r="BO59" s="527"/>
      <c r="BP59" s="527"/>
      <c r="BQ59" s="527"/>
      <c r="BR59" s="527"/>
      <c r="BS59" s="527"/>
      <c r="BT59" s="527"/>
      <c r="BU59" s="527"/>
      <c r="BV59" s="527"/>
      <c r="BW59" s="527"/>
      <c r="BX59" s="527"/>
      <c r="BY59" s="527"/>
      <c r="BZ59" s="527"/>
      <c r="CA59" s="527"/>
      <c r="CB59" s="527"/>
    </row>
    <row r="60" spans="2:80" ht="18.95" customHeight="1">
      <c r="B60" s="316">
        <v>1</v>
      </c>
      <c r="C60" s="310" t="s">
        <v>230</v>
      </c>
      <c r="D60" s="343">
        <v>160</v>
      </c>
      <c r="E60" s="343">
        <v>8</v>
      </c>
      <c r="F60" s="343">
        <v>456</v>
      </c>
      <c r="G60" s="343">
        <v>120</v>
      </c>
      <c r="H60" s="310">
        <v>12</v>
      </c>
      <c r="O60" s="271"/>
      <c r="P60" s="289" t="s">
        <v>530</v>
      </c>
      <c r="Q60" s="278" t="s">
        <v>519</v>
      </c>
      <c r="R60" s="278">
        <v>200</v>
      </c>
      <c r="S60" s="271"/>
      <c r="T60" s="271"/>
      <c r="U60" s="271"/>
      <c r="V60" s="271"/>
      <c r="W60" s="271"/>
      <c r="X60" s="271"/>
      <c r="Y60" s="271"/>
      <c r="Z60" s="271"/>
      <c r="AA60" s="271"/>
      <c r="AB60" s="271"/>
      <c r="AC60" s="271"/>
      <c r="AD60" s="271"/>
      <c r="AE60" s="271"/>
      <c r="AF60" s="271"/>
      <c r="AG60" s="271"/>
      <c r="AH60" s="271"/>
      <c r="AJ60" s="273"/>
      <c r="AK60" s="273"/>
      <c r="AL60" s="273"/>
      <c r="AM60" s="273"/>
      <c r="AN60" s="273"/>
      <c r="AO60" s="273"/>
      <c r="AP60" s="273"/>
      <c r="AQ60" s="273"/>
      <c r="AR60" s="273"/>
      <c r="AS60" s="273"/>
      <c r="AT60" s="273"/>
      <c r="AU60" s="273"/>
      <c r="AV60" s="273"/>
      <c r="AW60" s="943"/>
      <c r="AX60" s="946"/>
      <c r="AY60" s="273"/>
      <c r="AZ60" s="273"/>
      <c r="BA60" s="950"/>
      <c r="BB60" s="950"/>
      <c r="BC60" s="273"/>
      <c r="BD60" s="273"/>
      <c r="BE60" s="364"/>
      <c r="BG60" s="527"/>
      <c r="BH60" s="527"/>
      <c r="BI60" s="527"/>
      <c r="BJ60" s="527"/>
      <c r="BK60" s="527"/>
      <c r="BL60" s="527"/>
      <c r="BM60" s="527"/>
      <c r="BN60" s="527"/>
      <c r="BO60" s="527"/>
      <c r="BP60" s="527"/>
      <c r="BQ60" s="527"/>
      <c r="BR60" s="527"/>
      <c r="BS60" s="527"/>
      <c r="BT60" s="527"/>
      <c r="BU60" s="527"/>
      <c r="BV60" s="527"/>
      <c r="BW60" s="527"/>
      <c r="BX60" s="527"/>
      <c r="BY60" s="527"/>
      <c r="BZ60" s="527"/>
      <c r="CA60" s="527"/>
      <c r="CB60" s="527"/>
    </row>
    <row r="61" spans="2:80" ht="18.95" customHeight="1">
      <c r="B61" s="316">
        <v>2</v>
      </c>
      <c r="C61" s="310" t="s">
        <v>11</v>
      </c>
      <c r="D61" s="343">
        <v>160</v>
      </c>
      <c r="E61" s="343">
        <v>8</v>
      </c>
      <c r="F61" s="343">
        <v>506</v>
      </c>
      <c r="G61" s="343">
        <v>120</v>
      </c>
      <c r="H61" s="310">
        <v>12</v>
      </c>
      <c r="O61" s="271"/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1"/>
      <c r="AD61" s="271"/>
      <c r="AE61" s="271"/>
      <c r="AF61" s="271"/>
      <c r="AG61" s="271"/>
      <c r="AH61" s="271"/>
      <c r="AJ61" s="273"/>
      <c r="AK61" s="273"/>
      <c r="AL61" s="273"/>
      <c r="AM61" s="273"/>
      <c r="AN61" s="273"/>
      <c r="AO61" s="273"/>
      <c r="AP61" s="273"/>
      <c r="AQ61" s="273"/>
      <c r="AR61" s="273"/>
      <c r="AS61" s="273"/>
      <c r="AT61" s="273"/>
      <c r="AU61" s="273"/>
      <c r="AV61" s="273"/>
      <c r="AW61" s="943"/>
      <c r="AX61" s="946"/>
      <c r="AY61" s="273"/>
      <c r="AZ61" s="273"/>
      <c r="BA61" s="950"/>
      <c r="BB61" s="950"/>
      <c r="BC61" s="273"/>
      <c r="BD61" s="273"/>
      <c r="BE61" s="364"/>
      <c r="BG61" s="527"/>
      <c r="BH61" s="527"/>
      <c r="BI61" s="527"/>
      <c r="BJ61" s="527"/>
      <c r="BK61" s="527"/>
      <c r="BL61" s="527"/>
      <c r="BM61" s="527"/>
      <c r="BN61" s="527"/>
      <c r="BO61" s="527"/>
      <c r="BP61" s="527"/>
      <c r="BQ61" s="527"/>
      <c r="BR61" s="527"/>
      <c r="BS61" s="527"/>
      <c r="BT61" s="527"/>
      <c r="BU61" s="527"/>
      <c r="BV61" s="527"/>
      <c r="BW61" s="527"/>
      <c r="BX61" s="527"/>
      <c r="BY61" s="527"/>
      <c r="BZ61" s="527"/>
      <c r="CA61" s="527"/>
      <c r="CB61" s="527"/>
    </row>
    <row r="62" spans="2:80" ht="18.95" customHeight="1">
      <c r="B62" s="316">
        <v>3</v>
      </c>
      <c r="C62" s="310" t="s">
        <v>12</v>
      </c>
      <c r="D62" s="343">
        <v>160</v>
      </c>
      <c r="E62" s="343">
        <v>8</v>
      </c>
      <c r="F62" s="343">
        <v>556</v>
      </c>
      <c r="G62" s="343">
        <v>120</v>
      </c>
      <c r="H62" s="310">
        <v>12</v>
      </c>
      <c r="O62" s="271"/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J62" s="273"/>
      <c r="AK62" s="1059" t="s">
        <v>558</v>
      </c>
      <c r="AL62" s="1059"/>
      <c r="AM62" s="1059"/>
      <c r="AN62" s="1059"/>
      <c r="AO62" s="1059"/>
      <c r="AP62" s="1059"/>
      <c r="AQ62" s="1059"/>
      <c r="AR62" s="1059"/>
      <c r="AS62" s="1059"/>
      <c r="AT62" s="1059"/>
      <c r="AU62" s="1059"/>
      <c r="AV62" s="1059"/>
      <c r="AW62" s="1059"/>
      <c r="AX62" s="1059"/>
      <c r="AY62" s="1059"/>
      <c r="AZ62" s="1059"/>
      <c r="BA62" s="1059"/>
      <c r="BB62" s="1059"/>
      <c r="BC62" s="1059"/>
      <c r="BD62" s="1059"/>
      <c r="BE62" s="364"/>
      <c r="BG62" s="527"/>
      <c r="BH62" s="527"/>
      <c r="BI62" s="527"/>
      <c r="BJ62" s="527"/>
      <c r="BK62" s="527"/>
      <c r="BL62" s="527"/>
      <c r="BM62" s="527"/>
      <c r="BN62" s="527"/>
      <c r="BO62" s="527"/>
      <c r="BP62" s="527"/>
      <c r="BQ62" s="527"/>
      <c r="BR62" s="527"/>
      <c r="BS62" s="527"/>
      <c r="BT62" s="527"/>
      <c r="BU62" s="527"/>
      <c r="BV62" s="527"/>
      <c r="BW62" s="527"/>
      <c r="BX62" s="527"/>
      <c r="BY62" s="527"/>
      <c r="BZ62" s="527"/>
      <c r="CA62" s="527"/>
      <c r="CB62" s="527"/>
    </row>
    <row r="63" spans="2:80" ht="18.95" customHeight="1">
      <c r="B63" s="316">
        <v>4</v>
      </c>
      <c r="C63" s="310" t="s">
        <v>13</v>
      </c>
      <c r="D63" s="343">
        <v>205</v>
      </c>
      <c r="E63" s="343">
        <v>8</v>
      </c>
      <c r="F63" s="343">
        <v>596</v>
      </c>
      <c r="G63" s="343">
        <v>140</v>
      </c>
      <c r="H63" s="310">
        <v>12</v>
      </c>
      <c r="O63" s="271"/>
      <c r="P63" s="271"/>
      <c r="Q63" s="278" t="s">
        <v>531</v>
      </c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J63" s="273"/>
      <c r="AK63" s="273"/>
      <c r="AL63" s="273"/>
      <c r="AM63" s="273"/>
      <c r="AN63" s="273"/>
      <c r="AO63" s="273"/>
      <c r="AP63" s="273"/>
      <c r="AQ63" s="273"/>
      <c r="AR63" s="273"/>
      <c r="AS63" s="273"/>
      <c r="AT63" s="273"/>
      <c r="AU63" s="273"/>
      <c r="AV63" s="273"/>
      <c r="AW63" s="943"/>
      <c r="AX63" s="946"/>
      <c r="AY63" s="273"/>
      <c r="AZ63" s="273"/>
      <c r="BA63" s="950"/>
      <c r="BB63" s="950"/>
      <c r="BC63" s="273"/>
      <c r="BD63" s="273"/>
      <c r="BE63" s="364"/>
      <c r="BG63" s="527"/>
      <c r="BH63" s="527"/>
      <c r="BI63" s="527"/>
      <c r="BJ63" s="527"/>
      <c r="BK63" s="527"/>
      <c r="BL63" s="527"/>
      <c r="BM63" s="527"/>
      <c r="BN63" s="527"/>
      <c r="BO63" s="527"/>
      <c r="BP63" s="527"/>
      <c r="BQ63" s="527"/>
      <c r="BR63" s="527"/>
      <c r="BS63" s="527"/>
      <c r="BT63" s="527"/>
      <c r="BU63" s="527"/>
      <c r="BV63" s="527"/>
      <c r="BW63" s="527"/>
      <c r="BX63" s="527"/>
      <c r="BY63" s="527"/>
      <c r="BZ63" s="527"/>
      <c r="CA63" s="527"/>
      <c r="CB63" s="527"/>
    </row>
    <row r="64" spans="2:80" ht="18.95" customHeight="1">
      <c r="B64" s="316">
        <v>5</v>
      </c>
      <c r="C64" s="310" t="s">
        <v>14</v>
      </c>
      <c r="D64" s="343">
        <v>205</v>
      </c>
      <c r="E64" s="343">
        <v>8</v>
      </c>
      <c r="F64" s="343">
        <v>646</v>
      </c>
      <c r="G64" s="343">
        <v>140</v>
      </c>
      <c r="H64" s="310">
        <v>12</v>
      </c>
      <c r="O64" s="271"/>
      <c r="P64" s="279" t="s">
        <v>66</v>
      </c>
      <c r="Q64" s="291">
        <v>500</v>
      </c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71"/>
      <c r="AD64" s="271"/>
      <c r="AE64" s="271"/>
      <c r="AF64" s="271"/>
      <c r="AG64" s="271"/>
      <c r="AH64" s="271"/>
      <c r="AJ64" s="273"/>
      <c r="AK64" s="317" t="s">
        <v>658</v>
      </c>
      <c r="AL64" s="364"/>
      <c r="AM64" s="364"/>
      <c r="AN64" s="273"/>
      <c r="AO64" s="273"/>
      <c r="AP64" s="273"/>
      <c r="AQ64" s="273"/>
      <c r="AR64" s="273"/>
      <c r="AS64" s="273"/>
      <c r="AT64" s="273"/>
      <c r="AU64" s="273"/>
      <c r="AV64" s="273"/>
      <c r="AW64" s="943"/>
      <c r="AX64" s="946"/>
      <c r="AY64" s="273"/>
      <c r="AZ64" s="273"/>
      <c r="BA64" s="950"/>
      <c r="BB64" s="950"/>
      <c r="BC64" s="273"/>
      <c r="BD64" s="273"/>
      <c r="BE64" s="364"/>
      <c r="BG64" s="527"/>
      <c r="BH64" s="527"/>
      <c r="BI64" s="527"/>
      <c r="BJ64" s="527"/>
      <c r="BK64" s="527"/>
      <c r="BL64" s="527"/>
      <c r="BM64" s="527"/>
      <c r="BN64" s="527"/>
      <c r="BO64" s="527"/>
      <c r="BP64" s="527"/>
      <c r="BQ64" s="527"/>
      <c r="BR64" s="527"/>
      <c r="BS64" s="527"/>
      <c r="BT64" s="527"/>
      <c r="BU64" s="527"/>
      <c r="BV64" s="527"/>
      <c r="BW64" s="527"/>
      <c r="BX64" s="527"/>
      <c r="BY64" s="527"/>
      <c r="BZ64" s="527"/>
      <c r="CA64" s="527"/>
      <c r="CB64" s="527"/>
    </row>
    <row r="65" spans="2:80" ht="18.95" customHeight="1">
      <c r="B65" s="316">
        <v>6</v>
      </c>
      <c r="C65" s="310" t="s">
        <v>467</v>
      </c>
      <c r="D65" s="343">
        <v>205</v>
      </c>
      <c r="E65" s="343">
        <v>8</v>
      </c>
      <c r="F65" s="343">
        <v>746</v>
      </c>
      <c r="G65" s="343">
        <v>140</v>
      </c>
      <c r="H65" s="310">
        <v>12</v>
      </c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71"/>
      <c r="AD65" s="271"/>
      <c r="AE65" s="271"/>
      <c r="AF65" s="271"/>
      <c r="AG65" s="271"/>
      <c r="AH65" s="271"/>
      <c r="AJ65" s="273"/>
      <c r="AK65" s="318">
        <v>1</v>
      </c>
      <c r="AL65" s="364"/>
      <c r="AM65" s="364"/>
      <c r="AN65" s="273"/>
      <c r="AO65" s="273"/>
      <c r="AP65" s="273"/>
      <c r="AQ65" s="273"/>
      <c r="AR65" s="273"/>
      <c r="AS65" s="273"/>
      <c r="AT65" s="273"/>
      <c r="AU65" s="273"/>
      <c r="AV65" s="273"/>
      <c r="AW65" s="943"/>
      <c r="AX65" s="946"/>
      <c r="AY65" s="273"/>
      <c r="AZ65" s="273"/>
      <c r="BA65" s="950"/>
      <c r="BB65" s="950"/>
      <c r="BC65" s="273"/>
      <c r="BD65" s="273"/>
      <c r="BE65" s="364"/>
      <c r="BG65" s="527"/>
      <c r="BH65" s="527"/>
      <c r="BI65" s="527"/>
      <c r="BJ65" s="527"/>
      <c r="BK65" s="527"/>
      <c r="BL65" s="527"/>
      <c r="BM65" s="527"/>
      <c r="BN65" s="527"/>
      <c r="BO65" s="527"/>
      <c r="BP65" s="527"/>
      <c r="BQ65" s="527"/>
      <c r="BR65" s="527"/>
      <c r="BS65" s="527"/>
      <c r="BT65" s="527"/>
      <c r="BU65" s="527"/>
      <c r="BV65" s="527"/>
      <c r="BW65" s="527"/>
      <c r="BX65" s="527"/>
      <c r="BY65" s="527"/>
      <c r="BZ65" s="527"/>
      <c r="CA65" s="527"/>
      <c r="CB65" s="527"/>
    </row>
    <row r="66" spans="2:80" ht="18.95" customHeight="1">
      <c r="B66" s="316">
        <v>7</v>
      </c>
      <c r="C66" s="310" t="s">
        <v>15</v>
      </c>
      <c r="D66" s="343">
        <v>255</v>
      </c>
      <c r="E66" s="343">
        <v>8</v>
      </c>
      <c r="F66" s="343">
        <v>706</v>
      </c>
      <c r="G66" s="343">
        <v>170</v>
      </c>
      <c r="H66" s="310">
        <v>12</v>
      </c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J66" s="273"/>
      <c r="AK66" s="364"/>
      <c r="AL66" s="273"/>
      <c r="AM66" s="273"/>
      <c r="AN66" s="273"/>
      <c r="AO66" s="273"/>
      <c r="AP66" s="273"/>
      <c r="AQ66" s="273"/>
      <c r="AR66" s="273"/>
      <c r="AS66" s="273"/>
      <c r="AT66" s="273"/>
      <c r="AU66" s="273"/>
      <c r="AV66" s="273"/>
      <c r="AW66" s="943"/>
      <c r="AX66" s="946"/>
      <c r="AY66" s="273"/>
      <c r="AZ66" s="273"/>
      <c r="BA66" s="950"/>
      <c r="BB66" s="950"/>
      <c r="BC66" s="273"/>
      <c r="BD66" s="273"/>
      <c r="BE66" s="364"/>
      <c r="BG66" s="527"/>
      <c r="BH66" s="527"/>
      <c r="BI66" s="527"/>
      <c r="BJ66" s="527"/>
      <c r="BK66" s="527"/>
      <c r="BL66" s="527"/>
      <c r="BM66" s="527"/>
      <c r="BN66" s="527"/>
      <c r="BO66" s="527"/>
      <c r="BP66" s="527"/>
      <c r="BQ66" s="527"/>
      <c r="BR66" s="527"/>
      <c r="BS66" s="527"/>
      <c r="BT66" s="527"/>
      <c r="BU66" s="527"/>
      <c r="BV66" s="527"/>
      <c r="BW66" s="527"/>
      <c r="BX66" s="527"/>
      <c r="BY66" s="527"/>
      <c r="BZ66" s="527"/>
      <c r="CA66" s="527"/>
      <c r="CB66" s="527"/>
    </row>
    <row r="67" spans="2:80" ht="18.95" customHeight="1">
      <c r="B67" s="316">
        <v>8</v>
      </c>
      <c r="C67" s="310" t="s">
        <v>16</v>
      </c>
      <c r="D67" s="343">
        <v>255</v>
      </c>
      <c r="E67" s="343">
        <v>8</v>
      </c>
      <c r="F67" s="343">
        <v>756</v>
      </c>
      <c r="G67" s="343">
        <v>170</v>
      </c>
      <c r="H67" s="310">
        <v>12</v>
      </c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J67" s="364"/>
      <c r="AK67" s="347" t="s">
        <v>605</v>
      </c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944"/>
      <c r="AX67" s="948"/>
      <c r="AY67" s="364"/>
      <c r="AZ67" s="364"/>
      <c r="BA67" s="951"/>
      <c r="BB67" s="951"/>
      <c r="BC67" s="364"/>
      <c r="BD67" s="364"/>
      <c r="BE67" s="364"/>
      <c r="BG67" s="527"/>
      <c r="BH67" s="527"/>
      <c r="BI67" s="527"/>
      <c r="BJ67" s="527"/>
      <c r="BK67" s="527"/>
      <c r="BL67" s="527"/>
      <c r="BM67" s="527"/>
      <c r="BN67" s="527"/>
      <c r="BO67" s="527"/>
      <c r="BP67" s="527"/>
      <c r="BQ67" s="527"/>
      <c r="BR67" s="527"/>
      <c r="BS67" s="527"/>
      <c r="BT67" s="527"/>
      <c r="BU67" s="527"/>
      <c r="BV67" s="527"/>
      <c r="BW67" s="527"/>
      <c r="BX67" s="527"/>
      <c r="BY67" s="527"/>
      <c r="BZ67" s="527"/>
      <c r="CA67" s="527"/>
      <c r="CB67" s="527"/>
    </row>
    <row r="68" spans="2:80" ht="18.95" customHeight="1">
      <c r="B68" s="316">
        <v>9</v>
      </c>
      <c r="C68" s="310" t="s">
        <v>17</v>
      </c>
      <c r="D68" s="343">
        <v>255</v>
      </c>
      <c r="E68" s="343">
        <v>8</v>
      </c>
      <c r="F68" s="343">
        <v>806</v>
      </c>
      <c r="G68" s="343">
        <v>170</v>
      </c>
      <c r="H68" s="343">
        <v>15</v>
      </c>
      <c r="O68" s="271"/>
      <c r="P68" s="1063" t="s">
        <v>532</v>
      </c>
      <c r="Q68" s="1064"/>
      <c r="R68" s="1064"/>
      <c r="S68" s="1064"/>
      <c r="T68" s="1064"/>
      <c r="U68" s="1064"/>
      <c r="V68" s="1064"/>
      <c r="W68" s="1064"/>
      <c r="X68" s="1064"/>
      <c r="Y68" s="1064"/>
      <c r="Z68" s="1064"/>
      <c r="AA68" s="1064"/>
      <c r="AB68" s="1064"/>
      <c r="AC68" s="1064"/>
      <c r="AD68" s="1064"/>
      <c r="AE68" s="1064"/>
      <c r="AF68" s="1064"/>
      <c r="AG68" s="1065"/>
      <c r="AH68" s="271"/>
      <c r="AJ68" s="364"/>
      <c r="AK68" s="348">
        <v>1</v>
      </c>
      <c r="AL68" s="364"/>
      <c r="AM68" s="364"/>
      <c r="AN68" s="364"/>
      <c r="AO68" s="364"/>
      <c r="AP68" s="364"/>
      <c r="AQ68" s="364"/>
      <c r="AR68" s="364"/>
      <c r="AS68" s="364"/>
      <c r="AT68" s="364"/>
      <c r="AU68" s="364"/>
      <c r="AV68" s="364"/>
      <c r="AW68" s="944"/>
      <c r="AX68" s="948"/>
      <c r="AY68" s="364"/>
      <c r="AZ68" s="364"/>
      <c r="BA68" s="951"/>
      <c r="BB68" s="951"/>
      <c r="BC68" s="364"/>
      <c r="BD68" s="364"/>
      <c r="BE68" s="364"/>
      <c r="BG68" s="527"/>
      <c r="BH68" s="527"/>
      <c r="BI68" s="527"/>
      <c r="BJ68" s="527"/>
      <c r="BK68" s="527"/>
      <c r="BL68" s="527"/>
      <c r="BM68" s="527"/>
      <c r="BN68" s="527"/>
      <c r="BO68" s="527"/>
      <c r="BP68" s="527"/>
      <c r="BQ68" s="527"/>
      <c r="BR68" s="527"/>
      <c r="BS68" s="527"/>
      <c r="BT68" s="527"/>
      <c r="BU68" s="527"/>
      <c r="BV68" s="527"/>
      <c r="BW68" s="527"/>
      <c r="BX68" s="527"/>
      <c r="BY68" s="527"/>
      <c r="BZ68" s="527"/>
      <c r="CA68" s="527"/>
      <c r="CB68" s="527"/>
    </row>
    <row r="69" spans="2:80" ht="18.95" customHeight="1">
      <c r="B69" s="316">
        <v>10</v>
      </c>
      <c r="C69" s="310" t="s">
        <v>18</v>
      </c>
      <c r="D69" s="343">
        <v>300</v>
      </c>
      <c r="E69" s="343">
        <v>8</v>
      </c>
      <c r="F69" s="343">
        <v>756</v>
      </c>
      <c r="G69" s="343">
        <v>170</v>
      </c>
      <c r="H69" s="310">
        <v>15</v>
      </c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  <c r="AC69" s="271"/>
      <c r="AD69" s="271"/>
      <c r="AE69" s="271"/>
      <c r="AF69" s="271"/>
      <c r="AG69" s="271"/>
      <c r="AH69" s="271"/>
      <c r="AJ69" s="364"/>
      <c r="AK69" s="345" t="s">
        <v>606</v>
      </c>
      <c r="AL69" s="364"/>
      <c r="AM69" s="364"/>
      <c r="AN69" s="364"/>
      <c r="AO69" s="364"/>
      <c r="AP69" s="364"/>
      <c r="AQ69" s="364"/>
      <c r="AR69" s="364"/>
      <c r="AS69" s="364"/>
      <c r="AT69" s="364"/>
      <c r="AU69" s="364"/>
      <c r="AV69" s="364"/>
      <c r="AW69" s="944"/>
      <c r="AX69" s="948"/>
      <c r="AY69" s="364"/>
      <c r="AZ69" s="364"/>
      <c r="BA69" s="951"/>
      <c r="BB69" s="951"/>
      <c r="BC69" s="364"/>
      <c r="BD69" s="364"/>
      <c r="BE69" s="364"/>
      <c r="BG69" s="527"/>
      <c r="BH69" s="527"/>
      <c r="BI69" s="527"/>
      <c r="BJ69" s="527"/>
      <c r="BK69" s="527"/>
      <c r="BL69" s="527"/>
      <c r="BM69" s="527"/>
      <c r="BN69" s="527"/>
      <c r="BO69" s="527"/>
      <c r="BP69" s="527"/>
      <c r="BQ69" s="527"/>
      <c r="BR69" s="527"/>
      <c r="BS69" s="527"/>
      <c r="BT69" s="527"/>
      <c r="BU69" s="527"/>
      <c r="BV69" s="527"/>
      <c r="BW69" s="527"/>
      <c r="BX69" s="527"/>
      <c r="BY69" s="527"/>
      <c r="BZ69" s="527"/>
      <c r="CA69" s="527"/>
      <c r="CB69" s="527"/>
    </row>
    <row r="70" spans="2:80" ht="18.95" customHeight="1">
      <c r="B70" s="316">
        <v>11</v>
      </c>
      <c r="C70" s="310" t="s">
        <v>19</v>
      </c>
      <c r="D70" s="343">
        <v>300</v>
      </c>
      <c r="E70" s="343">
        <v>6</v>
      </c>
      <c r="F70" s="343">
        <v>802</v>
      </c>
      <c r="G70" s="343">
        <v>170</v>
      </c>
      <c r="H70" s="310">
        <v>12</v>
      </c>
      <c r="O70" s="271"/>
      <c r="P70" s="287" t="s">
        <v>533</v>
      </c>
      <c r="Q70" s="276" t="s">
        <v>475</v>
      </c>
      <c r="R70" s="292">
        <v>1.25</v>
      </c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1"/>
      <c r="AD70" s="271"/>
      <c r="AE70" s="271"/>
      <c r="AF70" s="271"/>
      <c r="AG70" s="271"/>
      <c r="AH70" s="271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944"/>
      <c r="AX70" s="948"/>
      <c r="AY70" s="364"/>
      <c r="AZ70" s="364"/>
      <c r="BA70" s="951"/>
      <c r="BB70" s="951"/>
      <c r="BC70" s="364"/>
      <c r="BD70" s="364"/>
      <c r="BE70" s="364"/>
      <c r="BG70" s="527"/>
      <c r="BH70" s="527"/>
      <c r="BI70" s="527"/>
      <c r="BJ70" s="527"/>
      <c r="BK70" s="527"/>
      <c r="BL70" s="527"/>
      <c r="BM70" s="527"/>
      <c r="BN70" s="527"/>
      <c r="BO70" s="527"/>
      <c r="BP70" s="527"/>
      <c r="BQ70" s="527"/>
      <c r="BR70" s="527"/>
      <c r="BS70" s="527"/>
      <c r="BT70" s="527"/>
      <c r="BU70" s="527"/>
      <c r="BV70" s="527"/>
      <c r="BW70" s="527"/>
      <c r="BX70" s="527"/>
      <c r="BY70" s="527"/>
      <c r="BZ70" s="527"/>
      <c r="CA70" s="527"/>
      <c r="CB70" s="527"/>
    </row>
    <row r="71" spans="2:80" ht="18.95" customHeight="1">
      <c r="B71" s="316">
        <v>12</v>
      </c>
      <c r="C71" s="310" t="s">
        <v>559</v>
      </c>
      <c r="D71" s="343">
        <v>300</v>
      </c>
      <c r="E71" s="343">
        <v>6</v>
      </c>
      <c r="F71" s="343">
        <v>852</v>
      </c>
      <c r="G71" s="343">
        <v>170</v>
      </c>
      <c r="H71" s="310">
        <v>12</v>
      </c>
      <c r="O71" s="271"/>
      <c r="P71" s="289" t="s">
        <v>534</v>
      </c>
      <c r="Q71" s="278" t="s">
        <v>3</v>
      </c>
      <c r="R71" s="278">
        <v>540</v>
      </c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1"/>
      <c r="AD71" s="271"/>
      <c r="AE71" s="271"/>
      <c r="AF71" s="271"/>
      <c r="AG71" s="271"/>
      <c r="AH71" s="271"/>
      <c r="AJ71" s="364"/>
      <c r="AK71" s="364"/>
      <c r="AL71" s="344" t="s">
        <v>655</v>
      </c>
      <c r="AM71" s="344" t="s">
        <v>656</v>
      </c>
      <c r="AN71" s="344" t="s">
        <v>656</v>
      </c>
      <c r="AO71" s="364"/>
      <c r="AP71" s="364"/>
      <c r="AQ71" s="364"/>
      <c r="AR71" s="364"/>
      <c r="AS71" s="364"/>
      <c r="AT71" s="364"/>
      <c r="AU71" s="364"/>
      <c r="AV71" s="364"/>
      <c r="AW71" s="944"/>
      <c r="AX71" s="948"/>
      <c r="AY71" s="364"/>
      <c r="AZ71" s="364"/>
      <c r="BA71" s="951"/>
      <c r="BB71" s="951"/>
      <c r="BC71" s="364"/>
      <c r="BD71" s="364"/>
      <c r="BE71" s="364"/>
      <c r="BG71" s="527"/>
      <c r="BH71" s="527"/>
      <c r="BI71" s="527"/>
      <c r="BJ71" s="527"/>
      <c r="BK71" s="527"/>
      <c r="BL71" s="527"/>
      <c r="BM71" s="527"/>
      <c r="BN71" s="527"/>
      <c r="BO71" s="527"/>
      <c r="BP71" s="527"/>
      <c r="BQ71" s="527"/>
      <c r="BR71" s="527"/>
      <c r="BS71" s="527"/>
      <c r="BT71" s="527"/>
      <c r="BU71" s="527"/>
      <c r="BV71" s="527"/>
      <c r="BW71" s="527"/>
      <c r="BX71" s="527"/>
      <c r="BY71" s="527"/>
      <c r="BZ71" s="527"/>
      <c r="CA71" s="527"/>
      <c r="CB71" s="527"/>
    </row>
    <row r="72" spans="2:80" ht="18.95" customHeight="1">
      <c r="B72" s="316">
        <v>13</v>
      </c>
      <c r="C72" s="310" t="s">
        <v>20</v>
      </c>
      <c r="D72" s="343">
        <v>300</v>
      </c>
      <c r="E72" s="343">
        <v>10</v>
      </c>
      <c r="F72" s="343">
        <v>760</v>
      </c>
      <c r="G72" s="343">
        <v>170</v>
      </c>
      <c r="H72" s="310">
        <v>15</v>
      </c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  <c r="AC72" s="271"/>
      <c r="AD72" s="271"/>
      <c r="AE72" s="271"/>
      <c r="AF72" s="271"/>
      <c r="AG72" s="271"/>
      <c r="AH72" s="271"/>
      <c r="AJ72" s="364"/>
      <c r="AK72" s="273"/>
      <c r="AL72" s="344" t="s">
        <v>464</v>
      </c>
      <c r="AM72" s="344" t="s">
        <v>657</v>
      </c>
      <c r="AN72" s="344" t="s">
        <v>667</v>
      </c>
      <c r="AO72" s="364"/>
      <c r="AP72" s="364"/>
      <c r="AQ72" s="364"/>
      <c r="AR72" s="364"/>
      <c r="AS72" s="364"/>
      <c r="AT72" s="364"/>
      <c r="AU72" s="364"/>
      <c r="AV72" s="364"/>
      <c r="AW72" s="944"/>
      <c r="AX72" s="948"/>
      <c r="AY72" s="364"/>
      <c r="AZ72" s="364"/>
      <c r="BA72" s="951"/>
      <c r="BB72" s="951"/>
      <c r="BC72" s="364"/>
      <c r="BD72" s="364"/>
      <c r="BE72" s="364"/>
      <c r="BG72" s="527"/>
      <c r="BH72" s="527"/>
      <c r="BI72" s="527"/>
      <c r="BJ72" s="527"/>
      <c r="BK72" s="527"/>
      <c r="BL72" s="527"/>
      <c r="BM72" s="527"/>
      <c r="BN72" s="527"/>
      <c r="BO72" s="527"/>
      <c r="BP72" s="527"/>
      <c r="BQ72" s="527"/>
      <c r="BR72" s="527"/>
      <c r="BS72" s="527"/>
      <c r="BT72" s="527"/>
      <c r="BU72" s="527"/>
      <c r="BV72" s="527"/>
      <c r="BW72" s="527"/>
      <c r="BX72" s="527"/>
      <c r="BY72" s="527"/>
      <c r="BZ72" s="527"/>
      <c r="CA72" s="527"/>
      <c r="CB72" s="527"/>
    </row>
    <row r="73" spans="2:80" ht="18.95" customHeight="1">
      <c r="B73" s="316">
        <v>14</v>
      </c>
      <c r="C73" s="310" t="s">
        <v>21</v>
      </c>
      <c r="D73" s="343">
        <v>300</v>
      </c>
      <c r="E73" s="343">
        <v>6</v>
      </c>
      <c r="F73" s="343">
        <v>802</v>
      </c>
      <c r="G73" s="343">
        <v>170</v>
      </c>
      <c r="H73" s="310">
        <v>12</v>
      </c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1"/>
      <c r="AG73" s="271"/>
      <c r="AH73" s="271"/>
      <c r="AJ73" s="364"/>
      <c r="AK73" s="344">
        <v>1</v>
      </c>
      <c r="AL73" s="344">
        <v>8</v>
      </c>
      <c r="AM73" s="350">
        <f>PI()*AL73^2/4</f>
        <v>50.26548245743669</v>
      </c>
      <c r="AN73" s="350">
        <f>AM73*0.01</f>
        <v>0.50265482457436694</v>
      </c>
      <c r="AO73" s="364"/>
      <c r="AP73" s="364"/>
      <c r="AQ73" s="364"/>
      <c r="AR73" s="364"/>
      <c r="AS73" s="364"/>
      <c r="AT73" s="364"/>
      <c r="AU73" s="364"/>
      <c r="AV73" s="364"/>
      <c r="AW73" s="944"/>
      <c r="AX73" s="948"/>
      <c r="AY73" s="364"/>
      <c r="AZ73" s="364"/>
      <c r="BA73" s="951"/>
      <c r="BB73" s="951"/>
      <c r="BC73" s="364"/>
      <c r="BD73" s="364"/>
      <c r="BE73" s="364"/>
      <c r="BG73" s="527"/>
      <c r="BH73" s="527"/>
      <c r="BI73" s="527"/>
      <c r="BJ73" s="527"/>
      <c r="BK73" s="527"/>
      <c r="BL73" s="527"/>
      <c r="BM73" s="527"/>
      <c r="BN73" s="527"/>
      <c r="BO73" s="527"/>
      <c r="BP73" s="527"/>
      <c r="BQ73" s="527"/>
      <c r="BR73" s="527"/>
      <c r="BS73" s="527"/>
      <c r="BT73" s="527"/>
      <c r="BU73" s="527"/>
      <c r="BV73" s="527"/>
      <c r="BW73" s="527"/>
      <c r="BX73" s="527"/>
      <c r="BY73" s="527"/>
      <c r="BZ73" s="527"/>
      <c r="CA73" s="527"/>
      <c r="CB73" s="527"/>
    </row>
    <row r="74" spans="2:80" ht="18.95" customHeight="1">
      <c r="B74" s="316">
        <v>15</v>
      </c>
      <c r="C74" s="310" t="s">
        <v>22</v>
      </c>
      <c r="D74" s="343">
        <v>300</v>
      </c>
      <c r="E74" s="343">
        <v>6</v>
      </c>
      <c r="F74" s="343">
        <v>852</v>
      </c>
      <c r="G74" s="343">
        <v>170</v>
      </c>
      <c r="H74" s="310">
        <v>12</v>
      </c>
      <c r="AJ74" s="364"/>
      <c r="AK74" s="344">
        <v>2</v>
      </c>
      <c r="AL74" s="344">
        <v>10</v>
      </c>
      <c r="AM74" s="350">
        <f t="shared" ref="AM74:AM76" si="13">PI()*AL74^2/4</f>
        <v>78.539816339744831</v>
      </c>
      <c r="AN74" s="350">
        <f t="shared" ref="AN74:AN76" si="14">AM74*0.01</f>
        <v>0.78539816339744828</v>
      </c>
      <c r="AO74" s="364"/>
      <c r="AP74" s="364"/>
      <c r="AQ74" s="364"/>
      <c r="AR74" s="364"/>
      <c r="AS74" s="364"/>
      <c r="AT74" s="364"/>
      <c r="AU74" s="364"/>
      <c r="AV74" s="364"/>
      <c r="AW74" s="944"/>
      <c r="AX74" s="948"/>
      <c r="AY74" s="364"/>
      <c r="AZ74" s="364"/>
      <c r="BA74" s="951"/>
      <c r="BB74" s="951"/>
      <c r="BC74" s="364"/>
      <c r="BD74" s="364"/>
      <c r="BE74" s="364"/>
      <c r="BG74" s="527"/>
      <c r="BH74" s="527"/>
      <c r="BI74" s="527"/>
      <c r="BJ74" s="527"/>
      <c r="BK74" s="527"/>
      <c r="BL74" s="527"/>
      <c r="BM74" s="527"/>
      <c r="BN74" s="527"/>
      <c r="BO74" s="527"/>
      <c r="BP74" s="527"/>
      <c r="BQ74" s="527"/>
      <c r="BR74" s="527"/>
      <c r="BS74" s="527"/>
      <c r="BT74" s="527"/>
      <c r="BU74" s="527"/>
      <c r="BV74" s="527"/>
      <c r="BW74" s="527"/>
      <c r="BX74" s="527"/>
      <c r="BY74" s="527"/>
      <c r="BZ74" s="527"/>
      <c r="CA74" s="527"/>
      <c r="CB74" s="527"/>
    </row>
    <row r="75" spans="2:80" ht="18.95" customHeight="1">
      <c r="B75" s="316">
        <v>16</v>
      </c>
      <c r="C75" s="310" t="s">
        <v>23</v>
      </c>
      <c r="D75" s="343">
        <v>350</v>
      </c>
      <c r="E75" s="343">
        <v>10</v>
      </c>
      <c r="F75" s="343">
        <v>860</v>
      </c>
      <c r="G75" s="343">
        <v>170</v>
      </c>
      <c r="H75" s="310">
        <v>15</v>
      </c>
      <c r="AJ75" s="364"/>
      <c r="AK75" s="344">
        <v>3</v>
      </c>
      <c r="AL75" s="344">
        <v>12</v>
      </c>
      <c r="AM75" s="350">
        <f t="shared" si="13"/>
        <v>113.09733552923255</v>
      </c>
      <c r="AN75" s="350">
        <f t="shared" si="14"/>
        <v>1.1309733552923256</v>
      </c>
      <c r="AO75" s="364"/>
      <c r="AP75" s="364"/>
      <c r="AQ75" s="364"/>
      <c r="AR75" s="364"/>
      <c r="AS75" s="364"/>
      <c r="AT75" s="364"/>
      <c r="AU75" s="364"/>
      <c r="AV75" s="364"/>
      <c r="AW75" s="944"/>
      <c r="AX75" s="948"/>
      <c r="AY75" s="364"/>
      <c r="AZ75" s="364"/>
      <c r="BA75" s="951"/>
      <c r="BB75" s="951"/>
      <c r="BC75" s="364"/>
      <c r="BD75" s="364"/>
      <c r="BE75" s="364"/>
      <c r="BG75" s="527"/>
      <c r="BH75" s="527"/>
      <c r="BI75" s="527"/>
      <c r="BJ75" s="527"/>
      <c r="BK75" s="527"/>
      <c r="BL75" s="527"/>
      <c r="BM75" s="527"/>
      <c r="BN75" s="527"/>
      <c r="BO75" s="527"/>
      <c r="BP75" s="527"/>
      <c r="BQ75" s="527"/>
      <c r="BR75" s="527"/>
      <c r="BS75" s="527"/>
      <c r="BT75" s="527"/>
      <c r="BU75" s="527"/>
      <c r="BV75" s="527"/>
      <c r="BW75" s="527"/>
      <c r="BX75" s="527"/>
      <c r="BY75" s="527"/>
      <c r="BZ75" s="527"/>
      <c r="CA75" s="527"/>
      <c r="CB75" s="527"/>
    </row>
    <row r="76" spans="2:80" ht="18.95" customHeight="1">
      <c r="B76" s="316">
        <v>17</v>
      </c>
      <c r="C76" s="310" t="s">
        <v>24</v>
      </c>
      <c r="D76" s="343">
        <v>350</v>
      </c>
      <c r="E76" s="343">
        <v>6</v>
      </c>
      <c r="F76" s="343">
        <v>902</v>
      </c>
      <c r="G76" s="343">
        <v>170</v>
      </c>
      <c r="H76" s="310">
        <v>15</v>
      </c>
      <c r="AJ76" s="364"/>
      <c r="AK76" s="344">
        <v>4</v>
      </c>
      <c r="AL76" s="344">
        <v>16</v>
      </c>
      <c r="AM76" s="350">
        <f t="shared" si="13"/>
        <v>201.06192982974676</v>
      </c>
      <c r="AN76" s="350">
        <f t="shared" si="14"/>
        <v>2.0106192982974678</v>
      </c>
      <c r="AO76" s="364"/>
      <c r="AP76" s="364"/>
      <c r="AQ76" s="364"/>
      <c r="AR76" s="364"/>
      <c r="AS76" s="364"/>
      <c r="AT76" s="364"/>
      <c r="AU76" s="364"/>
      <c r="AV76" s="364"/>
      <c r="AW76" s="944"/>
      <c r="AX76" s="948"/>
      <c r="AY76" s="364"/>
      <c r="AZ76" s="364"/>
      <c r="BA76" s="951"/>
      <c r="BB76" s="951"/>
      <c r="BC76" s="364"/>
      <c r="BD76" s="364"/>
      <c r="BE76" s="364"/>
      <c r="BG76" s="527"/>
      <c r="BH76" s="527"/>
      <c r="BI76" s="527"/>
      <c r="BJ76" s="527"/>
      <c r="BK76" s="527"/>
      <c r="BL76" s="527"/>
      <c r="BM76" s="527"/>
      <c r="BN76" s="527"/>
      <c r="BO76" s="527"/>
      <c r="BP76" s="527"/>
      <c r="BQ76" s="527"/>
      <c r="BR76" s="527"/>
      <c r="BS76" s="527"/>
      <c r="BT76" s="527"/>
      <c r="BU76" s="527"/>
      <c r="BV76" s="527"/>
      <c r="BW76" s="527"/>
      <c r="BX76" s="527"/>
      <c r="BY76" s="527"/>
      <c r="BZ76" s="527"/>
      <c r="CA76" s="527"/>
      <c r="CB76" s="527"/>
    </row>
    <row r="77" spans="2:80" ht="18.95" customHeight="1">
      <c r="B77" s="316">
        <v>18</v>
      </c>
      <c r="C77" s="310" t="s">
        <v>465</v>
      </c>
      <c r="D77" s="343">
        <v>350</v>
      </c>
      <c r="E77" s="343">
        <v>6</v>
      </c>
      <c r="F77" s="343">
        <v>1002</v>
      </c>
      <c r="G77" s="343">
        <v>170</v>
      </c>
      <c r="H77" s="310">
        <v>15</v>
      </c>
      <c r="AJ77" s="364"/>
      <c r="AK77" s="364"/>
      <c r="AL77" s="364"/>
      <c r="AM77" s="364"/>
      <c r="AN77" s="364"/>
      <c r="AO77" s="364"/>
      <c r="AP77" s="364"/>
      <c r="AQ77" s="364"/>
      <c r="AR77" s="364"/>
      <c r="AS77" s="364"/>
      <c r="AT77" s="364"/>
      <c r="AU77" s="364"/>
      <c r="AV77" s="364"/>
      <c r="AW77" s="944"/>
      <c r="AX77" s="948"/>
      <c r="AY77" s="364"/>
      <c r="AZ77" s="364"/>
      <c r="BA77" s="951"/>
      <c r="BB77" s="951"/>
      <c r="BC77" s="364"/>
      <c r="BD77" s="364"/>
      <c r="BE77" s="364"/>
      <c r="BG77" s="527"/>
      <c r="BH77" s="527"/>
      <c r="BI77" s="527"/>
      <c r="BJ77" s="527"/>
      <c r="BK77" s="527"/>
      <c r="BL77" s="527"/>
      <c r="BM77" s="527"/>
      <c r="BN77" s="527"/>
      <c r="BO77" s="527"/>
      <c r="BP77" s="527"/>
      <c r="BQ77" s="527"/>
      <c r="BR77" s="527"/>
      <c r="BS77" s="527"/>
      <c r="BT77" s="527"/>
      <c r="BU77" s="527"/>
      <c r="BV77" s="527"/>
      <c r="BW77" s="527"/>
      <c r="BX77" s="527"/>
      <c r="BY77" s="527"/>
      <c r="BZ77" s="527"/>
      <c r="CA77" s="527"/>
      <c r="CB77" s="527"/>
    </row>
    <row r="78" spans="2:80" ht="18.95" customHeight="1">
      <c r="AJ78" s="364"/>
      <c r="AK78" s="364"/>
      <c r="AL78" s="364"/>
      <c r="AM78" s="364"/>
      <c r="AN78" s="364"/>
      <c r="AO78" s="364"/>
      <c r="AP78" s="364"/>
      <c r="AQ78" s="364"/>
      <c r="AR78" s="364"/>
      <c r="AS78" s="364"/>
      <c r="AT78" s="364"/>
      <c r="AU78" s="364"/>
      <c r="AV78" s="364"/>
      <c r="AW78" s="944"/>
      <c r="AX78" s="948"/>
      <c r="AY78" s="364"/>
      <c r="AZ78" s="364"/>
      <c r="BA78" s="951"/>
      <c r="BB78" s="951"/>
      <c r="BC78" s="364"/>
      <c r="BD78" s="364"/>
      <c r="BE78" s="364"/>
      <c r="BG78" s="527"/>
      <c r="BH78" s="527"/>
      <c r="BI78" s="527"/>
      <c r="BJ78" s="527"/>
      <c r="BK78" s="527"/>
      <c r="BL78" s="527"/>
      <c r="BM78" s="527"/>
      <c r="BN78" s="527"/>
      <c r="BO78" s="527"/>
      <c r="BP78" s="527"/>
      <c r="BQ78" s="527"/>
      <c r="BR78" s="527"/>
      <c r="BS78" s="527"/>
      <c r="BT78" s="527"/>
      <c r="BU78" s="527"/>
      <c r="BV78" s="527"/>
      <c r="BW78" s="527"/>
      <c r="BX78" s="527"/>
      <c r="BY78" s="527"/>
      <c r="BZ78" s="527"/>
      <c r="CA78" s="527"/>
      <c r="CB78" s="527"/>
    </row>
    <row r="79" spans="2:80" ht="18.95" customHeight="1">
      <c r="AJ79" s="364"/>
      <c r="AK79" s="364"/>
      <c r="AL79" s="364"/>
      <c r="AM79" s="364"/>
      <c r="AN79" s="364"/>
      <c r="AO79" s="364"/>
      <c r="AP79" s="364"/>
      <c r="AQ79" s="364"/>
      <c r="AR79" s="364"/>
      <c r="AS79" s="364"/>
      <c r="AT79" s="364"/>
      <c r="AU79" s="364"/>
      <c r="AV79" s="364"/>
      <c r="AW79" s="944"/>
      <c r="AX79" s="948"/>
      <c r="AY79" s="364"/>
      <c r="AZ79" s="364"/>
      <c r="BA79" s="951"/>
      <c r="BB79" s="951"/>
      <c r="BC79" s="364"/>
      <c r="BD79" s="364"/>
      <c r="BE79" s="364"/>
      <c r="BG79" s="527"/>
      <c r="BH79" s="527"/>
      <c r="BI79" s="527"/>
      <c r="BJ79" s="527"/>
      <c r="BK79" s="527"/>
      <c r="BL79" s="527"/>
      <c r="BM79" s="527"/>
      <c r="BN79" s="527"/>
      <c r="BO79" s="527"/>
      <c r="BP79" s="527"/>
      <c r="BQ79" s="527"/>
      <c r="BR79" s="527"/>
      <c r="BS79" s="527"/>
      <c r="BT79" s="527"/>
      <c r="BU79" s="527"/>
      <c r="BV79" s="527"/>
      <c r="BW79" s="527"/>
      <c r="BX79" s="527"/>
      <c r="BY79" s="527"/>
      <c r="BZ79" s="527"/>
      <c r="CA79" s="527"/>
      <c r="CB79" s="527"/>
    </row>
    <row r="80" spans="2:80" ht="18.95" customHeight="1">
      <c r="B80" s="1066" t="s">
        <v>613</v>
      </c>
      <c r="C80" s="1066"/>
      <c r="D80" s="1066"/>
      <c r="E80" s="1066"/>
      <c r="F80" s="1066"/>
      <c r="G80" s="1066"/>
      <c r="H80" s="1066"/>
      <c r="I80" s="1066"/>
      <c r="J80" s="1066"/>
      <c r="AJ80" s="364"/>
      <c r="AK80" s="364"/>
      <c r="AL80" s="364"/>
      <c r="AM80" s="364"/>
      <c r="AN80" s="364"/>
      <c r="AO80" s="364"/>
      <c r="AP80" s="364"/>
      <c r="AQ80" s="364"/>
      <c r="AR80" s="364"/>
      <c r="AS80" s="364"/>
      <c r="AT80" s="364"/>
      <c r="AU80" s="364"/>
      <c r="AV80" s="364"/>
      <c r="AW80" s="944"/>
      <c r="AX80" s="948"/>
      <c r="AY80" s="364"/>
      <c r="AZ80" s="364"/>
      <c r="BA80" s="951"/>
      <c r="BB80" s="951"/>
      <c r="BC80" s="364"/>
      <c r="BD80" s="364"/>
      <c r="BE80" s="364"/>
      <c r="BG80" s="527"/>
      <c r="BH80" s="527"/>
      <c r="BI80" s="527"/>
      <c r="BJ80" s="527"/>
      <c r="BK80" s="527"/>
      <c r="BL80" s="527"/>
      <c r="BM80" s="527"/>
      <c r="BN80" s="527"/>
      <c r="BO80" s="527"/>
      <c r="BP80" s="527"/>
      <c r="BQ80" s="527"/>
      <c r="BR80" s="527"/>
      <c r="BS80" s="527"/>
      <c r="BT80" s="527"/>
      <c r="BU80" s="527"/>
      <c r="BV80" s="527"/>
      <c r="BW80" s="527"/>
      <c r="BX80" s="527"/>
      <c r="BY80" s="527"/>
      <c r="BZ80" s="527"/>
      <c r="CA80" s="527"/>
      <c r="CB80" s="527"/>
    </row>
    <row r="81" spans="2:80" ht="18.95" customHeight="1">
      <c r="C81" s="6"/>
      <c r="D81" s="9"/>
      <c r="E81" s="9"/>
      <c r="F81" s="9"/>
      <c r="G81" s="9"/>
      <c r="H81" s="9"/>
      <c r="I81" s="9"/>
      <c r="AJ81" s="364"/>
      <c r="AK81" s="364"/>
      <c r="AL81" s="364"/>
      <c r="AM81" s="364"/>
      <c r="AN81" s="364"/>
      <c r="AO81" s="364"/>
      <c r="AP81" s="364"/>
      <c r="AQ81" s="364"/>
      <c r="AR81" s="364"/>
      <c r="AS81" s="364"/>
      <c r="AT81" s="364"/>
      <c r="AU81" s="364"/>
      <c r="AV81" s="364"/>
      <c r="AW81" s="944"/>
      <c r="AX81" s="948"/>
      <c r="AY81" s="364"/>
      <c r="AZ81" s="364"/>
      <c r="BA81" s="951"/>
      <c r="BB81" s="951"/>
      <c r="BC81" s="364"/>
      <c r="BD81" s="364"/>
      <c r="BE81" s="364"/>
      <c r="BG81" s="527"/>
      <c r="BH81" s="527"/>
      <c r="BI81" s="527"/>
      <c r="BJ81" s="527"/>
      <c r="BK81" s="527"/>
      <c r="BL81" s="527"/>
      <c r="BM81" s="527"/>
      <c r="BN81" s="527"/>
      <c r="BO81" s="527"/>
      <c r="BP81" s="527"/>
      <c r="BQ81" s="527"/>
      <c r="BR81" s="527"/>
      <c r="BS81" s="527"/>
      <c r="BT81" s="527"/>
      <c r="BU81" s="527"/>
      <c r="BV81" s="527"/>
      <c r="BW81" s="527"/>
      <c r="BX81" s="527"/>
      <c r="BY81" s="527"/>
      <c r="BZ81" s="527"/>
      <c r="CA81" s="527"/>
      <c r="CB81" s="527"/>
    </row>
    <row r="82" spans="2:80" ht="18.95" customHeight="1">
      <c r="B82" s="347" t="s">
        <v>605</v>
      </c>
      <c r="C82" s="309" t="s">
        <v>7</v>
      </c>
      <c r="D82" s="1080" t="s">
        <v>38</v>
      </c>
      <c r="E82" s="1081"/>
      <c r="F82" s="1081"/>
      <c r="G82" s="1081"/>
    </row>
    <row r="83" spans="2:80" ht="18.95" customHeight="1">
      <c r="B83" s="348">
        <v>1</v>
      </c>
      <c r="C83" s="1075" t="s">
        <v>10</v>
      </c>
      <c r="D83" s="1072" t="s">
        <v>123</v>
      </c>
      <c r="E83" s="1072" t="s">
        <v>803</v>
      </c>
      <c r="F83" s="1072" t="s">
        <v>805</v>
      </c>
      <c r="G83" s="1072" t="s">
        <v>804</v>
      </c>
    </row>
    <row r="84" spans="2:80" ht="18.95" customHeight="1">
      <c r="B84" s="345" t="s">
        <v>606</v>
      </c>
      <c r="C84" s="1075"/>
      <c r="D84" s="1072"/>
      <c r="E84" s="1072"/>
      <c r="F84" s="1072"/>
      <c r="G84" s="1072"/>
    </row>
    <row r="85" spans="2:80" ht="18.95" customHeight="1">
      <c r="B85" s="316">
        <v>1</v>
      </c>
      <c r="C85" s="310" t="s">
        <v>230</v>
      </c>
      <c r="D85" s="605">
        <v>19</v>
      </c>
      <c r="E85" s="310">
        <v>100</v>
      </c>
      <c r="F85" s="605">
        <v>125</v>
      </c>
      <c r="G85" s="634">
        <v>100</v>
      </c>
    </row>
    <row r="86" spans="2:80" ht="18.95" customHeight="1">
      <c r="B86" s="316">
        <v>2</v>
      </c>
      <c r="C86" s="310" t="s">
        <v>11</v>
      </c>
      <c r="D86" s="605">
        <v>19</v>
      </c>
      <c r="E86" s="310">
        <v>100</v>
      </c>
      <c r="F86" s="605">
        <v>125</v>
      </c>
      <c r="G86" s="634">
        <v>100</v>
      </c>
    </row>
    <row r="87" spans="2:80" ht="18.95" customHeight="1">
      <c r="B87" s="316">
        <v>3</v>
      </c>
      <c r="C87" s="310" t="s">
        <v>12</v>
      </c>
      <c r="D87" s="605">
        <v>19</v>
      </c>
      <c r="E87" s="310">
        <v>100</v>
      </c>
      <c r="F87" s="605">
        <v>125</v>
      </c>
      <c r="G87" s="634">
        <v>100</v>
      </c>
    </row>
    <row r="88" spans="2:80" ht="18.95" customHeight="1">
      <c r="B88" s="316">
        <v>4</v>
      </c>
      <c r="C88" s="310" t="s">
        <v>13</v>
      </c>
      <c r="D88" s="605">
        <v>19</v>
      </c>
      <c r="E88" s="310">
        <v>105</v>
      </c>
      <c r="F88" s="605">
        <v>125</v>
      </c>
      <c r="G88" s="634">
        <v>100</v>
      </c>
    </row>
    <row r="89" spans="2:80" ht="18.95" customHeight="1">
      <c r="B89" s="316">
        <v>5</v>
      </c>
      <c r="C89" s="310" t="s">
        <v>14</v>
      </c>
      <c r="D89" s="605">
        <v>19</v>
      </c>
      <c r="E89" s="310">
        <v>105</v>
      </c>
      <c r="F89" s="605">
        <v>125</v>
      </c>
      <c r="G89" s="634">
        <v>100</v>
      </c>
    </row>
    <row r="90" spans="2:80" ht="18.95" customHeight="1">
      <c r="B90" s="316">
        <v>6</v>
      </c>
      <c r="C90" s="310" t="s">
        <v>467</v>
      </c>
      <c r="D90" s="605">
        <v>19</v>
      </c>
      <c r="E90" s="310">
        <v>105</v>
      </c>
      <c r="F90" s="605">
        <v>125</v>
      </c>
      <c r="G90" s="634">
        <v>100</v>
      </c>
    </row>
    <row r="91" spans="2:80" ht="18.95" customHeight="1">
      <c r="B91" s="316">
        <v>7</v>
      </c>
      <c r="C91" s="310" t="s">
        <v>15</v>
      </c>
      <c r="D91" s="310">
        <v>22</v>
      </c>
      <c r="E91" s="310">
        <v>130</v>
      </c>
      <c r="F91" s="605">
        <v>125</v>
      </c>
      <c r="G91" s="634">
        <v>100</v>
      </c>
    </row>
    <row r="92" spans="2:80" ht="18.95" customHeight="1">
      <c r="B92" s="316">
        <v>8</v>
      </c>
      <c r="C92" s="310" t="s">
        <v>16</v>
      </c>
      <c r="D92" s="310">
        <v>22</v>
      </c>
      <c r="E92" s="310">
        <v>130</v>
      </c>
      <c r="F92" s="605">
        <v>125</v>
      </c>
      <c r="G92" s="634">
        <v>100</v>
      </c>
    </row>
    <row r="93" spans="2:80" ht="18.95" customHeight="1">
      <c r="B93" s="316">
        <v>9</v>
      </c>
      <c r="C93" s="310" t="s">
        <v>17</v>
      </c>
      <c r="D93" s="310">
        <v>22</v>
      </c>
      <c r="E93" s="310">
        <v>130</v>
      </c>
      <c r="F93" s="605">
        <v>125</v>
      </c>
      <c r="G93" s="634">
        <v>100</v>
      </c>
    </row>
    <row r="94" spans="2:80" ht="18.95" customHeight="1">
      <c r="B94" s="316">
        <v>10</v>
      </c>
      <c r="C94" s="310" t="s">
        <v>18</v>
      </c>
      <c r="D94" s="310">
        <v>22</v>
      </c>
      <c r="E94" s="310">
        <v>150</v>
      </c>
      <c r="F94" s="605">
        <v>125</v>
      </c>
      <c r="G94" s="634">
        <v>100</v>
      </c>
    </row>
    <row r="95" spans="2:80" ht="18.95" customHeight="1">
      <c r="B95" s="316">
        <v>11</v>
      </c>
      <c r="C95" s="310" t="s">
        <v>19</v>
      </c>
      <c r="D95" s="310">
        <v>22</v>
      </c>
      <c r="E95" s="310">
        <v>150</v>
      </c>
      <c r="F95" s="605">
        <v>125</v>
      </c>
      <c r="G95" s="634">
        <v>100</v>
      </c>
    </row>
    <row r="96" spans="2:80" ht="18.95" customHeight="1">
      <c r="B96" s="316">
        <v>12</v>
      </c>
      <c r="C96" s="310" t="s">
        <v>559</v>
      </c>
      <c r="D96" s="310">
        <v>22</v>
      </c>
      <c r="E96" s="310">
        <v>150</v>
      </c>
      <c r="F96" s="605">
        <v>125</v>
      </c>
      <c r="G96" s="634">
        <v>100</v>
      </c>
    </row>
    <row r="97" spans="2:7" ht="18.95" customHeight="1">
      <c r="B97" s="316">
        <v>13</v>
      </c>
      <c r="C97" s="310" t="s">
        <v>20</v>
      </c>
      <c r="D97" s="310">
        <v>22</v>
      </c>
      <c r="E97" s="310">
        <v>150</v>
      </c>
      <c r="F97" s="605">
        <v>125</v>
      </c>
      <c r="G97" s="634">
        <v>100</v>
      </c>
    </row>
    <row r="98" spans="2:7" ht="18.95" customHeight="1">
      <c r="B98" s="316">
        <v>14</v>
      </c>
      <c r="C98" s="310" t="s">
        <v>21</v>
      </c>
      <c r="D98" s="310">
        <v>22</v>
      </c>
      <c r="E98" s="310">
        <v>150</v>
      </c>
      <c r="F98" s="605">
        <v>125</v>
      </c>
      <c r="G98" s="634">
        <v>100</v>
      </c>
    </row>
    <row r="99" spans="2:7" ht="18.95" customHeight="1">
      <c r="B99" s="316">
        <v>15</v>
      </c>
      <c r="C99" s="310" t="s">
        <v>22</v>
      </c>
      <c r="D99" s="310">
        <v>22</v>
      </c>
      <c r="E99" s="310">
        <v>150</v>
      </c>
      <c r="F99" s="605">
        <v>125</v>
      </c>
      <c r="G99" s="634">
        <v>100</v>
      </c>
    </row>
    <row r="100" spans="2:7" ht="18.95" customHeight="1">
      <c r="B100" s="316">
        <v>16</v>
      </c>
      <c r="C100" s="310" t="s">
        <v>23</v>
      </c>
      <c r="D100" s="310">
        <v>25</v>
      </c>
      <c r="E100" s="310">
        <v>200</v>
      </c>
      <c r="F100" s="605">
        <v>125</v>
      </c>
      <c r="G100" s="634">
        <v>125</v>
      </c>
    </row>
    <row r="101" spans="2:7" ht="18.95" customHeight="1">
      <c r="B101" s="316">
        <v>17</v>
      </c>
      <c r="C101" s="310" t="s">
        <v>24</v>
      </c>
      <c r="D101" s="310">
        <v>25</v>
      </c>
      <c r="E101" s="310">
        <v>200</v>
      </c>
      <c r="F101" s="605">
        <v>125</v>
      </c>
      <c r="G101" s="634">
        <v>125</v>
      </c>
    </row>
    <row r="102" spans="2:7" ht="18.95" customHeight="1">
      <c r="B102" s="316">
        <v>18</v>
      </c>
      <c r="C102" s="310" t="s">
        <v>465</v>
      </c>
      <c r="D102" s="310">
        <v>25</v>
      </c>
      <c r="E102" s="310">
        <v>200</v>
      </c>
      <c r="F102" s="605">
        <v>125</v>
      </c>
      <c r="G102" s="634">
        <v>125</v>
      </c>
    </row>
    <row r="103" spans="2:7" ht="18.95" customHeight="1"/>
    <row r="104" spans="2:7" ht="18.95" customHeight="1"/>
    <row r="105" spans="2:7" ht="18.95" customHeight="1"/>
    <row r="106" spans="2:7" ht="18.95" customHeight="1"/>
    <row r="107" spans="2:7" ht="18.95" customHeight="1"/>
    <row r="108" spans="2:7" ht="18.95" customHeight="1"/>
    <row r="109" spans="2:7" ht="18.95" customHeight="1"/>
    <row r="110" spans="2:7" ht="18.95" customHeight="1"/>
    <row r="111" spans="2:7" ht="18.95" customHeight="1"/>
    <row r="112" spans="2:7" ht="18.95" customHeight="1"/>
    <row r="113" ht="18.95" customHeight="1"/>
    <row r="114" ht="18.95" customHeight="1"/>
    <row r="115" ht="18.95" customHeight="1"/>
    <row r="116" ht="18.95" customHeight="1"/>
    <row r="117" ht="18.95" customHeight="1"/>
    <row r="118" ht="18.95" customHeight="1"/>
    <row r="119" ht="18.95" customHeight="1"/>
    <row r="120" ht="18.95" customHeight="1"/>
    <row r="121" ht="18.95" customHeight="1"/>
    <row r="122" ht="18.95" customHeight="1"/>
    <row r="123" ht="18.95" customHeight="1"/>
    <row r="124" ht="18.95" customHeight="1"/>
    <row r="125" ht="18.95" customHeight="1"/>
    <row r="126" ht="18.95" customHeight="1"/>
    <row r="127" ht="18.95" customHeight="1"/>
    <row r="128" ht="18.95" customHeight="1"/>
    <row r="129" ht="18.95" customHeight="1"/>
    <row r="130" ht="18.95" customHeight="1"/>
    <row r="131" ht="18.95" customHeight="1"/>
    <row r="132" ht="18.95" customHeight="1"/>
    <row r="133" ht="18.95" customHeight="1"/>
    <row r="134" ht="18.95" customHeight="1"/>
    <row r="135" ht="18.95" customHeight="1"/>
    <row r="136" ht="18.95" customHeight="1"/>
    <row r="137" ht="18.95" customHeight="1"/>
    <row r="138" ht="18.95" customHeight="1"/>
    <row r="139" ht="18.95" customHeight="1"/>
    <row r="140" ht="18.95" customHeight="1"/>
    <row r="141" ht="18.95" customHeight="1"/>
    <row r="142" ht="18.95" customHeight="1"/>
    <row r="143" ht="18.95" customHeight="1"/>
    <row r="144" ht="18.95" customHeight="1"/>
    <row r="145" ht="18.95" customHeight="1"/>
    <row r="146" ht="18.95" customHeight="1"/>
    <row r="147" ht="18.95" customHeight="1"/>
    <row r="148" ht="18.95" customHeight="1"/>
    <row r="149" ht="18.95" customHeight="1"/>
    <row r="150" ht="18.95" customHeight="1"/>
    <row r="151" ht="18.95" customHeight="1"/>
    <row r="152" ht="18.95" customHeight="1"/>
    <row r="153" ht="18.95" customHeight="1"/>
    <row r="154" ht="18.95" customHeight="1"/>
    <row r="155" ht="18.95" customHeight="1"/>
    <row r="156" ht="18.95" customHeight="1"/>
    <row r="157" ht="18.95" customHeight="1"/>
    <row r="158" ht="18.95" customHeight="1"/>
    <row r="159" ht="18.95" customHeight="1"/>
    <row r="160" ht="18.95" customHeight="1"/>
    <row r="161" ht="18.95" customHeight="1"/>
    <row r="162" ht="18.95" customHeight="1"/>
    <row r="163" ht="18.95" customHeight="1"/>
    <row r="164" ht="18.95" customHeight="1"/>
    <row r="165" ht="18.95" customHeight="1"/>
    <row r="166" ht="18.95" customHeight="1"/>
    <row r="167" ht="18.95" customHeight="1"/>
    <row r="168" ht="18.95" customHeight="1"/>
    <row r="169" ht="18.95" customHeight="1"/>
    <row r="170" ht="18.95" customHeight="1"/>
    <row r="171" ht="18.95" customHeight="1"/>
    <row r="172" ht="18.95" customHeight="1"/>
    <row r="173" ht="18.95" customHeight="1"/>
    <row r="174" ht="18.95" customHeight="1"/>
    <row r="175" ht="18.95" customHeight="1"/>
    <row r="176" ht="18.95" customHeight="1"/>
    <row r="177" ht="18.95" customHeight="1"/>
    <row r="178" ht="18.95" customHeight="1"/>
    <row r="179" ht="18.95" customHeight="1"/>
    <row r="180" ht="18.95" customHeight="1"/>
    <row r="181" ht="18.95" customHeight="1"/>
    <row r="182" ht="18.95" customHeight="1"/>
    <row r="183" ht="18.95" customHeight="1"/>
    <row r="184" ht="18.95" customHeight="1"/>
    <row r="185" ht="18.95" customHeight="1"/>
    <row r="186" ht="18.95" customHeight="1"/>
    <row r="187" ht="18.95" customHeight="1"/>
    <row r="188" ht="18.95" customHeight="1"/>
    <row r="189" ht="18.95" customHeight="1"/>
    <row r="190" ht="18.95" customHeight="1"/>
    <row r="191" ht="18.95" customHeight="1"/>
    <row r="192" ht="18.95" customHeight="1"/>
    <row r="193" ht="18.95" customHeight="1"/>
    <row r="194" ht="18.95" customHeight="1"/>
    <row r="195" ht="18.95" customHeight="1"/>
    <row r="196" ht="18.95" customHeight="1"/>
    <row r="197" ht="18.95" customHeight="1"/>
    <row r="198" ht="18.95" customHeight="1"/>
    <row r="199" ht="18.95" customHeight="1"/>
    <row r="200" ht="18.95" customHeight="1"/>
    <row r="201" ht="18.95" customHeight="1"/>
    <row r="202" ht="18.95" customHeight="1"/>
    <row r="203" ht="18.95" customHeight="1"/>
    <row r="204" ht="18.95" customHeight="1"/>
    <row r="205" ht="18.95" customHeight="1"/>
    <row r="206" ht="18.95" customHeight="1"/>
    <row r="207" ht="18.95" customHeight="1"/>
    <row r="208" ht="18.95" customHeight="1"/>
    <row r="209" ht="18.95" customHeight="1"/>
    <row r="210" ht="18.95" customHeight="1"/>
    <row r="211" ht="18.95" customHeight="1"/>
    <row r="212" ht="18.95" customHeight="1"/>
    <row r="213" ht="18.95" customHeight="1"/>
    <row r="214" ht="18.95" customHeight="1"/>
    <row r="215" ht="18.95" customHeight="1"/>
    <row r="216" ht="18.95" customHeight="1"/>
    <row r="217" ht="18.95" customHeight="1"/>
    <row r="218" ht="18.95" customHeight="1"/>
    <row r="219" ht="18.95" customHeight="1"/>
    <row r="220" ht="18.95" customHeight="1"/>
    <row r="221" ht="18.95" customHeight="1"/>
    <row r="222" ht="18.95" customHeight="1"/>
    <row r="223" ht="18.95" customHeight="1"/>
    <row r="224" ht="18.95" customHeight="1"/>
    <row r="225" ht="18.95" customHeight="1"/>
    <row r="226" ht="18.95" customHeight="1"/>
    <row r="227" ht="18.95" customHeight="1"/>
    <row r="228" ht="18.95" customHeight="1"/>
    <row r="229" ht="18.95" customHeight="1"/>
    <row r="230" ht="18.95" customHeight="1"/>
    <row r="231" ht="18.95" customHeight="1"/>
    <row r="232" ht="18.95" customHeight="1"/>
    <row r="233" ht="18.95" customHeight="1"/>
    <row r="234" ht="18.95" customHeight="1"/>
    <row r="235" ht="18.95" customHeight="1"/>
    <row r="236" ht="18.95" customHeight="1"/>
    <row r="237" ht="18.95" customHeight="1"/>
    <row r="238" ht="18.95" customHeight="1"/>
    <row r="239" ht="18.95" customHeight="1"/>
    <row r="240" ht="18.95" customHeight="1"/>
    <row r="241" ht="18.95" customHeight="1"/>
    <row r="242" ht="18.95" customHeight="1"/>
    <row r="243" ht="18.95" customHeight="1"/>
    <row r="244" ht="18.95" customHeight="1"/>
    <row r="245" ht="18.95" customHeight="1"/>
    <row r="246" ht="18.95" customHeight="1"/>
    <row r="247" ht="18.95" customHeight="1"/>
    <row r="248" ht="18.95" customHeight="1"/>
    <row r="249" ht="18.95" customHeight="1"/>
    <row r="250" ht="18.95" customHeight="1"/>
    <row r="251" ht="18.95" customHeight="1"/>
    <row r="252" ht="18.95" customHeight="1"/>
    <row r="253" ht="18.95" customHeight="1"/>
    <row r="254" ht="18.95" customHeight="1"/>
    <row r="255" ht="18.95" customHeight="1"/>
    <row r="256" ht="18.95" customHeight="1"/>
    <row r="257" ht="18.95" customHeight="1"/>
    <row r="258" ht="18.95" customHeight="1"/>
    <row r="259" ht="18.95" customHeight="1"/>
    <row r="260" ht="18.95" customHeight="1"/>
    <row r="261" ht="18.95" customHeight="1"/>
    <row r="262" ht="18.95" customHeight="1"/>
    <row r="263" ht="18.95" customHeight="1"/>
    <row r="264" ht="18.95" customHeight="1"/>
    <row r="265" ht="18.95" customHeight="1"/>
    <row r="266" ht="18.95" customHeight="1"/>
    <row r="267" ht="18.95" customHeight="1"/>
    <row r="268" ht="18.95" customHeight="1"/>
    <row r="269" ht="18.95" customHeight="1"/>
    <row r="270" ht="18.95" customHeight="1"/>
    <row r="271" ht="18.95" customHeight="1"/>
    <row r="272" ht="18.95" customHeight="1"/>
    <row r="273" ht="18.95" customHeight="1"/>
    <row r="274" ht="18.95" customHeight="1"/>
    <row r="275" ht="18.95" customHeight="1"/>
    <row r="276" ht="18.95" customHeight="1"/>
    <row r="277" ht="18.95" customHeight="1"/>
    <row r="278" ht="18.95" customHeight="1"/>
    <row r="279" ht="18.95" customHeight="1"/>
    <row r="280" ht="18.95" customHeight="1"/>
    <row r="281" ht="18.95" customHeight="1"/>
    <row r="282" ht="18.95" customHeight="1"/>
    <row r="283" ht="18.95" customHeight="1"/>
    <row r="284" ht="18.95" customHeight="1"/>
    <row r="285" ht="18.95" customHeight="1"/>
    <row r="286" ht="18.95" customHeight="1"/>
    <row r="287" ht="18.95" customHeight="1"/>
    <row r="288" ht="18.95" customHeight="1"/>
    <row r="289" ht="18.95" customHeight="1"/>
    <row r="290" ht="18.95" customHeight="1"/>
    <row r="291" ht="18.95" customHeight="1"/>
    <row r="292" ht="18.95" customHeight="1"/>
    <row r="293" ht="18.95" customHeight="1"/>
    <row r="294" ht="18.95" customHeight="1"/>
    <row r="295" ht="18.95" customHeight="1"/>
    <row r="296" ht="18.95" customHeight="1"/>
    <row r="297" ht="18.95" customHeight="1"/>
    <row r="298" ht="18.95" customHeight="1"/>
    <row r="299" ht="18.95" customHeight="1"/>
    <row r="300" ht="18.95" customHeight="1"/>
    <row r="301" ht="18.95" customHeight="1"/>
    <row r="302" ht="18.95" customHeight="1"/>
    <row r="303" ht="18.95" customHeight="1"/>
    <row r="304" ht="18.95" customHeight="1"/>
    <row r="305" ht="18.95" customHeight="1"/>
    <row r="306" ht="18.95" customHeight="1"/>
    <row r="307" ht="18.95" customHeight="1"/>
    <row r="308" ht="18.95" customHeight="1"/>
    <row r="309" ht="18.95" customHeight="1"/>
    <row r="310" ht="18.95" customHeight="1"/>
    <row r="311" ht="18.95" customHeight="1"/>
    <row r="312" ht="18.95" customHeight="1"/>
    <row r="313" ht="18.95" customHeight="1"/>
    <row r="314" ht="18.95" customHeight="1"/>
    <row r="315" ht="18.95" customHeight="1"/>
    <row r="316" ht="18.95" customHeight="1"/>
    <row r="317" ht="18.95" customHeight="1"/>
    <row r="318" ht="18.95" customHeight="1"/>
    <row r="319" ht="18.95" customHeight="1"/>
    <row r="320" ht="18.95" customHeight="1"/>
    <row r="321" ht="18.95" customHeight="1"/>
    <row r="322" ht="18.95" customHeight="1"/>
    <row r="323" ht="18.95" customHeight="1"/>
    <row r="324" ht="18.95" customHeight="1"/>
    <row r="325" ht="18.95" customHeight="1"/>
    <row r="326" ht="18.95" customHeight="1"/>
    <row r="327" ht="18.95" customHeight="1"/>
    <row r="328" ht="18.95" customHeight="1"/>
    <row r="329" ht="18.95" customHeight="1"/>
    <row r="330" ht="18.95" customHeight="1"/>
    <row r="331" ht="18.95" customHeight="1"/>
    <row r="332" ht="18.95" customHeight="1"/>
    <row r="333" ht="18.95" customHeight="1"/>
    <row r="334" ht="18.95" customHeight="1"/>
    <row r="335" ht="18.95" customHeight="1"/>
    <row r="336" ht="18.95" customHeight="1"/>
    <row r="337" ht="18.95" customHeight="1"/>
    <row r="338" ht="18.95" customHeight="1"/>
    <row r="339" ht="18.95" customHeight="1"/>
    <row r="340" ht="18.95" customHeight="1"/>
    <row r="341" ht="18.95" customHeight="1"/>
    <row r="342" ht="18.95" customHeight="1"/>
    <row r="343" ht="18.95" customHeight="1"/>
    <row r="344" ht="18.95" customHeight="1"/>
    <row r="345" ht="18.95" customHeight="1"/>
    <row r="346" ht="18.95" customHeight="1"/>
    <row r="347" ht="18.95" customHeight="1"/>
    <row r="348" ht="18.95" customHeight="1"/>
    <row r="349" ht="18.95" customHeight="1"/>
    <row r="350" ht="18.95" customHeight="1"/>
    <row r="351" ht="18.95" customHeight="1"/>
    <row r="352" ht="18.95" customHeight="1"/>
    <row r="353" ht="18.95" customHeight="1"/>
    <row r="354" ht="18.95" customHeight="1"/>
    <row r="355" ht="18.95" customHeight="1"/>
    <row r="356" ht="18.95" customHeight="1"/>
    <row r="357" ht="18.95" customHeight="1"/>
    <row r="358" ht="18.95" customHeight="1"/>
    <row r="359" ht="18.95" customHeight="1"/>
    <row r="360" ht="18.95" customHeight="1"/>
    <row r="361" ht="18.95" customHeight="1"/>
    <row r="362" ht="18.95" customHeight="1"/>
    <row r="363" ht="18.95" customHeight="1"/>
    <row r="364" ht="18.95" customHeight="1"/>
    <row r="365" ht="18.95" customHeight="1"/>
    <row r="366" ht="18.95" customHeight="1"/>
    <row r="367" ht="18.95" customHeight="1"/>
    <row r="368" ht="18.95" customHeight="1"/>
    <row r="369" ht="18.95" customHeight="1"/>
    <row r="370" ht="18.95" customHeight="1"/>
    <row r="371" ht="18.95" customHeight="1"/>
    <row r="372" ht="18.95" customHeight="1"/>
    <row r="373" ht="18.95" customHeight="1"/>
    <row r="374" ht="18.95" customHeight="1"/>
    <row r="375" ht="18.95" customHeight="1"/>
    <row r="376" ht="18.95" customHeight="1"/>
    <row r="377" ht="18.95" customHeight="1"/>
    <row r="378" ht="18.95" customHeight="1"/>
    <row r="379" ht="18.95" customHeight="1"/>
    <row r="380" ht="18.95" customHeight="1"/>
    <row r="381" ht="18.95" customHeight="1"/>
    <row r="382" ht="18.95" customHeight="1"/>
    <row r="383" ht="18.95" customHeight="1"/>
    <row r="384" ht="18.95" customHeight="1"/>
    <row r="385" ht="18.95" customHeight="1"/>
    <row r="386" ht="18.95" customHeight="1"/>
    <row r="387" ht="18.95" customHeight="1"/>
    <row r="388" ht="18.95" customHeight="1"/>
    <row r="389" ht="18.95" customHeight="1"/>
    <row r="390" ht="18.95" customHeight="1"/>
    <row r="391" ht="18.95" customHeight="1"/>
    <row r="392" ht="18.95" customHeight="1"/>
    <row r="393" ht="18.95" customHeight="1"/>
    <row r="394" ht="18.95" customHeight="1"/>
    <row r="395" ht="18.95" customHeight="1"/>
    <row r="396" ht="18.95" customHeight="1"/>
    <row r="397" ht="18.95" customHeight="1"/>
    <row r="398" ht="18.95" customHeight="1"/>
    <row r="399" ht="18.95" customHeight="1"/>
    <row r="400" ht="18.95" customHeight="1"/>
    <row r="401" ht="18.95" customHeight="1"/>
    <row r="402" ht="18.95" customHeight="1"/>
    <row r="403" ht="18.95" customHeight="1"/>
    <row r="404" ht="18.95" customHeight="1"/>
    <row r="405" ht="18.95" customHeight="1"/>
    <row r="406" ht="18.95" customHeight="1"/>
    <row r="407" ht="18.95" customHeight="1"/>
    <row r="408" ht="18.95" customHeight="1"/>
    <row r="409" ht="18.95" customHeight="1"/>
    <row r="410" ht="18.95" customHeight="1"/>
    <row r="411" ht="18.95" customHeight="1"/>
    <row r="412" ht="18.95" customHeight="1"/>
    <row r="413" ht="18.95" customHeight="1"/>
    <row r="414" ht="18.95" customHeight="1"/>
    <row r="415" ht="18.95" customHeight="1"/>
    <row r="416" ht="18.95" customHeight="1"/>
    <row r="417" ht="18.95" customHeight="1"/>
    <row r="418" ht="18.95" customHeight="1"/>
    <row r="419" ht="18.95" customHeight="1"/>
    <row r="420" ht="18.95" customHeight="1"/>
    <row r="421" ht="18.95" customHeight="1"/>
    <row r="422" ht="18.95" customHeight="1"/>
    <row r="423" ht="18.95" customHeight="1"/>
    <row r="424" ht="18.95" customHeight="1"/>
    <row r="425" ht="18.95" customHeight="1"/>
    <row r="426" ht="18.95" customHeight="1"/>
    <row r="427" ht="18.95" customHeight="1"/>
    <row r="428" ht="18.95" customHeight="1"/>
    <row r="429" ht="18.95" customHeight="1"/>
    <row r="430" ht="18.95" customHeight="1"/>
    <row r="431" ht="18.95" customHeight="1"/>
    <row r="432" ht="18.95" customHeight="1"/>
    <row r="433" ht="18.95" customHeight="1"/>
    <row r="434" ht="18.95" customHeight="1"/>
    <row r="435" ht="18.95" customHeight="1"/>
    <row r="436" ht="18.95" customHeight="1"/>
    <row r="437" ht="18.95" customHeight="1"/>
    <row r="438" ht="18.95" customHeight="1"/>
    <row r="439" ht="18.95" customHeight="1"/>
    <row r="440" ht="18.95" customHeight="1"/>
    <row r="441" ht="18.95" customHeight="1"/>
    <row r="442" ht="18.95" customHeight="1"/>
    <row r="443" ht="18.95" customHeight="1"/>
    <row r="444" ht="18.95" customHeight="1"/>
    <row r="445" ht="18.95" customHeight="1"/>
    <row r="446" ht="18.95" customHeight="1"/>
    <row r="447" ht="18.95" customHeight="1"/>
    <row r="448" ht="18.95" customHeight="1"/>
    <row r="449" ht="18.95" customHeight="1"/>
    <row r="450" ht="18.95" customHeight="1"/>
    <row r="451" ht="18.95" customHeight="1"/>
    <row r="452" ht="18.95" customHeight="1"/>
    <row r="453" ht="18.95" customHeight="1"/>
    <row r="454" ht="18.95" customHeight="1"/>
    <row r="455" ht="18.95" customHeight="1"/>
    <row r="456" ht="18.95" customHeight="1"/>
    <row r="457" ht="18.95" customHeight="1"/>
    <row r="458" ht="18.95" customHeight="1"/>
    <row r="459" ht="18.95" customHeight="1"/>
    <row r="460" ht="18.95" customHeight="1"/>
    <row r="461" ht="18.95" customHeight="1"/>
    <row r="462" ht="18.95" customHeight="1"/>
    <row r="463" ht="18.95" customHeight="1"/>
    <row r="464" ht="18.95" customHeight="1"/>
    <row r="465" ht="18.95" customHeight="1"/>
    <row r="466" ht="18.95" customHeight="1"/>
    <row r="467" ht="18.95" customHeight="1"/>
    <row r="468" ht="18.95" customHeight="1"/>
    <row r="469" ht="18.95" customHeight="1"/>
    <row r="470" ht="18.95" customHeight="1"/>
    <row r="471" ht="18.95" customHeight="1"/>
    <row r="472" ht="18.95" customHeight="1"/>
    <row r="473" ht="18.95" customHeight="1"/>
    <row r="474" ht="18.95" customHeight="1"/>
    <row r="475" ht="18.95" customHeight="1"/>
    <row r="476" ht="18.95" customHeight="1"/>
    <row r="477" ht="18.95" customHeight="1"/>
    <row r="478" ht="18.95" customHeight="1"/>
    <row r="479" ht="18.95" customHeight="1"/>
    <row r="480" ht="18.95" customHeight="1"/>
    <row r="481" ht="18.95" customHeight="1"/>
    <row r="482" ht="18.95" customHeight="1"/>
    <row r="483" ht="18.95" customHeight="1"/>
    <row r="484" ht="18.95" customHeight="1"/>
    <row r="485" ht="18.95" customHeight="1"/>
    <row r="486" ht="18.95" customHeight="1"/>
    <row r="487" ht="18.95" customHeight="1"/>
    <row r="488" ht="18.95" customHeight="1"/>
    <row r="489" ht="18.95" customHeight="1"/>
    <row r="490" ht="18.95" customHeight="1"/>
    <row r="491" ht="18.95" customHeight="1"/>
    <row r="492" ht="18.95" customHeight="1"/>
    <row r="493" ht="18.95" customHeight="1"/>
    <row r="494" ht="18.95" customHeight="1"/>
    <row r="495" ht="18.95" customHeight="1"/>
    <row r="496" ht="18.95" customHeight="1"/>
    <row r="497" ht="18.95" customHeight="1"/>
    <row r="498" ht="18.95" customHeight="1"/>
    <row r="499" ht="18.95" customHeight="1"/>
    <row r="500" ht="18.95" customHeight="1"/>
    <row r="501" ht="18.95" customHeight="1"/>
    <row r="502" ht="18.95" customHeight="1"/>
    <row r="503" ht="18.95" customHeight="1"/>
    <row r="504" ht="18.95" customHeight="1"/>
    <row r="505" ht="18.95" customHeight="1"/>
    <row r="506" ht="18.95" customHeight="1"/>
    <row r="507" ht="18.95" customHeight="1"/>
    <row r="508" ht="18.95" customHeight="1"/>
    <row r="509" ht="18.95" customHeight="1"/>
    <row r="510" ht="18.95" customHeight="1"/>
    <row r="511" ht="18.95" customHeight="1"/>
    <row r="512" ht="18.95" customHeight="1"/>
    <row r="513" ht="18.95" customHeight="1"/>
    <row r="514" ht="18.95" customHeight="1"/>
    <row r="515" ht="18.95" customHeight="1"/>
    <row r="516" ht="18.95" customHeight="1"/>
    <row r="517" ht="18.95" customHeight="1"/>
    <row r="518" ht="18.95" customHeight="1"/>
    <row r="519" ht="18.95" customHeight="1"/>
    <row r="520" ht="18.95" customHeight="1"/>
    <row r="521" ht="18.95" customHeight="1"/>
    <row r="522" ht="18.95" customHeight="1"/>
    <row r="523" ht="18.95" customHeight="1"/>
    <row r="524" ht="18.95" customHeight="1"/>
    <row r="525" ht="18.95" customHeight="1"/>
    <row r="526" ht="18.95" customHeight="1"/>
    <row r="527" ht="18.95" customHeight="1"/>
    <row r="528" ht="18.95" customHeight="1"/>
    <row r="529" ht="18.95" customHeight="1"/>
    <row r="530" ht="18.95" customHeight="1"/>
    <row r="531" ht="18.95" customHeight="1"/>
    <row r="532" ht="18.95" customHeight="1"/>
    <row r="533" ht="18.95" customHeight="1"/>
    <row r="534" ht="18.95" customHeight="1"/>
    <row r="535" ht="18.95" customHeight="1"/>
    <row r="536" ht="18.95" customHeight="1"/>
    <row r="537" ht="18.95" customHeight="1"/>
    <row r="538" ht="18.95" customHeight="1"/>
    <row r="539" ht="18.95" customHeight="1"/>
    <row r="540" ht="18.95" customHeight="1"/>
    <row r="541" ht="18.95" customHeight="1"/>
    <row r="542" ht="18.95" customHeight="1"/>
    <row r="543" ht="18.95" customHeight="1"/>
    <row r="544" ht="18.95" customHeight="1"/>
    <row r="545" ht="18.95" customHeight="1"/>
    <row r="546" ht="18.95" customHeight="1"/>
    <row r="547" ht="18.95" customHeight="1"/>
    <row r="548" ht="18.95" customHeight="1"/>
    <row r="549" ht="18.95" customHeight="1"/>
    <row r="550" ht="18.95" customHeight="1"/>
    <row r="551" ht="18.95" customHeight="1"/>
    <row r="552" ht="18.95" customHeight="1"/>
    <row r="553" ht="18.95" customHeight="1"/>
    <row r="554" ht="18.95" customHeight="1"/>
    <row r="555" ht="18.95" customHeight="1"/>
    <row r="556" ht="18.95" customHeight="1"/>
    <row r="557" ht="18.95" customHeight="1"/>
    <row r="558" ht="18.95" customHeight="1"/>
    <row r="559" ht="18.95" customHeight="1"/>
    <row r="560" ht="18.95" customHeight="1"/>
    <row r="561" ht="18.95" customHeight="1"/>
    <row r="562" ht="18.95" customHeight="1"/>
    <row r="563" ht="18.95" customHeight="1"/>
    <row r="564" ht="18.95" customHeight="1"/>
    <row r="565" ht="18.95" customHeight="1"/>
    <row r="566" ht="18.95" customHeight="1"/>
    <row r="567" ht="18.95" customHeight="1"/>
    <row r="568" ht="18.95" customHeight="1"/>
    <row r="569" ht="18.95" customHeight="1"/>
    <row r="570" ht="18.95" customHeight="1"/>
    <row r="571" ht="18.95" customHeight="1"/>
    <row r="572" ht="18.95" customHeight="1"/>
    <row r="573" ht="18.95" customHeight="1"/>
    <row r="574" ht="18.95" customHeight="1"/>
    <row r="575" ht="18.95" customHeight="1"/>
    <row r="576" ht="18.95" customHeight="1"/>
    <row r="577" ht="18.95" customHeight="1"/>
    <row r="578" ht="18.95" customHeight="1"/>
    <row r="579" ht="18.95" customHeight="1"/>
    <row r="580" ht="18.95" customHeight="1"/>
    <row r="581" ht="18.95" customHeight="1"/>
    <row r="582" ht="18.95" customHeight="1"/>
    <row r="583" ht="18.95" customHeight="1"/>
    <row r="584" ht="18.95" customHeight="1"/>
    <row r="585" ht="18.95" customHeight="1"/>
    <row r="586" ht="18.95" customHeight="1"/>
    <row r="587" ht="18.95" customHeight="1"/>
    <row r="588" ht="18.95" customHeight="1"/>
    <row r="589" ht="18.95" customHeight="1"/>
    <row r="590" ht="18.95" customHeight="1"/>
    <row r="591" ht="18.95" customHeight="1"/>
    <row r="592" ht="18.95" customHeight="1"/>
    <row r="593" ht="18.95" customHeight="1"/>
    <row r="594" ht="18.95" customHeight="1"/>
    <row r="595" ht="18.95" customHeight="1"/>
    <row r="596" ht="18.95" customHeight="1"/>
    <row r="597" ht="18.95" customHeight="1"/>
    <row r="598" ht="18.95" customHeight="1"/>
    <row r="599" ht="18.95" customHeight="1"/>
    <row r="600" ht="18.95" customHeight="1"/>
    <row r="601" ht="18.95" customHeight="1"/>
    <row r="602" ht="18.95" customHeight="1"/>
    <row r="603" ht="18.95" customHeight="1"/>
    <row r="604" ht="18.95" customHeight="1"/>
    <row r="605" ht="18.95" customHeight="1"/>
    <row r="606" ht="18.95" customHeight="1"/>
    <row r="607" ht="18.95" customHeight="1"/>
    <row r="608" ht="18.95" customHeight="1"/>
    <row r="609" ht="18.95" customHeight="1"/>
    <row r="610" ht="18.95" customHeight="1"/>
    <row r="611" ht="18.95" customHeight="1"/>
    <row r="612" ht="18.95" customHeight="1"/>
    <row r="613" ht="18.95" customHeight="1"/>
    <row r="614" ht="18.95" customHeight="1"/>
    <row r="615" ht="18.95" customHeight="1"/>
    <row r="616" ht="18.95" customHeight="1"/>
    <row r="617" ht="18.95" customHeight="1"/>
    <row r="618" ht="18.95" customHeight="1"/>
    <row r="619" ht="18.95" customHeight="1"/>
    <row r="620" ht="18.95" customHeight="1"/>
    <row r="621" ht="18.95" customHeight="1"/>
    <row r="622" ht="18.95" customHeight="1"/>
    <row r="623" ht="18.95" customHeight="1"/>
    <row r="624" ht="18.95" customHeight="1"/>
    <row r="625" ht="18.95" customHeight="1"/>
    <row r="626" ht="18.95" customHeight="1"/>
    <row r="627" ht="18.95" customHeight="1"/>
    <row r="628" ht="18.95" customHeight="1"/>
    <row r="629" ht="18.95" customHeight="1"/>
    <row r="630" ht="18.95" customHeight="1"/>
    <row r="631" ht="18.95" customHeight="1"/>
    <row r="632" ht="18.95" customHeight="1"/>
    <row r="633" ht="18.95" customHeight="1"/>
    <row r="634" ht="18.95" customHeight="1"/>
    <row r="635" ht="18.95" customHeight="1"/>
    <row r="636" ht="18.95" customHeight="1"/>
    <row r="637" ht="18.95" customHeight="1"/>
    <row r="638" ht="18.95" customHeight="1"/>
    <row r="639" ht="18.95" customHeight="1"/>
    <row r="640" ht="18.95" customHeight="1"/>
    <row r="641" ht="18.95" customHeight="1"/>
    <row r="642" ht="18.95" customHeight="1"/>
    <row r="643" ht="18.95" customHeight="1"/>
    <row r="644" ht="18.95" customHeight="1"/>
    <row r="645" ht="18.95" customHeight="1"/>
    <row r="646" ht="18.95" customHeight="1"/>
    <row r="647" ht="18.95" customHeight="1"/>
    <row r="648" ht="18.95" customHeight="1"/>
    <row r="649" ht="18.95" customHeight="1"/>
    <row r="650" ht="18.95" customHeight="1"/>
    <row r="651" ht="18.95" customHeight="1"/>
    <row r="652" ht="18.95" customHeight="1"/>
    <row r="653" ht="18.95" customHeight="1"/>
    <row r="654" ht="18.95" customHeight="1"/>
    <row r="655" ht="18.95" customHeight="1"/>
    <row r="656" ht="18.95" customHeight="1"/>
    <row r="657" ht="18.95" customHeight="1"/>
    <row r="658" ht="18.95" customHeight="1"/>
    <row r="659" ht="18.95" customHeight="1"/>
    <row r="660" ht="18.95" customHeight="1"/>
    <row r="661" ht="18.95" customHeight="1"/>
    <row r="662" ht="18.95" customHeight="1"/>
    <row r="663" ht="18.95" customHeight="1"/>
    <row r="664" ht="18.95" customHeight="1"/>
    <row r="665" ht="18.95" customHeight="1"/>
    <row r="666" ht="18.95" customHeight="1"/>
    <row r="667" ht="18.95" customHeight="1"/>
    <row r="668" ht="18.95" customHeight="1"/>
    <row r="669" ht="18.95" customHeight="1"/>
    <row r="670" ht="18.95" customHeight="1"/>
    <row r="671" ht="18.95" customHeight="1"/>
    <row r="672" ht="18.95" customHeight="1"/>
    <row r="673" ht="18.95" customHeight="1"/>
    <row r="674" ht="18.95" customHeight="1"/>
    <row r="675" ht="18.95" customHeight="1"/>
    <row r="676" ht="18.95" customHeight="1"/>
    <row r="677" ht="18.95" customHeight="1"/>
    <row r="678" ht="18.95" customHeight="1"/>
    <row r="679" ht="18.95" customHeight="1"/>
    <row r="680" ht="18.95" customHeight="1"/>
    <row r="681" ht="18.95" customHeight="1"/>
    <row r="682" ht="18.95" customHeight="1"/>
    <row r="683" ht="18.95" customHeight="1"/>
    <row r="684" ht="18.95" customHeight="1"/>
    <row r="685" ht="18.95" customHeight="1"/>
    <row r="686" ht="18.95" customHeight="1"/>
    <row r="687" ht="18.95" customHeight="1"/>
    <row r="688" ht="18.95" customHeight="1"/>
    <row r="689" ht="18.95" customHeight="1"/>
    <row r="690" ht="18.95" customHeight="1"/>
    <row r="691" ht="18.95" customHeight="1"/>
    <row r="692" ht="18.95" customHeight="1"/>
    <row r="693" ht="18.95" customHeight="1"/>
    <row r="694" ht="18.95" customHeight="1"/>
    <row r="695" ht="18.95" customHeight="1"/>
    <row r="696" ht="18.95" customHeight="1"/>
    <row r="697" ht="18.95" customHeight="1"/>
    <row r="698" ht="18.95" customHeight="1"/>
    <row r="699" ht="18.95" customHeight="1"/>
    <row r="700" ht="18.95" customHeight="1"/>
    <row r="701" ht="18.95" customHeight="1"/>
    <row r="702" ht="18.95" customHeight="1"/>
    <row r="703" ht="18.95" customHeight="1"/>
    <row r="704" ht="18.95" customHeight="1"/>
    <row r="705" ht="18.95" customHeight="1"/>
    <row r="706" ht="18.95" customHeight="1"/>
    <row r="707" ht="18.95" customHeight="1"/>
    <row r="708" ht="18.95" customHeight="1"/>
    <row r="709" ht="18.95" customHeight="1"/>
    <row r="710" ht="18.95" customHeight="1"/>
    <row r="711" ht="18.95" customHeight="1"/>
    <row r="712" ht="18.95" customHeight="1"/>
    <row r="713" ht="18.95" customHeight="1"/>
    <row r="714" ht="18.95" customHeight="1"/>
    <row r="715" ht="18.95" customHeight="1"/>
    <row r="716" ht="18.95" customHeight="1"/>
    <row r="717" ht="18.95" customHeight="1"/>
    <row r="718" ht="18.95" customHeight="1"/>
    <row r="719" ht="18.95" customHeight="1"/>
    <row r="720" ht="18.95" customHeight="1"/>
    <row r="721" ht="18.95" customHeight="1"/>
    <row r="722" ht="18.95" customHeight="1"/>
    <row r="723" ht="18.95" customHeight="1"/>
    <row r="724" ht="18.95" customHeight="1"/>
    <row r="725" ht="18.95" customHeight="1"/>
    <row r="726" ht="18.95" customHeight="1"/>
    <row r="727" ht="18.95" customHeight="1"/>
    <row r="728" ht="18.95" customHeight="1"/>
    <row r="729" ht="18.95" customHeight="1"/>
    <row r="730" ht="18.95" customHeight="1"/>
    <row r="731" ht="18.95" customHeight="1"/>
    <row r="732" ht="18.95" customHeight="1"/>
    <row r="733" ht="18.95" customHeight="1"/>
    <row r="734" ht="18.95" customHeight="1"/>
    <row r="735" ht="18.95" customHeight="1"/>
    <row r="736" ht="18.95" customHeight="1"/>
    <row r="737" ht="18.95" customHeight="1"/>
    <row r="738" ht="18.95" customHeight="1"/>
    <row r="739" ht="18.95" customHeight="1"/>
    <row r="740" ht="18.95" customHeight="1"/>
    <row r="741" ht="18.95" customHeight="1"/>
    <row r="742" ht="18.95" customHeight="1"/>
    <row r="743" ht="18.95" customHeight="1"/>
    <row r="744" ht="18.95" customHeight="1"/>
    <row r="745" ht="18.95" customHeight="1"/>
    <row r="746" ht="18.95" customHeight="1"/>
    <row r="747" ht="18.95" customHeight="1"/>
    <row r="748" ht="18.95" customHeight="1"/>
    <row r="749" ht="18.95" customHeight="1"/>
    <row r="750" ht="18.95" customHeight="1"/>
    <row r="751" ht="18.95" customHeight="1"/>
    <row r="752" ht="18.95" customHeight="1"/>
    <row r="753" ht="18.95" customHeight="1"/>
    <row r="754" ht="18.95" customHeight="1"/>
    <row r="755" ht="18.95" customHeight="1"/>
    <row r="756" ht="18.95" customHeight="1"/>
    <row r="757" ht="18.95" customHeight="1"/>
    <row r="758" ht="18.95" customHeight="1"/>
    <row r="759" ht="18.95" customHeight="1"/>
    <row r="760" ht="18.95" customHeight="1"/>
    <row r="761" ht="18.95" customHeight="1"/>
    <row r="762" ht="18.95" customHeight="1"/>
    <row r="763" ht="18.95" customHeight="1"/>
    <row r="764" ht="18.95" customHeight="1"/>
    <row r="765" ht="18.95" customHeight="1"/>
    <row r="766" ht="18.95" customHeight="1"/>
    <row r="767" ht="18.95" customHeight="1"/>
    <row r="768" ht="18.95" customHeight="1"/>
    <row r="769" ht="18.95" customHeight="1"/>
    <row r="770" ht="18.95" customHeight="1"/>
    <row r="771" ht="18.95" customHeight="1"/>
    <row r="772" ht="18.95" customHeight="1"/>
    <row r="773" ht="18.95" customHeight="1"/>
    <row r="774" ht="18.95" customHeight="1"/>
    <row r="775" ht="18.95" customHeight="1"/>
    <row r="776" ht="18.95" customHeight="1"/>
    <row r="777" ht="18.95" customHeight="1"/>
    <row r="778" ht="18.95" customHeight="1"/>
    <row r="779" ht="18.95" customHeight="1"/>
    <row r="780" ht="18.95" customHeight="1"/>
    <row r="781" ht="18.95" customHeight="1"/>
    <row r="782" ht="18.95" customHeight="1"/>
    <row r="783" ht="18.95" customHeight="1"/>
    <row r="784" ht="18.95" customHeight="1"/>
    <row r="785" ht="18.95" customHeight="1"/>
    <row r="786" ht="18.95" customHeight="1"/>
    <row r="787" ht="18.95" customHeight="1"/>
    <row r="788" ht="18.95" customHeight="1"/>
    <row r="789" ht="18.95" customHeight="1"/>
    <row r="790" ht="18.95" customHeight="1"/>
    <row r="791" ht="18.95" customHeight="1"/>
    <row r="792" ht="18.95" customHeight="1"/>
    <row r="793" ht="18.95" customHeight="1"/>
    <row r="794" ht="18.95" customHeight="1"/>
    <row r="795" ht="18.95" customHeight="1"/>
    <row r="796" ht="18.95" customHeight="1"/>
    <row r="797" ht="18.95" customHeight="1"/>
    <row r="798" ht="18.95" customHeight="1"/>
    <row r="799" ht="18.95" customHeight="1"/>
    <row r="800" ht="18.95" customHeight="1"/>
    <row r="801" ht="18.95" customHeight="1"/>
    <row r="802" ht="18.95" customHeight="1"/>
    <row r="803" ht="18.95" customHeight="1"/>
    <row r="804" ht="18.95" customHeight="1"/>
    <row r="805" ht="18.95" customHeight="1"/>
    <row r="806" ht="18.95" customHeight="1"/>
    <row r="807" ht="18.95" customHeight="1"/>
    <row r="808" ht="18.95" customHeight="1"/>
    <row r="809" ht="18.95" customHeight="1"/>
    <row r="810" ht="18.95" customHeight="1"/>
    <row r="811" ht="18.95" customHeight="1"/>
    <row r="812" ht="18.95" customHeight="1"/>
    <row r="813" ht="18.95" customHeight="1"/>
    <row r="814" ht="18.95" customHeight="1"/>
    <row r="815" ht="18.95" customHeight="1"/>
    <row r="816" ht="18.95" customHeight="1"/>
    <row r="817" ht="18.95" customHeight="1"/>
    <row r="818" ht="18.95" customHeight="1"/>
    <row r="819" ht="18.95" customHeight="1"/>
    <row r="820" ht="18.95" customHeight="1"/>
    <row r="821" ht="18.95" customHeight="1"/>
  </sheetData>
  <mergeCells count="37">
    <mergeCell ref="C9:C10"/>
    <mergeCell ref="C83:C84"/>
    <mergeCell ref="D83:D84"/>
    <mergeCell ref="E83:E84"/>
    <mergeCell ref="F83:F84"/>
    <mergeCell ref="C33:C34"/>
    <mergeCell ref="D33:E33"/>
    <mergeCell ref="F33:G33"/>
    <mergeCell ref="B80:J80"/>
    <mergeCell ref="C58:C59"/>
    <mergeCell ref="D58:E58"/>
    <mergeCell ref="F58:H58"/>
    <mergeCell ref="D57:H57"/>
    <mergeCell ref="G83:G84"/>
    <mergeCell ref="D82:G82"/>
    <mergeCell ref="P68:AG68"/>
    <mergeCell ref="AK62:BD62"/>
    <mergeCell ref="B6:J6"/>
    <mergeCell ref="B30:J30"/>
    <mergeCell ref="B55:J55"/>
    <mergeCell ref="D8:E8"/>
    <mergeCell ref="F8:G8"/>
    <mergeCell ref="P56:AG56"/>
    <mergeCell ref="P6:AG6"/>
    <mergeCell ref="AK6:BD6"/>
    <mergeCell ref="P32:AG32"/>
    <mergeCell ref="Q38:R38"/>
    <mergeCell ref="S38:T38"/>
    <mergeCell ref="G9:G10"/>
    <mergeCell ref="F9:F10"/>
    <mergeCell ref="E9:E10"/>
    <mergeCell ref="BA19:BB19"/>
    <mergeCell ref="BC19:BD19"/>
    <mergeCell ref="BH6:BZ6"/>
    <mergeCell ref="D32:I32"/>
    <mergeCell ref="H33:I33"/>
    <mergeCell ref="D9:D10"/>
  </mergeCells>
  <pageMargins left="0.7" right="0.7" top="0.75" bottom="0.75" header="0.3" footer="0.3"/>
  <pageSetup paperSize="9" scale="1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O63"/>
  <sheetViews>
    <sheetView showGridLines="0" view="pageBreakPreview" zoomScale="130" zoomScaleNormal="100" zoomScaleSheetLayoutView="130" zoomScalePageLayoutView="70" workbookViewId="0">
      <selection activeCell="P36" sqref="P36"/>
    </sheetView>
  </sheetViews>
  <sheetFormatPr defaultRowHeight="14.25"/>
  <cols>
    <col min="1" max="1" width="2" customWidth="1"/>
    <col min="2" max="2" width="5.625" customWidth="1"/>
    <col min="3" max="3" width="6.875" customWidth="1"/>
    <col min="4" max="4" width="13.125" customWidth="1"/>
    <col min="5" max="5" width="8.5" customWidth="1"/>
    <col min="6" max="6" width="7.25" customWidth="1"/>
    <col min="7" max="7" width="2.5" customWidth="1"/>
    <col min="8" max="8" width="6.5" customWidth="1"/>
    <col min="9" max="9" width="6.625" customWidth="1"/>
    <col min="10" max="10" width="9.5" customWidth="1"/>
    <col min="11" max="11" width="9.625" customWidth="1"/>
    <col min="12" max="12" width="10.25" customWidth="1"/>
    <col min="13" max="13" width="2.625" customWidth="1"/>
  </cols>
  <sheetData>
    <row r="1" spans="1:13" ht="27">
      <c r="A1" s="294"/>
      <c r="B1" s="295"/>
      <c r="C1" s="295"/>
      <c r="D1" s="1090" t="str">
        <f>CONCATENATE("BHM ",OBLICZENIA!$D$121*0.1,"-",OBLICZENIA!$E$121,"-",OBLICZENIA!$E$24*1000)</f>
        <v>BHM 32-450-7500</v>
      </c>
      <c r="E1" s="1090"/>
      <c r="F1" s="1090"/>
      <c r="G1" s="1090"/>
      <c r="H1" s="1090"/>
      <c r="I1" s="1090"/>
      <c r="J1" s="1090"/>
      <c r="K1" s="1090"/>
      <c r="L1" s="295"/>
      <c r="M1" s="296"/>
    </row>
    <row r="2" spans="1:13" ht="18" customHeight="1">
      <c r="A2" s="297"/>
      <c r="B2" s="269"/>
      <c r="C2" s="269"/>
      <c r="D2" s="327"/>
      <c r="E2" s="327"/>
      <c r="F2" s="327"/>
      <c r="G2" s="327"/>
      <c r="H2" s="327"/>
      <c r="I2" s="327"/>
      <c r="J2" s="327"/>
      <c r="K2" s="327"/>
      <c r="L2" s="269"/>
      <c r="M2" s="298"/>
    </row>
    <row r="3" spans="1:13" ht="18" customHeight="1">
      <c r="A3" s="297"/>
      <c r="B3" s="269"/>
      <c r="C3" s="269"/>
      <c r="D3" s="269"/>
      <c r="E3" s="326"/>
      <c r="F3" s="326"/>
      <c r="G3" s="326"/>
      <c r="H3" s="326"/>
      <c r="I3" s="326"/>
      <c r="J3" s="326"/>
      <c r="K3" s="269"/>
      <c r="L3" s="269"/>
      <c r="M3" s="298"/>
    </row>
    <row r="4" spans="1:13" ht="18" customHeight="1">
      <c r="A4" s="297"/>
      <c r="B4" s="269"/>
      <c r="C4" s="269"/>
      <c r="D4" s="326"/>
      <c r="E4" s="326"/>
      <c r="F4" s="326"/>
      <c r="G4" s="326"/>
      <c r="H4" s="326"/>
      <c r="I4" s="326"/>
      <c r="J4" s="326"/>
      <c r="K4" s="269"/>
      <c r="L4" s="269"/>
      <c r="M4" s="298"/>
    </row>
    <row r="5" spans="1:13" ht="18" customHeight="1">
      <c r="A5" s="297"/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98"/>
    </row>
    <row r="6" spans="1:13" ht="18" customHeight="1">
      <c r="A6" s="297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98"/>
    </row>
    <row r="7" spans="1:13" ht="18" customHeight="1">
      <c r="A7" s="297"/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98"/>
    </row>
    <row r="8" spans="1:13" ht="18" customHeight="1">
      <c r="A8" s="297"/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98"/>
    </row>
    <row r="9" spans="1:13" ht="18" customHeight="1">
      <c r="A9" s="297"/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98"/>
    </row>
    <row r="10" spans="1:13" ht="18" customHeight="1">
      <c r="A10" s="297"/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98"/>
    </row>
    <row r="11" spans="1:13" ht="18" customHeight="1">
      <c r="A11" s="297"/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98"/>
    </row>
    <row r="12" spans="1:13" ht="18" customHeight="1">
      <c r="A12" s="297"/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98"/>
    </row>
    <row r="13" spans="1:13" ht="18" customHeight="1">
      <c r="A13" s="297"/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98"/>
    </row>
    <row r="14" spans="1:13" ht="18" customHeight="1">
      <c r="A14" s="297"/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98"/>
    </row>
    <row r="15" spans="1:13" ht="18" customHeight="1">
      <c r="A15" s="297"/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98"/>
    </row>
    <row r="16" spans="1:13" ht="18" customHeight="1">
      <c r="A16" s="297"/>
      <c r="B16" s="269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98"/>
    </row>
    <row r="17" spans="1:13" ht="12" customHeight="1">
      <c r="A17" s="297"/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98"/>
    </row>
    <row r="18" spans="1:13" ht="12" customHeight="1">
      <c r="A18" s="297"/>
      <c r="B18" s="319"/>
      <c r="G18" s="328"/>
      <c r="H18" s="328"/>
      <c r="I18" s="328"/>
      <c r="J18" s="328"/>
      <c r="K18" s="328"/>
      <c r="L18" s="328"/>
      <c r="M18" s="333"/>
    </row>
    <row r="19" spans="1:13" ht="18" customHeight="1">
      <c r="A19" s="297"/>
      <c r="B19" s="319"/>
      <c r="C19" s="334" t="s">
        <v>564</v>
      </c>
      <c r="D19" s="334"/>
      <c r="E19" s="334"/>
      <c r="F19" s="803">
        <f>OBLICZENIA!$F$186</f>
        <v>7.5</v>
      </c>
      <c r="G19" s="328"/>
      <c r="H19" s="328"/>
      <c r="I19" s="328"/>
      <c r="J19" s="328"/>
      <c r="K19" s="328"/>
      <c r="L19" s="328"/>
      <c r="M19" s="333"/>
    </row>
    <row r="20" spans="1:13" ht="18" customHeight="1">
      <c r="A20" s="297"/>
      <c r="B20" s="319"/>
      <c r="M20" s="333"/>
    </row>
    <row r="21" spans="1:13" ht="18" customHeight="1">
      <c r="A21" s="297"/>
      <c r="B21" s="319"/>
      <c r="C21" s="328" t="s">
        <v>580</v>
      </c>
      <c r="D21" s="328"/>
      <c r="E21" s="328"/>
      <c r="F21" s="328"/>
      <c r="G21" s="328"/>
      <c r="H21" s="328"/>
      <c r="I21" s="328"/>
      <c r="J21" s="328"/>
      <c r="K21" s="328"/>
      <c r="L21" s="328"/>
      <c r="M21" s="333"/>
    </row>
    <row r="22" spans="1:13" ht="18" customHeight="1">
      <c r="A22" s="297"/>
      <c r="B22" s="319"/>
      <c r="C22" s="329" t="s">
        <v>586</v>
      </c>
      <c r="D22" s="330"/>
      <c r="E22" s="335" t="s">
        <v>469</v>
      </c>
      <c r="F22" s="336"/>
      <c r="G22" s="336"/>
      <c r="H22" s="336"/>
      <c r="I22" s="336"/>
      <c r="J22" s="336"/>
      <c r="K22" s="336"/>
      <c r="L22" s="325"/>
      <c r="M22" s="333"/>
    </row>
    <row r="23" spans="1:13" ht="18" customHeight="1">
      <c r="A23" s="297"/>
      <c r="B23" s="319"/>
      <c r="C23" s="1082" t="s">
        <v>565</v>
      </c>
      <c r="D23" s="1083"/>
      <c r="E23" s="334" t="s">
        <v>567</v>
      </c>
      <c r="F23" s="804">
        <f>OBLICZENIA!$F$129</f>
        <v>806</v>
      </c>
      <c r="G23" s="328"/>
      <c r="H23" s="328"/>
      <c r="I23" s="1082" t="s">
        <v>566</v>
      </c>
      <c r="J23" s="1083"/>
      <c r="K23" s="334" t="s">
        <v>590</v>
      </c>
      <c r="L23" s="804">
        <f>OBLICZENIA!$D$129</f>
        <v>255</v>
      </c>
      <c r="M23" s="333"/>
    </row>
    <row r="24" spans="1:13" ht="18" customHeight="1">
      <c r="A24" s="297"/>
      <c r="B24" s="319"/>
      <c r="C24" s="1084"/>
      <c r="D24" s="1085"/>
      <c r="E24" s="334" t="s">
        <v>593</v>
      </c>
      <c r="F24" s="804">
        <f>OBLICZENIA!$G$129</f>
        <v>170</v>
      </c>
      <c r="G24" s="328"/>
      <c r="H24" s="328"/>
      <c r="I24" s="1086"/>
      <c r="J24" s="1087"/>
      <c r="K24" s="334" t="s">
        <v>592</v>
      </c>
      <c r="L24" s="804">
        <f>OBLICZENIA!$E$129</f>
        <v>8</v>
      </c>
      <c r="M24" s="333"/>
    </row>
    <row r="25" spans="1:13" ht="18" customHeight="1">
      <c r="A25" s="297"/>
      <c r="B25" s="319"/>
      <c r="C25" s="1086"/>
      <c r="D25" s="1087"/>
      <c r="E25" s="334" t="s">
        <v>594</v>
      </c>
      <c r="F25" s="804">
        <f>OBLICZENIA!$H$129</f>
        <v>15</v>
      </c>
      <c r="G25" s="328"/>
      <c r="H25" s="328"/>
      <c r="I25" s="1088" t="s">
        <v>587</v>
      </c>
      <c r="J25" s="1089"/>
      <c r="K25" s="334" t="s">
        <v>595</v>
      </c>
      <c r="L25" s="804">
        <f>OBLICZENIA!$AB$73</f>
        <v>25</v>
      </c>
      <c r="M25" s="333"/>
    </row>
    <row r="26" spans="1:13" ht="12" customHeight="1">
      <c r="A26" s="297"/>
      <c r="B26" s="319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33"/>
    </row>
    <row r="27" spans="1:13" ht="18" customHeight="1">
      <c r="A27" s="297"/>
      <c r="B27" s="319"/>
      <c r="C27" s="328" t="s">
        <v>581</v>
      </c>
      <c r="D27" s="328"/>
      <c r="E27" s="328"/>
      <c r="F27" s="328"/>
      <c r="G27" s="328"/>
      <c r="H27" s="328"/>
      <c r="I27" s="328"/>
      <c r="J27" s="328"/>
      <c r="K27" s="328"/>
      <c r="L27" s="328"/>
      <c r="M27" s="333"/>
    </row>
    <row r="28" spans="1:13" ht="18" customHeight="1">
      <c r="A28" s="297"/>
      <c r="B28" s="319"/>
      <c r="C28" s="332" t="s">
        <v>468</v>
      </c>
      <c r="D28" s="335" t="s">
        <v>245</v>
      </c>
      <c r="E28" s="336"/>
      <c r="F28" s="336"/>
      <c r="G28" s="336"/>
      <c r="H28" s="336"/>
      <c r="I28" s="331" t="s">
        <v>589</v>
      </c>
      <c r="J28" s="330"/>
      <c r="K28" s="335" t="s">
        <v>66</v>
      </c>
      <c r="L28" s="325"/>
      <c r="M28" s="333"/>
    </row>
    <row r="29" spans="1:13" ht="18" customHeight="1">
      <c r="A29" s="297"/>
      <c r="B29" s="319"/>
      <c r="C29" s="1103" t="s">
        <v>588</v>
      </c>
      <c r="D29" s="1103"/>
      <c r="E29" s="334" t="s">
        <v>596</v>
      </c>
      <c r="F29" s="804">
        <f>OBLICZENIA!$D$121</f>
        <v>320</v>
      </c>
      <c r="G29" s="328"/>
      <c r="H29" s="328"/>
      <c r="I29" s="1088" t="s">
        <v>599</v>
      </c>
      <c r="J29" s="1089"/>
      <c r="K29" s="1105" t="str">
        <f>CONCATENATE(OBLICZENIA!$D$125,"  φ ",OBLICZENIA!$E$125)</f>
        <v>6  φ 32</v>
      </c>
      <c r="L29" s="1106"/>
      <c r="M29" s="333"/>
    </row>
    <row r="30" spans="1:13" ht="18" customHeight="1">
      <c r="A30" s="297"/>
      <c r="B30" s="319"/>
      <c r="C30" s="1103"/>
      <c r="D30" s="1103"/>
      <c r="E30" s="334" t="s">
        <v>591</v>
      </c>
      <c r="F30" s="804">
        <f>OBLICZENIA!$E$121</f>
        <v>450</v>
      </c>
      <c r="G30" s="328"/>
      <c r="H30" s="328"/>
      <c r="I30" s="1088" t="s">
        <v>600</v>
      </c>
      <c r="J30" s="1089"/>
      <c r="K30" s="1105" t="str">
        <f>CONCATENATE(OBLICZENIA!$F$125,"  φ ",OBLICZENIA!$G$125)</f>
        <v>6  φ 16</v>
      </c>
      <c r="L30" s="1106"/>
      <c r="M30" s="333"/>
    </row>
    <row r="31" spans="1:13" ht="18" customHeight="1">
      <c r="A31" s="297"/>
      <c r="B31" s="319"/>
      <c r="C31" s="1104" t="s">
        <v>570</v>
      </c>
      <c r="D31" s="1104"/>
      <c r="E31" s="805" t="s">
        <v>835</v>
      </c>
      <c r="F31" s="804">
        <f>OBLICZENIA!$G$142</f>
        <v>20</v>
      </c>
      <c r="G31" s="328"/>
      <c r="H31" s="328"/>
      <c r="I31" s="338" t="s">
        <v>583</v>
      </c>
      <c r="J31" s="334"/>
      <c r="K31" s="1105" t="str">
        <f>CONCATENATE("  φ ",OBLICZENIA!$H$125,"  /  ",OBLICZENIA!$I$125)</f>
        <v xml:space="preserve">  φ 8  /  125</v>
      </c>
      <c r="L31" s="1106"/>
      <c r="M31" s="333"/>
    </row>
    <row r="32" spans="1:13" ht="18" customHeight="1">
      <c r="A32" s="297"/>
      <c r="B32" s="319"/>
      <c r="C32" s="1104" t="s">
        <v>571</v>
      </c>
      <c r="D32" s="1104"/>
      <c r="E32" s="805" t="s">
        <v>836</v>
      </c>
      <c r="F32" s="804">
        <f>OBLICZENIA!$G$143</f>
        <v>30</v>
      </c>
      <c r="G32" s="337"/>
      <c r="H32" s="337"/>
      <c r="I32" s="1109" t="s">
        <v>601</v>
      </c>
      <c r="J32" s="1110"/>
      <c r="K32" s="1105" t="s">
        <v>831</v>
      </c>
      <c r="L32" s="1106"/>
      <c r="M32" s="333"/>
    </row>
    <row r="33" spans="1:15" ht="12" customHeight="1">
      <c r="A33" s="297"/>
      <c r="B33" s="319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33"/>
    </row>
    <row r="34" spans="1:15" ht="18" customHeight="1">
      <c r="A34" s="297"/>
      <c r="B34" s="319"/>
      <c r="C34" s="324" t="s">
        <v>572</v>
      </c>
      <c r="D34" s="336"/>
      <c r="E34" s="336"/>
      <c r="F34" s="336"/>
      <c r="G34" s="336"/>
      <c r="H34" s="336"/>
      <c r="I34" s="336"/>
      <c r="J34" s="336"/>
      <c r="K34" s="336"/>
      <c r="L34" s="325"/>
      <c r="M34" s="333"/>
    </row>
    <row r="35" spans="1:15" ht="18" customHeight="1">
      <c r="A35" s="297"/>
      <c r="B35" s="319"/>
      <c r="C35" s="1107" t="s">
        <v>833</v>
      </c>
      <c r="D35" s="1108"/>
      <c r="E35" s="334" t="s">
        <v>573</v>
      </c>
      <c r="F35" s="803">
        <f>OBLICZENIA!$E$220</f>
        <v>57.704344999999996</v>
      </c>
      <c r="G35" s="328"/>
      <c r="H35" s="328"/>
      <c r="I35" s="321" t="s">
        <v>568</v>
      </c>
      <c r="J35" s="322"/>
      <c r="K35" s="334" t="s">
        <v>602</v>
      </c>
      <c r="L35" s="803">
        <f>INT(OBLICZENIA!$T$65)</f>
        <v>832</v>
      </c>
      <c r="M35" s="333"/>
    </row>
    <row r="36" spans="1:15" ht="18" customHeight="1">
      <c r="A36" s="297"/>
      <c r="B36" s="319"/>
      <c r="C36" s="1107" t="s">
        <v>834</v>
      </c>
      <c r="D36" s="1108"/>
      <c r="E36" s="334" t="s">
        <v>574</v>
      </c>
      <c r="F36" s="803">
        <f>OBLICZENIA!$E$239</f>
        <v>63.2</v>
      </c>
      <c r="G36" s="337"/>
      <c r="H36" s="337"/>
      <c r="I36" s="321" t="s">
        <v>569</v>
      </c>
      <c r="J36" s="322"/>
      <c r="K36" s="334" t="s">
        <v>603</v>
      </c>
      <c r="L36" s="803">
        <f>INT(OBLICZENIA!$T$58)</f>
        <v>1549</v>
      </c>
      <c r="M36" s="333"/>
    </row>
    <row r="37" spans="1:15" ht="12" customHeight="1">
      <c r="A37" s="297"/>
      <c r="B37" s="319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33"/>
    </row>
    <row r="38" spans="1:15" ht="12" customHeight="1">
      <c r="A38" s="297"/>
      <c r="B38" s="319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33"/>
    </row>
    <row r="39" spans="1:15" ht="18" customHeight="1">
      <c r="A39" s="297"/>
      <c r="B39" s="319"/>
      <c r="C39" s="1088" t="s">
        <v>584</v>
      </c>
      <c r="D39" s="1091"/>
      <c r="E39" s="1089"/>
      <c r="F39" s="804" t="s">
        <v>585</v>
      </c>
      <c r="G39" s="328"/>
      <c r="H39" s="328"/>
      <c r="I39" s="328"/>
      <c r="J39" s="328"/>
      <c r="K39" s="328"/>
      <c r="L39" s="328"/>
      <c r="M39" s="333"/>
    </row>
    <row r="40" spans="1:15" ht="12" customHeight="1">
      <c r="A40" s="297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98"/>
    </row>
    <row r="41" spans="1:15" ht="12" customHeight="1">
      <c r="A41" s="297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323"/>
      <c r="N41" s="269"/>
      <c r="O41" s="269"/>
    </row>
    <row r="42" spans="1:15" ht="15" customHeight="1">
      <c r="A42" s="297"/>
      <c r="C42" s="806" t="s">
        <v>598</v>
      </c>
      <c r="D42" s="807"/>
      <c r="E42" s="269"/>
      <c r="F42" s="1092"/>
      <c r="G42" s="1093"/>
      <c r="H42" s="1093"/>
      <c r="I42" s="1093"/>
      <c r="J42" s="1094"/>
      <c r="K42" s="1125" t="s">
        <v>470</v>
      </c>
      <c r="L42" s="1125"/>
      <c r="M42" s="1125"/>
      <c r="N42" s="268"/>
      <c r="O42" s="268"/>
    </row>
    <row r="43" spans="1:15" ht="15" customHeight="1">
      <c r="A43" s="297"/>
      <c r="C43" s="808" t="s">
        <v>837</v>
      </c>
      <c r="D43" s="809"/>
      <c r="E43" s="269"/>
      <c r="F43" s="1095"/>
      <c r="G43" s="1096"/>
      <c r="H43" s="1096"/>
      <c r="I43" s="1096"/>
      <c r="J43" s="1097"/>
      <c r="K43" s="1125"/>
      <c r="L43" s="1125"/>
      <c r="M43" s="1125"/>
      <c r="N43" s="268"/>
      <c r="O43" s="268"/>
    </row>
    <row r="44" spans="1:15" ht="15" customHeight="1">
      <c r="A44" s="297"/>
      <c r="C44" s="810" t="s">
        <v>597</v>
      </c>
      <c r="D44" s="811"/>
      <c r="E44" s="269"/>
      <c r="F44" s="1098"/>
      <c r="G44" s="1099"/>
      <c r="H44" s="1099"/>
      <c r="I44" s="1099"/>
      <c r="J44" s="1100"/>
      <c r="K44" s="1125"/>
      <c r="L44" s="1125"/>
      <c r="M44" s="1125"/>
      <c r="N44" s="268"/>
      <c r="O44" s="268"/>
    </row>
    <row r="45" spans="1:15" ht="15" customHeight="1">
      <c r="A45" s="297"/>
      <c r="E45" s="269"/>
      <c r="F45" s="1111" t="s">
        <v>471</v>
      </c>
      <c r="G45" s="1112"/>
      <c r="H45" s="1112"/>
      <c r="I45" s="1112"/>
      <c r="J45" s="1112"/>
      <c r="K45" s="1112"/>
      <c r="L45" s="1112"/>
      <c r="M45" s="1113"/>
      <c r="N45" s="268"/>
      <c r="O45" s="268"/>
    </row>
    <row r="46" spans="1:15" ht="15" customHeight="1">
      <c r="A46" s="297"/>
      <c r="B46" s="269"/>
      <c r="C46" s="269"/>
      <c r="D46" s="269"/>
      <c r="E46" s="269"/>
      <c r="F46" s="1114"/>
      <c r="G46" s="1115"/>
      <c r="H46" s="1115"/>
      <c r="I46" s="1115"/>
      <c r="J46" s="1115"/>
      <c r="K46" s="1115"/>
      <c r="L46" s="1115"/>
      <c r="M46" s="1116"/>
      <c r="N46" s="270"/>
      <c r="O46" s="270"/>
    </row>
    <row r="47" spans="1:15" ht="12" customHeight="1">
      <c r="A47" s="297"/>
      <c r="B47" s="269"/>
      <c r="C47" s="269"/>
      <c r="D47" s="269"/>
      <c r="E47" s="269"/>
      <c r="F47" s="339" t="s">
        <v>575</v>
      </c>
      <c r="G47" s="1101" t="s">
        <v>576</v>
      </c>
      <c r="H47" s="1102"/>
      <c r="I47" s="340"/>
      <c r="J47" s="1132" t="s">
        <v>838</v>
      </c>
      <c r="K47" s="1134" t="str">
        <f>OBLICZENIA!D4</f>
        <v>miasto / nazwa inwestycji</v>
      </c>
      <c r="L47" s="1134"/>
      <c r="M47" s="1135"/>
      <c r="N47" s="270"/>
      <c r="O47" s="270"/>
    </row>
    <row r="48" spans="1:15" ht="12" customHeight="1">
      <c r="A48" s="297"/>
      <c r="B48" s="269"/>
      <c r="C48" s="269"/>
      <c r="D48" s="269"/>
      <c r="E48" s="320"/>
      <c r="F48" s="339" t="s">
        <v>577</v>
      </c>
      <c r="G48" s="1101" t="s">
        <v>578</v>
      </c>
      <c r="H48" s="1102"/>
      <c r="I48" s="340"/>
      <c r="J48" s="1133"/>
      <c r="K48" s="1136"/>
      <c r="L48" s="1136"/>
      <c r="M48" s="1137"/>
      <c r="N48" s="270"/>
      <c r="O48" s="270"/>
    </row>
    <row r="49" spans="1:15" ht="12" customHeight="1">
      <c r="A49" s="297"/>
      <c r="B49" s="269"/>
      <c r="C49" s="269"/>
      <c r="D49" s="269"/>
      <c r="E49" s="270"/>
      <c r="F49" s="339" t="s">
        <v>579</v>
      </c>
      <c r="G49" s="1101"/>
      <c r="H49" s="1102"/>
      <c r="I49" s="340"/>
      <c r="J49" s="1126" t="str">
        <f>CONCATENATE("PFEIFER Hybridbeam BHM ",OBLICZENIA!$D$121*0.1,"-",OBLICZENIA!$E$121,"-",OBLICZENIA!$E$24*1000)</f>
        <v>PFEIFER Hybridbeam BHM 32-450-7500</v>
      </c>
      <c r="K49" s="1127"/>
      <c r="L49" s="1127"/>
      <c r="M49" s="1128"/>
      <c r="N49" s="270"/>
      <c r="O49" s="270"/>
    </row>
    <row r="50" spans="1:15" ht="12" customHeight="1">
      <c r="A50" s="297"/>
      <c r="B50" s="269"/>
      <c r="C50" s="269"/>
      <c r="D50" s="269"/>
      <c r="E50" s="269"/>
      <c r="F50" s="1117" t="s">
        <v>582</v>
      </c>
      <c r="G50" s="1119">
        <f>OBLICZENIA!$L$5</f>
        <v>43411</v>
      </c>
      <c r="H50" s="1120"/>
      <c r="I50" s="1121"/>
      <c r="J50" s="1126"/>
      <c r="K50" s="1127"/>
      <c r="L50" s="1127"/>
      <c r="M50" s="1128"/>
    </row>
    <row r="51" spans="1:15" ht="18" customHeight="1">
      <c r="A51" s="299"/>
      <c r="B51" s="300"/>
      <c r="C51" s="300"/>
      <c r="D51" s="300"/>
      <c r="E51" s="300"/>
      <c r="F51" s="1118"/>
      <c r="G51" s="1122"/>
      <c r="H51" s="1123"/>
      <c r="I51" s="1124"/>
      <c r="J51" s="1129" t="s">
        <v>832</v>
      </c>
      <c r="K51" s="1130"/>
      <c r="L51" s="1130"/>
      <c r="M51" s="1131"/>
    </row>
    <row r="52" spans="1:15" ht="14.25" customHeight="1">
      <c r="A52" s="297"/>
      <c r="D52" s="269"/>
      <c r="E52" s="269"/>
    </row>
    <row r="53" spans="1:15" ht="14.25" customHeight="1">
      <c r="A53" s="269"/>
      <c r="B53" s="269"/>
      <c r="C53" s="269"/>
      <c r="D53" s="269"/>
      <c r="E53" s="269"/>
      <c r="F53" s="269"/>
      <c r="G53" s="269"/>
      <c r="H53" s="269"/>
      <c r="I53" s="269"/>
      <c r="J53" s="269"/>
    </row>
    <row r="54" spans="1:15">
      <c r="A54" s="269"/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</row>
    <row r="55" spans="1:15">
      <c r="A55" s="269"/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</row>
    <row r="56" spans="1:15">
      <c r="A56" s="269"/>
      <c r="B56" s="269"/>
      <c r="C56" s="269"/>
      <c r="D56" s="269"/>
      <c r="E56" s="269"/>
      <c r="F56" s="269"/>
      <c r="G56" s="269"/>
      <c r="H56" s="269"/>
      <c r="I56" s="269"/>
      <c r="J56" s="269"/>
    </row>
    <row r="57" spans="1:15">
      <c r="A57" s="269"/>
      <c r="B57" s="269"/>
      <c r="C57" s="269"/>
      <c r="D57" s="269"/>
      <c r="E57" s="269"/>
      <c r="F57" s="269"/>
      <c r="G57" s="269"/>
      <c r="H57" s="269"/>
      <c r="I57" s="269"/>
      <c r="J57" s="269"/>
    </row>
    <row r="58" spans="1:15">
      <c r="A58" s="269"/>
      <c r="B58" s="269"/>
      <c r="C58" s="269"/>
      <c r="D58" s="269"/>
      <c r="E58" s="269"/>
      <c r="F58" s="269"/>
      <c r="G58" s="269"/>
      <c r="H58" s="269"/>
      <c r="I58" s="269"/>
      <c r="J58" s="269"/>
    </row>
    <row r="59" spans="1:15">
      <c r="A59" s="269"/>
      <c r="B59" s="269"/>
      <c r="C59" s="269"/>
      <c r="D59" s="269"/>
      <c r="E59" s="269"/>
      <c r="F59" s="269"/>
      <c r="G59" s="269"/>
      <c r="H59" s="269"/>
      <c r="I59" s="269"/>
      <c r="J59" s="269"/>
    </row>
    <row r="60" spans="1:15">
      <c r="A60" s="269"/>
      <c r="B60" s="269"/>
      <c r="C60" s="269"/>
      <c r="D60" s="269"/>
      <c r="E60" s="269"/>
      <c r="F60" s="269"/>
      <c r="G60" s="269"/>
      <c r="H60" s="269"/>
      <c r="I60" s="269"/>
      <c r="J60" s="269"/>
    </row>
    <row r="61" spans="1:15">
      <c r="A61" s="269"/>
      <c r="B61" s="269"/>
      <c r="C61" s="269"/>
      <c r="D61" s="269"/>
      <c r="E61" s="269"/>
      <c r="F61" s="269"/>
      <c r="G61" s="269"/>
      <c r="H61" s="269"/>
      <c r="I61" s="269"/>
      <c r="J61" s="269"/>
    </row>
    <row r="62" spans="1:15">
      <c r="A62" s="269"/>
      <c r="B62" s="269"/>
      <c r="C62" s="269"/>
      <c r="D62" s="269"/>
      <c r="E62" s="269"/>
      <c r="F62" s="269"/>
      <c r="G62" s="269"/>
      <c r="H62" s="269"/>
      <c r="I62" s="269"/>
      <c r="J62" s="269"/>
    </row>
    <row r="63" spans="1:15">
      <c r="A63" s="269"/>
      <c r="B63" s="269"/>
      <c r="C63" s="269"/>
      <c r="D63" s="269"/>
      <c r="E63" s="269"/>
      <c r="F63" s="269"/>
      <c r="G63" s="269"/>
      <c r="H63" s="269"/>
      <c r="I63" s="269"/>
      <c r="J63" s="269"/>
    </row>
  </sheetData>
  <mergeCells count="29">
    <mergeCell ref="G49:H49"/>
    <mergeCell ref="F50:F51"/>
    <mergeCell ref="G50:I51"/>
    <mergeCell ref="K42:M44"/>
    <mergeCell ref="J49:M50"/>
    <mergeCell ref="J51:M51"/>
    <mergeCell ref="J47:J48"/>
    <mergeCell ref="K47:M48"/>
    <mergeCell ref="D1:K1"/>
    <mergeCell ref="C39:E39"/>
    <mergeCell ref="F42:J44"/>
    <mergeCell ref="G47:H47"/>
    <mergeCell ref="G48:H48"/>
    <mergeCell ref="C29:D30"/>
    <mergeCell ref="C32:D32"/>
    <mergeCell ref="K29:L29"/>
    <mergeCell ref="K30:L30"/>
    <mergeCell ref="K31:L31"/>
    <mergeCell ref="K32:L32"/>
    <mergeCell ref="C36:D36"/>
    <mergeCell ref="I32:J32"/>
    <mergeCell ref="C31:D31"/>
    <mergeCell ref="C35:D35"/>
    <mergeCell ref="F45:M46"/>
    <mergeCell ref="C23:D25"/>
    <mergeCell ref="I23:J24"/>
    <mergeCell ref="I25:J25"/>
    <mergeCell ref="I29:J29"/>
    <mergeCell ref="I30:J30"/>
  </mergeCells>
  <printOptions verticalCentered="1"/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O75"/>
  <sheetViews>
    <sheetView showGridLines="0" view="pageBreakPreview" zoomScale="115" zoomScaleNormal="100" zoomScaleSheetLayoutView="115" zoomScalePageLayoutView="70" workbookViewId="0">
      <selection activeCell="O35" sqref="O35"/>
    </sheetView>
  </sheetViews>
  <sheetFormatPr defaultRowHeight="14.25"/>
  <cols>
    <col min="1" max="1" width="2" style="787" customWidth="1"/>
    <col min="2" max="2" width="5.625" style="787" customWidth="1"/>
    <col min="3" max="3" width="6.875" style="787" customWidth="1"/>
    <col min="4" max="4" width="13.125" style="787" customWidth="1"/>
    <col min="5" max="5" width="8.5" style="787" customWidth="1"/>
    <col min="6" max="6" width="7.25" style="787" customWidth="1"/>
    <col min="7" max="7" width="2.5" style="787" customWidth="1"/>
    <col min="8" max="8" width="6.5" style="787" customWidth="1"/>
    <col min="9" max="9" width="7.25" style="787" customWidth="1"/>
    <col min="10" max="10" width="9.5" style="787" customWidth="1"/>
    <col min="11" max="11" width="9" style="787" customWidth="1"/>
    <col min="12" max="12" width="10.25" style="787" customWidth="1"/>
    <col min="13" max="13" width="2.625" style="787" customWidth="1"/>
    <col min="14" max="16384" width="9" style="787"/>
  </cols>
  <sheetData>
    <row r="1" spans="1:13" ht="22.5" customHeight="1">
      <c r="A1" s="791"/>
      <c r="B1" s="792"/>
      <c r="C1" s="792"/>
      <c r="D1" s="1090" t="str">
        <f>CONCATENATE("BHM ",OBLICZENIA!$D$121*0.1,"-",OBLICZENIA!$E$121,"-",OBLICZENIA!$E$24*1000)</f>
        <v>BHM 32-450-7500</v>
      </c>
      <c r="E1" s="1090"/>
      <c r="F1" s="1090"/>
      <c r="G1" s="1090"/>
      <c r="H1" s="1090"/>
      <c r="I1" s="1090"/>
      <c r="J1" s="1090"/>
      <c r="K1" s="1090"/>
      <c r="L1" s="792"/>
      <c r="M1" s="793"/>
    </row>
    <row r="2" spans="1:13" ht="12.95" customHeight="1">
      <c r="A2" s="794"/>
      <c r="B2" s="795"/>
      <c r="C2" s="795"/>
      <c r="D2" s="796"/>
      <c r="E2" s="796"/>
      <c r="F2" s="796"/>
      <c r="G2" s="796"/>
      <c r="H2" s="796"/>
      <c r="I2" s="796"/>
      <c r="J2" s="796"/>
      <c r="K2" s="796"/>
      <c r="L2" s="795"/>
      <c r="M2" s="797"/>
    </row>
    <row r="3" spans="1:13" ht="12.95" customHeight="1">
      <c r="A3" s="794"/>
      <c r="B3" s="795"/>
      <c r="C3" s="795"/>
      <c r="D3" s="795"/>
      <c r="E3" s="798"/>
      <c r="F3" s="798"/>
      <c r="G3" s="798"/>
      <c r="H3" s="798"/>
      <c r="I3" s="798"/>
      <c r="J3" s="798"/>
      <c r="K3" s="795"/>
      <c r="L3" s="795"/>
      <c r="M3" s="797"/>
    </row>
    <row r="4" spans="1:13" ht="12.95" customHeight="1">
      <c r="A4" s="794"/>
      <c r="B4" s="795"/>
      <c r="C4" s="795"/>
      <c r="D4" s="798"/>
      <c r="E4" s="798"/>
      <c r="F4" s="798"/>
      <c r="G4" s="798"/>
      <c r="H4" s="798"/>
      <c r="I4" s="798"/>
      <c r="J4" s="798"/>
      <c r="K4" s="795"/>
      <c r="L4" s="795"/>
      <c r="M4" s="797"/>
    </row>
    <row r="5" spans="1:13" ht="12.95" customHeight="1">
      <c r="A5" s="794"/>
      <c r="B5" s="795"/>
      <c r="C5" s="795"/>
      <c r="D5" s="795"/>
      <c r="E5" s="795"/>
      <c r="F5" s="795"/>
      <c r="G5" s="795"/>
      <c r="H5" s="795"/>
      <c r="I5" s="795"/>
      <c r="J5" s="795"/>
      <c r="K5" s="795"/>
      <c r="L5" s="795"/>
      <c r="M5" s="797"/>
    </row>
    <row r="6" spans="1:13" ht="12.95" customHeight="1">
      <c r="A6" s="794"/>
      <c r="B6" s="795"/>
      <c r="C6" s="795"/>
      <c r="D6" s="795"/>
      <c r="E6" s="795"/>
      <c r="F6" s="795"/>
      <c r="G6" s="795"/>
      <c r="H6" s="795"/>
      <c r="I6" s="795"/>
      <c r="J6" s="795"/>
      <c r="K6" s="795"/>
      <c r="L6" s="795"/>
      <c r="M6" s="797"/>
    </row>
    <row r="7" spans="1:13" ht="12.95" customHeight="1">
      <c r="A7" s="794"/>
      <c r="B7" s="795"/>
      <c r="C7" s="795"/>
      <c r="D7" s="795"/>
      <c r="E7" s="795"/>
      <c r="F7" s="795"/>
      <c r="G7" s="795"/>
      <c r="H7" s="795"/>
      <c r="I7" s="795"/>
      <c r="J7" s="795"/>
      <c r="K7" s="795"/>
      <c r="L7" s="795"/>
      <c r="M7" s="797"/>
    </row>
    <row r="8" spans="1:13" ht="12.95" customHeight="1">
      <c r="A8" s="794"/>
      <c r="B8" s="795"/>
      <c r="C8" s="795"/>
      <c r="D8" s="795"/>
      <c r="E8" s="795"/>
      <c r="F8" s="795"/>
      <c r="G8" s="795"/>
      <c r="H8" s="795"/>
      <c r="I8" s="795"/>
      <c r="J8" s="795"/>
      <c r="K8" s="795"/>
      <c r="L8" s="795"/>
      <c r="M8" s="797"/>
    </row>
    <row r="9" spans="1:13" ht="12.95" customHeight="1">
      <c r="A9" s="794"/>
      <c r="B9" s="795"/>
      <c r="C9" s="795"/>
      <c r="D9" s="795"/>
      <c r="E9" s="795"/>
      <c r="F9" s="795"/>
      <c r="G9" s="795"/>
      <c r="H9" s="795"/>
      <c r="I9" s="795"/>
      <c r="J9" s="795"/>
      <c r="K9" s="795"/>
      <c r="L9" s="795"/>
      <c r="M9" s="797"/>
    </row>
    <row r="10" spans="1:13" ht="12.95" customHeight="1">
      <c r="A10" s="794"/>
      <c r="B10" s="795"/>
      <c r="C10" s="795"/>
      <c r="D10" s="795"/>
      <c r="E10" s="795"/>
      <c r="F10" s="795"/>
      <c r="G10" s="795"/>
      <c r="H10" s="795"/>
      <c r="I10" s="795"/>
      <c r="J10" s="795"/>
      <c r="K10" s="795"/>
      <c r="L10" s="795"/>
      <c r="M10" s="797"/>
    </row>
    <row r="11" spans="1:13" ht="12.95" customHeight="1">
      <c r="A11" s="794"/>
      <c r="B11" s="795"/>
      <c r="C11" s="795"/>
      <c r="D11" s="795"/>
      <c r="E11" s="795"/>
      <c r="F11" s="795"/>
      <c r="G11" s="795"/>
      <c r="H11" s="795"/>
      <c r="I11" s="795"/>
      <c r="J11" s="795"/>
      <c r="K11" s="795"/>
      <c r="L11" s="795"/>
      <c r="M11" s="797"/>
    </row>
    <row r="12" spans="1:13" ht="12.95" customHeight="1">
      <c r="A12" s="794"/>
      <c r="B12" s="795"/>
      <c r="C12" s="795"/>
      <c r="D12" s="795"/>
      <c r="E12" s="795"/>
      <c r="F12" s="795"/>
      <c r="G12" s="795"/>
      <c r="H12" s="795"/>
      <c r="I12" s="795"/>
      <c r="J12" s="795"/>
      <c r="K12" s="795"/>
      <c r="L12" s="795"/>
      <c r="M12" s="797"/>
    </row>
    <row r="13" spans="1:13" ht="12.95" customHeight="1">
      <c r="A13" s="794"/>
      <c r="B13" s="795"/>
      <c r="C13" s="795"/>
      <c r="D13" s="795"/>
      <c r="E13" s="795"/>
      <c r="F13" s="795"/>
      <c r="G13" s="795"/>
      <c r="H13" s="795"/>
      <c r="I13" s="795"/>
      <c r="J13" s="795"/>
      <c r="K13" s="795"/>
      <c r="L13" s="795"/>
      <c r="M13" s="797"/>
    </row>
    <row r="14" spans="1:13" ht="12.95" customHeight="1">
      <c r="A14" s="794"/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797"/>
    </row>
    <row r="15" spans="1:13" ht="12.95" customHeight="1">
      <c r="A15" s="794"/>
      <c r="B15" s="795"/>
      <c r="C15" s="795"/>
      <c r="D15" s="795"/>
      <c r="E15" s="795"/>
      <c r="F15" s="795"/>
      <c r="G15" s="795"/>
      <c r="H15" s="795"/>
      <c r="I15" s="795"/>
      <c r="J15" s="795"/>
      <c r="K15" s="795"/>
      <c r="L15" s="795"/>
      <c r="M15" s="797"/>
    </row>
    <row r="16" spans="1:13" ht="12.95" customHeight="1">
      <c r="A16" s="794"/>
      <c r="B16" s="795"/>
      <c r="C16" s="795"/>
      <c r="D16" s="795"/>
      <c r="E16" s="795"/>
      <c r="F16" s="795"/>
      <c r="G16" s="795"/>
      <c r="H16" s="795"/>
      <c r="I16" s="795"/>
      <c r="J16" s="795"/>
      <c r="K16" s="795"/>
      <c r="L16" s="795"/>
      <c r="M16" s="797"/>
    </row>
    <row r="17" spans="1:13" ht="12.95" customHeight="1">
      <c r="A17" s="794"/>
      <c r="B17" s="795"/>
      <c r="C17" s="795"/>
      <c r="D17" s="795"/>
      <c r="E17" s="795"/>
      <c r="F17" s="795"/>
      <c r="G17" s="795"/>
      <c r="H17" s="795"/>
      <c r="I17" s="795"/>
      <c r="J17" s="795"/>
      <c r="K17" s="795"/>
      <c r="L17" s="795"/>
      <c r="M17" s="797"/>
    </row>
    <row r="18" spans="1:13" ht="12.95" customHeight="1">
      <c r="A18" s="794"/>
      <c r="B18" s="795"/>
      <c r="C18" s="795"/>
      <c r="D18" s="795"/>
      <c r="E18" s="795"/>
      <c r="F18" s="795"/>
      <c r="G18" s="795"/>
      <c r="H18" s="795"/>
      <c r="I18" s="795"/>
      <c r="J18" s="795"/>
      <c r="K18" s="795"/>
      <c r="L18" s="795"/>
      <c r="M18" s="797"/>
    </row>
    <row r="19" spans="1:13" ht="12.95" customHeight="1">
      <c r="A19" s="794"/>
      <c r="B19" s="795"/>
      <c r="C19" s="795"/>
      <c r="D19" s="795"/>
      <c r="E19" s="795"/>
      <c r="F19" s="795"/>
      <c r="G19" s="795"/>
      <c r="H19" s="795"/>
      <c r="I19" s="795"/>
      <c r="J19" s="795"/>
      <c r="K19" s="795"/>
      <c r="L19" s="795"/>
      <c r="M19" s="797"/>
    </row>
    <row r="20" spans="1:13" ht="12.95" customHeight="1">
      <c r="A20" s="794"/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7"/>
    </row>
    <row r="21" spans="1:13" ht="12.95" customHeight="1">
      <c r="A21" s="794"/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7"/>
    </row>
    <row r="22" spans="1:13" ht="12.95" customHeight="1">
      <c r="A22" s="794"/>
      <c r="B22" s="795"/>
      <c r="C22" s="795"/>
      <c r="D22" s="795"/>
      <c r="E22" s="795"/>
      <c r="F22" s="795"/>
      <c r="G22" s="795"/>
      <c r="H22" s="795"/>
      <c r="I22" s="795"/>
      <c r="J22" s="795"/>
      <c r="K22" s="795"/>
      <c r="L22" s="795"/>
      <c r="M22" s="797"/>
    </row>
    <row r="23" spans="1:13" ht="12.95" customHeight="1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7"/>
    </row>
    <row r="24" spans="1:13" ht="12.95" customHeight="1">
      <c r="A24" s="794"/>
      <c r="B24" s="319"/>
      <c r="C24" s="823" t="s">
        <v>851</v>
      </c>
      <c r="D24" s="824" t="s">
        <v>469</v>
      </c>
      <c r="F24" s="818"/>
      <c r="G24" s="818"/>
      <c r="H24" s="822" t="s">
        <v>898</v>
      </c>
      <c r="M24" s="333"/>
    </row>
    <row r="25" spans="1:13" ht="12.95" customHeight="1">
      <c r="A25" s="794"/>
      <c r="B25" s="319"/>
      <c r="C25" s="1132" t="s">
        <v>565</v>
      </c>
      <c r="D25" s="1147"/>
      <c r="E25" s="820" t="s">
        <v>567</v>
      </c>
      <c r="F25" s="819">
        <f>OBLICZENIA!$F$129</f>
        <v>806</v>
      </c>
      <c r="G25" s="818"/>
      <c r="H25" s="863"/>
      <c r="I25" s="863"/>
      <c r="J25" s="864" t="s">
        <v>856</v>
      </c>
      <c r="K25" s="864" t="s">
        <v>858</v>
      </c>
      <c r="L25" s="865" t="s">
        <v>854</v>
      </c>
      <c r="M25" s="333"/>
    </row>
    <row r="26" spans="1:13" ht="12.95" customHeight="1">
      <c r="A26" s="794"/>
      <c r="B26" s="319"/>
      <c r="C26" s="1148"/>
      <c r="D26" s="1149"/>
      <c r="E26" s="820" t="s">
        <v>842</v>
      </c>
      <c r="F26" s="819">
        <f>OBLICZENIA!$G$129</f>
        <v>170</v>
      </c>
      <c r="G26" s="818"/>
      <c r="H26" s="863"/>
      <c r="I26" s="866" t="s">
        <v>680</v>
      </c>
      <c r="J26" s="819">
        <f>OBLICZENIA!$H$129</f>
        <v>15</v>
      </c>
      <c r="K26" s="819">
        <f>OBLICZENIA!$F$129*10^-3*OBLICZENIA!$E$24</f>
        <v>6.0449999999999999</v>
      </c>
      <c r="L26" s="827">
        <f>J26*10^-3*K26*7850</f>
        <v>711.79874999999993</v>
      </c>
      <c r="M26" s="333"/>
    </row>
    <row r="27" spans="1:13" ht="12.95" customHeight="1">
      <c r="A27" s="794"/>
      <c r="B27" s="319"/>
      <c r="C27" s="1133"/>
      <c r="D27" s="1150"/>
      <c r="E27" s="820" t="s">
        <v>844</v>
      </c>
      <c r="F27" s="819">
        <f>OBLICZENIA!$H$129</f>
        <v>15</v>
      </c>
      <c r="G27" s="818"/>
      <c r="H27" s="863"/>
      <c r="I27" s="866" t="s">
        <v>857</v>
      </c>
      <c r="J27" s="819">
        <f>OBLICZENIA!$E$129</f>
        <v>8</v>
      </c>
      <c r="K27" s="819">
        <f>2*OBLICZENIA!$D$129*10^-3*OBLICZENIA!$E$24</f>
        <v>3.8250000000000002</v>
      </c>
      <c r="L27" s="827">
        <f>J27*10^-3*K27*7850</f>
        <v>240.21</v>
      </c>
      <c r="M27" s="333"/>
    </row>
    <row r="28" spans="1:13" ht="12.95" customHeight="1">
      <c r="A28" s="794"/>
      <c r="B28" s="319"/>
      <c r="C28" s="1132" t="s">
        <v>566</v>
      </c>
      <c r="D28" s="1147"/>
      <c r="E28" s="820" t="s">
        <v>841</v>
      </c>
      <c r="F28" s="819">
        <f>OBLICZENIA!$D$129</f>
        <v>255</v>
      </c>
      <c r="G28" s="818"/>
      <c r="H28" s="864"/>
      <c r="I28" s="863"/>
      <c r="J28" s="863"/>
      <c r="K28" s="866" t="s">
        <v>881</v>
      </c>
      <c r="L28" s="827">
        <f>SUM(L26:L27)</f>
        <v>952.00874999999996</v>
      </c>
      <c r="M28" s="333"/>
    </row>
    <row r="29" spans="1:13" ht="12.95" customHeight="1">
      <c r="A29" s="794"/>
      <c r="B29" s="319"/>
      <c r="C29" s="1133"/>
      <c r="D29" s="1150"/>
      <c r="E29" s="820" t="s">
        <v>843</v>
      </c>
      <c r="F29" s="819">
        <f>OBLICZENIA!$E$129</f>
        <v>8</v>
      </c>
      <c r="G29" s="818"/>
      <c r="H29" s="864"/>
      <c r="I29" s="863"/>
      <c r="J29" s="863"/>
      <c r="K29" s="863"/>
      <c r="L29" s="863"/>
      <c r="M29" s="333"/>
    </row>
    <row r="30" spans="1:13" ht="12.95" customHeight="1">
      <c r="A30" s="794"/>
      <c r="B30" s="319"/>
      <c r="C30" s="1151" t="s">
        <v>587</v>
      </c>
      <c r="D30" s="1152"/>
      <c r="E30" s="820" t="s">
        <v>845</v>
      </c>
      <c r="F30" s="819">
        <f>OBLICZENIA!$AB$73</f>
        <v>25</v>
      </c>
      <c r="G30" s="818"/>
      <c r="H30" s="864"/>
      <c r="I30" s="865"/>
      <c r="J30" s="865"/>
      <c r="K30" s="864"/>
      <c r="L30" s="867"/>
      <c r="M30" s="333"/>
    </row>
    <row r="31" spans="1:13" ht="12.95" customHeight="1">
      <c r="A31" s="794"/>
      <c r="B31" s="319"/>
      <c r="C31" s="818"/>
      <c r="D31" s="818"/>
      <c r="E31" s="818"/>
      <c r="F31" s="818"/>
      <c r="G31" s="818"/>
      <c r="H31" s="864"/>
      <c r="I31" s="864"/>
      <c r="J31" s="864"/>
      <c r="K31" s="864"/>
      <c r="L31" s="864"/>
      <c r="M31" s="333"/>
    </row>
    <row r="32" spans="1:13" ht="12.95" customHeight="1">
      <c r="A32" s="794"/>
      <c r="B32" s="319"/>
      <c r="C32" s="825" t="s">
        <v>468</v>
      </c>
      <c r="D32" s="824" t="s">
        <v>245</v>
      </c>
      <c r="E32" s="818"/>
      <c r="F32" s="818"/>
      <c r="G32" s="818"/>
      <c r="H32" s="864"/>
      <c r="I32" s="863"/>
      <c r="J32" s="863"/>
      <c r="K32" s="864"/>
      <c r="L32" s="864" t="s">
        <v>859</v>
      </c>
      <c r="M32" s="333"/>
    </row>
    <row r="33" spans="1:13" ht="12.95" customHeight="1">
      <c r="A33" s="794"/>
      <c r="B33" s="319"/>
      <c r="C33" s="1132" t="s">
        <v>588</v>
      </c>
      <c r="D33" s="1147"/>
      <c r="E33" s="820" t="s">
        <v>846</v>
      </c>
      <c r="F33" s="819">
        <f>OBLICZENIA!$D$121</f>
        <v>320</v>
      </c>
      <c r="G33" s="818"/>
      <c r="H33" s="864"/>
      <c r="I33" s="863"/>
      <c r="J33" s="863"/>
      <c r="K33" s="866" t="s">
        <v>855</v>
      </c>
      <c r="L33" s="819">
        <f>OBLICZENIA!$D$121*OBLICZENIA!$E$121*OBLICZENIA!$E$24*10^-6</f>
        <v>1.0799999999999998</v>
      </c>
      <c r="M33" s="333"/>
    </row>
    <row r="34" spans="1:13" ht="12.95" customHeight="1">
      <c r="A34" s="794"/>
      <c r="B34" s="319"/>
      <c r="C34" s="1133"/>
      <c r="D34" s="1150"/>
      <c r="E34" s="820" t="s">
        <v>848</v>
      </c>
      <c r="F34" s="819">
        <f>OBLICZENIA!$E$121</f>
        <v>450</v>
      </c>
      <c r="G34" s="818"/>
      <c r="H34" s="864"/>
      <c r="I34" s="863"/>
      <c r="J34" s="863"/>
      <c r="K34" s="863"/>
      <c r="L34" s="863"/>
      <c r="M34" s="333"/>
    </row>
    <row r="35" spans="1:13" ht="12.95" customHeight="1">
      <c r="A35" s="794"/>
      <c r="B35" s="319"/>
      <c r="C35" s="1138" t="s">
        <v>570</v>
      </c>
      <c r="D35" s="1139"/>
      <c r="E35" s="861" t="s">
        <v>884</v>
      </c>
      <c r="F35" s="819">
        <f>OBLICZENIA!$G$142</f>
        <v>20</v>
      </c>
      <c r="G35" s="818"/>
      <c r="H35" s="864"/>
      <c r="I35" s="863"/>
      <c r="J35" s="864"/>
      <c r="K35" s="863"/>
      <c r="L35" s="863"/>
      <c r="M35" s="333"/>
    </row>
    <row r="36" spans="1:13" ht="12.95" customHeight="1">
      <c r="A36" s="794"/>
      <c r="B36" s="319"/>
      <c r="C36" s="1138" t="s">
        <v>571</v>
      </c>
      <c r="D36" s="1139"/>
      <c r="E36" s="861" t="s">
        <v>885</v>
      </c>
      <c r="F36" s="819">
        <f>OBLICZENIA!$G$143</f>
        <v>30</v>
      </c>
      <c r="G36" s="818"/>
      <c r="H36" s="864"/>
      <c r="I36" s="863"/>
      <c r="J36" s="863"/>
      <c r="K36" s="863"/>
      <c r="L36" s="863"/>
      <c r="M36" s="333"/>
    </row>
    <row r="37" spans="1:13" ht="12.95" customHeight="1">
      <c r="A37" s="794"/>
      <c r="B37" s="319"/>
      <c r="G37" s="818"/>
      <c r="H37" s="864"/>
      <c r="I37" s="864"/>
      <c r="J37" s="864"/>
      <c r="K37" s="864"/>
      <c r="L37" s="864"/>
      <c r="M37" s="333"/>
    </row>
    <row r="38" spans="1:13" ht="12.95" customHeight="1">
      <c r="A38" s="794"/>
      <c r="B38" s="319"/>
      <c r="C38" s="823" t="s">
        <v>850</v>
      </c>
      <c r="D38" s="824" t="s">
        <v>66</v>
      </c>
      <c r="F38" s="818"/>
      <c r="G38" s="818"/>
      <c r="H38" s="865" t="s">
        <v>860</v>
      </c>
      <c r="I38" s="865" t="s">
        <v>861</v>
      </c>
      <c r="J38" s="865" t="s">
        <v>862</v>
      </c>
      <c r="K38" s="864" t="s">
        <v>863</v>
      </c>
      <c r="L38" s="865" t="s">
        <v>854</v>
      </c>
      <c r="M38" s="333"/>
    </row>
    <row r="39" spans="1:13" ht="12.95" customHeight="1">
      <c r="A39" s="794"/>
      <c r="B39" s="319"/>
      <c r="C39" s="1151" t="s">
        <v>847</v>
      </c>
      <c r="D39" s="1152"/>
      <c r="E39" s="1153" t="str">
        <f>CONCATENATE(OBLICZENIA!$D$125,"  φ ",OBLICZENIA!$E$125)</f>
        <v>6  φ 32</v>
      </c>
      <c r="F39" s="1154"/>
      <c r="G39" s="818"/>
      <c r="H39" s="819">
        <f>OBLICZENIA!$E$125</f>
        <v>32</v>
      </c>
      <c r="I39" s="817">
        <f>OBLICZENIA!$E$24</f>
        <v>7.5</v>
      </c>
      <c r="J39" s="819">
        <f>OBLICZENIA!D125</f>
        <v>6</v>
      </c>
      <c r="K39" s="827">
        <f>I39*J39</f>
        <v>45</v>
      </c>
      <c r="L39" s="827">
        <f>(PI()*(H39*10^-3)^2/4)*I39*7850*J39</f>
        <v>284.10050684943212</v>
      </c>
      <c r="M39" s="333"/>
    </row>
    <row r="40" spans="1:13" ht="12.95" customHeight="1">
      <c r="A40" s="794"/>
      <c r="B40" s="319"/>
      <c r="C40" s="1151" t="s">
        <v>849</v>
      </c>
      <c r="D40" s="1152"/>
      <c r="E40" s="1153" t="str">
        <f>CONCATENATE(OBLICZENIA!$F$125,"  φ ",OBLICZENIA!$G$125)</f>
        <v>6  φ 16</v>
      </c>
      <c r="F40" s="1154"/>
      <c r="G40" s="818"/>
      <c r="H40" s="819">
        <f>OBLICZENIA!$G$125</f>
        <v>16</v>
      </c>
      <c r="I40" s="817">
        <f>OBLICZENIA!$E$24</f>
        <v>7.5</v>
      </c>
      <c r="J40" s="819">
        <f>OBLICZENIA!F125</f>
        <v>6</v>
      </c>
      <c r="K40" s="827">
        <f>I40*J40</f>
        <v>45</v>
      </c>
      <c r="L40" s="827">
        <f>(PI()*(H40*10^-3)^2/4)*I40*7850*J40</f>
        <v>71.025126712358031</v>
      </c>
      <c r="M40" s="333"/>
    </row>
    <row r="41" spans="1:13" ht="12.95" customHeight="1">
      <c r="A41" s="794"/>
      <c r="B41" s="319"/>
      <c r="C41" s="1155" t="s">
        <v>583</v>
      </c>
      <c r="D41" s="1155"/>
      <c r="E41" s="1153" t="str">
        <f>CONCATENATE("  φ ",OBLICZENIA!$H$125,"  /  ",OBLICZENIA!$I$125)</f>
        <v xml:space="preserve">  φ 8  /  125</v>
      </c>
      <c r="F41" s="1154"/>
      <c r="G41" s="818"/>
      <c r="H41" s="819">
        <f>OBLICZENIA!$H$125</f>
        <v>8</v>
      </c>
      <c r="I41" s="817">
        <f>(2*I44+2*K44)*10^-3</f>
        <v>1.288</v>
      </c>
      <c r="J41" s="819">
        <f>OBLICZENIA!$E$24/(OBLICZENIA!$I$125*10^-3)</f>
        <v>60</v>
      </c>
      <c r="K41" s="827">
        <f>I41*J41</f>
        <v>77.28</v>
      </c>
      <c r="L41" s="827">
        <f>(PI()*(H41*10^-3)^2/4)*I41*7850*J41</f>
        <v>30.493454401839056</v>
      </c>
      <c r="M41" s="333"/>
    </row>
    <row r="42" spans="1:13" ht="12.95" customHeight="1">
      <c r="A42" s="794"/>
      <c r="B42" s="319"/>
      <c r="C42" s="795"/>
      <c r="D42" s="795"/>
      <c r="G42" s="818"/>
      <c r="H42" s="864"/>
      <c r="I42" s="863"/>
      <c r="J42" s="864"/>
      <c r="K42" s="866" t="s">
        <v>881</v>
      </c>
      <c r="L42" s="827">
        <f>SUM(L39:L41)</f>
        <v>385.61908796362923</v>
      </c>
      <c r="M42" s="333"/>
    </row>
    <row r="43" spans="1:13" ht="12.95" customHeight="1">
      <c r="A43" s="794"/>
      <c r="B43" s="795"/>
      <c r="C43" s="795"/>
      <c r="D43" s="795"/>
      <c r="G43" s="795"/>
      <c r="H43" s="868" t="s">
        <v>901</v>
      </c>
      <c r="I43" s="863"/>
      <c r="J43" s="863"/>
      <c r="K43" s="863"/>
      <c r="L43" s="863"/>
      <c r="M43" s="797"/>
    </row>
    <row r="44" spans="1:13" ht="12.95" customHeight="1">
      <c r="A44" s="794"/>
      <c r="B44" s="795"/>
      <c r="C44" s="795"/>
      <c r="D44" s="795"/>
      <c r="E44" s="795"/>
      <c r="F44" s="795"/>
      <c r="G44" s="795"/>
      <c r="H44" s="869" t="s">
        <v>853</v>
      </c>
      <c r="I44" s="819">
        <f>OBLICZENIA!$E$121-60-OBLICZENIA!$H$125</f>
        <v>382</v>
      </c>
      <c r="J44" s="869" t="s">
        <v>852</v>
      </c>
      <c r="K44" s="819">
        <f>OBLICZENIA!$D$121-50-OBLICZENIA!$H$125</f>
        <v>262</v>
      </c>
      <c r="L44" s="863"/>
      <c r="M44" s="797"/>
    </row>
    <row r="45" spans="1:13" ht="12.95" customHeight="1">
      <c r="A45" s="794"/>
      <c r="B45" s="795"/>
      <c r="C45" s="795"/>
      <c r="D45" s="795"/>
      <c r="E45" s="795"/>
      <c r="F45" s="795"/>
      <c r="G45" s="795"/>
      <c r="H45" s="870" t="s">
        <v>900</v>
      </c>
      <c r="I45" s="867"/>
      <c r="J45" s="865"/>
      <c r="K45" s="867"/>
      <c r="L45" s="863"/>
      <c r="M45" s="797"/>
    </row>
    <row r="46" spans="1:13" ht="12.95" customHeight="1">
      <c r="A46" s="794"/>
      <c r="B46" s="795"/>
      <c r="C46" s="823" t="s">
        <v>888</v>
      </c>
      <c r="D46" s="795"/>
      <c r="E46" s="795"/>
      <c r="F46" s="795"/>
      <c r="G46" s="795"/>
      <c r="H46" s="863"/>
      <c r="I46" s="863"/>
      <c r="J46" s="871"/>
      <c r="K46" s="863"/>
      <c r="L46" s="863"/>
      <c r="M46" s="797"/>
    </row>
    <row r="47" spans="1:13" ht="12.95" customHeight="1">
      <c r="A47" s="794"/>
      <c r="B47" s="795"/>
      <c r="C47" s="1138" t="s">
        <v>887</v>
      </c>
      <c r="D47" s="1139"/>
      <c r="E47" s="861" t="s">
        <v>886</v>
      </c>
      <c r="F47" s="819">
        <f>OBLICZENIA!$D$133</f>
        <v>22</v>
      </c>
      <c r="G47" s="795"/>
      <c r="H47" s="871"/>
      <c r="I47" s="871"/>
      <c r="J47" s="865" t="s">
        <v>886</v>
      </c>
      <c r="K47" s="865" t="s">
        <v>896</v>
      </c>
      <c r="L47" s="865" t="s">
        <v>862</v>
      </c>
      <c r="M47" s="797"/>
    </row>
    <row r="48" spans="1:13" ht="12.95" customHeight="1">
      <c r="A48" s="794"/>
      <c r="B48" s="795"/>
      <c r="C48" s="1138" t="s">
        <v>892</v>
      </c>
      <c r="D48" s="1139"/>
      <c r="E48" s="861" t="s">
        <v>891</v>
      </c>
      <c r="F48" s="819">
        <f>OBLICZENIA!$G$133</f>
        <v>100</v>
      </c>
      <c r="G48" s="795"/>
      <c r="H48" s="871"/>
      <c r="I48" s="865" t="s">
        <v>895</v>
      </c>
      <c r="J48" s="819">
        <f>OBLICZENIA!$D$133</f>
        <v>22</v>
      </c>
      <c r="K48" s="819">
        <f>OBLICZENIA!$G$133</f>
        <v>100</v>
      </c>
      <c r="L48" s="819">
        <f>OBLICZENIA!$E$24/(OBLICZENIA!$F$133*10^-3)</f>
        <v>60</v>
      </c>
      <c r="M48" s="797"/>
    </row>
    <row r="49" spans="1:15" ht="12.95" customHeight="1">
      <c r="A49" s="794"/>
      <c r="B49" s="795"/>
      <c r="C49" s="1138" t="s">
        <v>889</v>
      </c>
      <c r="D49" s="1139"/>
      <c r="E49" s="861" t="s">
        <v>890</v>
      </c>
      <c r="F49" s="819">
        <f>OBLICZENIA!$E$133</f>
        <v>130</v>
      </c>
      <c r="G49" s="795"/>
      <c r="H49" s="871"/>
      <c r="I49" s="871"/>
      <c r="J49" s="871"/>
      <c r="K49" s="871"/>
      <c r="L49" s="871"/>
      <c r="M49" s="797"/>
    </row>
    <row r="50" spans="1:15" ht="12.95" customHeight="1">
      <c r="A50" s="794"/>
      <c r="B50" s="795"/>
      <c r="C50" s="1138" t="s">
        <v>894</v>
      </c>
      <c r="D50" s="1139"/>
      <c r="E50" s="861" t="s">
        <v>893</v>
      </c>
      <c r="F50" s="819">
        <f>OBLICZENIA!$F$133</f>
        <v>125</v>
      </c>
      <c r="G50" s="795"/>
      <c r="H50" s="871"/>
      <c r="I50" s="871"/>
      <c r="J50" s="871"/>
      <c r="K50" s="871"/>
      <c r="L50" s="871"/>
      <c r="M50" s="797"/>
    </row>
    <row r="51" spans="1:15" ht="12.95" customHeight="1">
      <c r="A51" s="794"/>
      <c r="B51" s="795"/>
      <c r="C51" s="862"/>
      <c r="D51" s="862"/>
      <c r="E51" s="862"/>
      <c r="F51" s="826"/>
      <c r="G51" s="795"/>
      <c r="H51" s="795"/>
      <c r="I51" s="795"/>
      <c r="J51" s="795"/>
      <c r="K51" s="795"/>
      <c r="L51" s="795"/>
      <c r="M51" s="797"/>
    </row>
    <row r="52" spans="1:15" ht="12.95" customHeight="1">
      <c r="A52" s="794"/>
      <c r="B52" s="795"/>
      <c r="H52" s="821"/>
      <c r="I52" s="328"/>
      <c r="J52" s="328"/>
      <c r="K52" s="328"/>
      <c r="L52" s="328"/>
      <c r="M52" s="797"/>
    </row>
    <row r="53" spans="1:15" ht="12.95" customHeight="1">
      <c r="A53" s="794"/>
      <c r="B53" s="795"/>
      <c r="E53" s="795"/>
      <c r="F53" s="795"/>
      <c r="G53" s="795"/>
      <c r="H53" s="795"/>
      <c r="I53" s="795"/>
      <c r="J53" s="795"/>
      <c r="K53" s="795"/>
      <c r="L53" s="795"/>
      <c r="M53" s="323"/>
      <c r="N53" s="795"/>
      <c r="O53" s="795"/>
    </row>
    <row r="54" spans="1:15" ht="15" customHeight="1">
      <c r="A54" s="794"/>
      <c r="C54" s="1141" t="s">
        <v>883</v>
      </c>
      <c r="D54" s="1141"/>
      <c r="E54" s="795"/>
      <c r="F54" s="1092"/>
      <c r="G54" s="1093"/>
      <c r="H54" s="1093"/>
      <c r="I54" s="1093"/>
      <c r="J54" s="1094"/>
      <c r="K54" s="1125" t="s">
        <v>470</v>
      </c>
      <c r="L54" s="1125"/>
      <c r="M54" s="1125"/>
      <c r="N54" s="268"/>
      <c r="O54" s="268"/>
    </row>
    <row r="55" spans="1:15" ht="15" customHeight="1">
      <c r="A55" s="794"/>
      <c r="C55" s="816" t="s">
        <v>882</v>
      </c>
      <c r="D55" s="828">
        <f>OBLICZENIA!$F$186</f>
        <v>7.5</v>
      </c>
      <c r="E55" s="795"/>
      <c r="F55" s="1095"/>
      <c r="G55" s="1096"/>
      <c r="H55" s="1096"/>
      <c r="I55" s="1096"/>
      <c r="J55" s="1097"/>
      <c r="K55" s="1125"/>
      <c r="L55" s="1125"/>
      <c r="M55" s="1125"/>
      <c r="N55" s="268"/>
      <c r="O55" s="268"/>
    </row>
    <row r="56" spans="1:15" ht="15" customHeight="1">
      <c r="A56" s="794"/>
      <c r="C56" s="1142" t="s">
        <v>897</v>
      </c>
      <c r="D56" s="1142"/>
      <c r="E56" s="795"/>
      <c r="F56" s="1098"/>
      <c r="G56" s="1099"/>
      <c r="H56" s="1099"/>
      <c r="I56" s="1099"/>
      <c r="J56" s="1100"/>
      <c r="K56" s="1125"/>
      <c r="L56" s="1125"/>
      <c r="M56" s="1125"/>
      <c r="N56" s="268"/>
      <c r="O56" s="268"/>
    </row>
    <row r="57" spans="1:15" ht="15" customHeight="1">
      <c r="A57" s="794"/>
      <c r="C57" s="1143"/>
      <c r="D57" s="1143"/>
      <c r="E57" s="795"/>
      <c r="F57" s="1111" t="s">
        <v>471</v>
      </c>
      <c r="G57" s="1112"/>
      <c r="H57" s="1112"/>
      <c r="I57" s="1112"/>
      <c r="J57" s="1112"/>
      <c r="K57" s="1112"/>
      <c r="L57" s="1112"/>
      <c r="M57" s="1113"/>
      <c r="N57" s="268"/>
      <c r="O57" s="268"/>
    </row>
    <row r="58" spans="1:15" ht="15" customHeight="1">
      <c r="A58" s="794"/>
      <c r="B58" s="795"/>
      <c r="E58" s="795"/>
      <c r="F58" s="1114"/>
      <c r="G58" s="1115"/>
      <c r="H58" s="1115"/>
      <c r="I58" s="1115"/>
      <c r="J58" s="1115"/>
      <c r="K58" s="1115"/>
      <c r="L58" s="1115"/>
      <c r="M58" s="1116"/>
      <c r="N58" s="270"/>
      <c r="O58" s="270"/>
    </row>
    <row r="59" spans="1:15" ht="12" customHeight="1">
      <c r="A59" s="794"/>
      <c r="B59" s="795"/>
      <c r="C59" s="1138" t="s">
        <v>584</v>
      </c>
      <c r="D59" s="1139"/>
      <c r="E59" s="795"/>
      <c r="F59" s="799" t="s">
        <v>575</v>
      </c>
      <c r="G59" s="1101" t="s">
        <v>576</v>
      </c>
      <c r="H59" s="1102"/>
      <c r="I59" s="800"/>
      <c r="J59" s="1132" t="s">
        <v>838</v>
      </c>
      <c r="K59" s="1134" t="str">
        <f>OBLICZENIA!D4</f>
        <v>miasto / nazwa inwestycji</v>
      </c>
      <c r="L59" s="1134"/>
      <c r="M59" s="1135"/>
      <c r="N59" s="270"/>
      <c r="O59" s="270"/>
    </row>
    <row r="60" spans="1:15" ht="12" customHeight="1">
      <c r="A60" s="794"/>
      <c r="B60" s="795"/>
      <c r="C60" s="1140" t="s">
        <v>585</v>
      </c>
      <c r="D60" s="1140"/>
      <c r="E60" s="320"/>
      <c r="F60" s="799" t="s">
        <v>577</v>
      </c>
      <c r="G60" s="1101" t="s">
        <v>578</v>
      </c>
      <c r="H60" s="1102"/>
      <c r="I60" s="800"/>
      <c r="J60" s="1133"/>
      <c r="K60" s="1136"/>
      <c r="L60" s="1136"/>
      <c r="M60" s="1137"/>
      <c r="N60" s="270"/>
      <c r="O60" s="270"/>
    </row>
    <row r="61" spans="1:15" ht="12" customHeight="1">
      <c r="A61" s="794"/>
      <c r="B61" s="795"/>
      <c r="E61" s="270"/>
      <c r="F61" s="799" t="s">
        <v>579</v>
      </c>
      <c r="G61" s="1101"/>
      <c r="H61" s="1102"/>
      <c r="I61" s="800"/>
      <c r="J61" s="1144" t="str">
        <f>CONCATENATE("PFEIFER Hybridbeam BHM ",OBLICZENIA!$D$121*0.1,"-",OBLICZENIA!$E$121,"-",OBLICZENIA!$E$24*1000)</f>
        <v>PFEIFER Hybridbeam BHM 32-450-7500</v>
      </c>
      <c r="K61" s="1145"/>
      <c r="L61" s="1145"/>
      <c r="M61" s="1146"/>
      <c r="N61" s="270"/>
      <c r="O61" s="270"/>
    </row>
    <row r="62" spans="1:15" ht="12" customHeight="1">
      <c r="A62" s="794"/>
      <c r="B62" s="795"/>
      <c r="C62" s="795"/>
      <c r="D62" s="795"/>
      <c r="E62" s="795"/>
      <c r="F62" s="1117" t="s">
        <v>582</v>
      </c>
      <c r="G62" s="1119">
        <f>OBLICZENIA!$L$5</f>
        <v>43411</v>
      </c>
      <c r="H62" s="1120"/>
      <c r="I62" s="1121"/>
      <c r="J62" s="1144"/>
      <c r="K62" s="1145"/>
      <c r="L62" s="1145"/>
      <c r="M62" s="1146"/>
    </row>
    <row r="63" spans="1:15" ht="12.75" customHeight="1">
      <c r="A63" s="801"/>
      <c r="B63" s="802"/>
      <c r="C63" s="802"/>
      <c r="D63" s="802"/>
      <c r="E63" s="802"/>
      <c r="F63" s="1118"/>
      <c r="G63" s="1122"/>
      <c r="H63" s="1123"/>
      <c r="I63" s="1124"/>
      <c r="J63" s="1129" t="s">
        <v>832</v>
      </c>
      <c r="K63" s="1130"/>
      <c r="L63" s="1130"/>
      <c r="M63" s="1131"/>
    </row>
    <row r="64" spans="1:15" ht="14.25" customHeight="1">
      <c r="A64" s="794"/>
      <c r="D64" s="795"/>
      <c r="E64" s="795"/>
    </row>
    <row r="65" spans="1:13" ht="14.25" customHeight="1">
      <c r="A65" s="795"/>
      <c r="B65" s="795"/>
      <c r="C65" s="795"/>
      <c r="D65" s="795"/>
      <c r="E65" s="795"/>
      <c r="F65" s="795"/>
      <c r="G65" s="795"/>
      <c r="H65" s="795"/>
      <c r="I65" s="795"/>
      <c r="J65" s="795"/>
    </row>
    <row r="66" spans="1:13">
      <c r="A66" s="795"/>
      <c r="B66" s="795"/>
      <c r="M66" s="795"/>
    </row>
    <row r="67" spans="1:13">
      <c r="A67" s="795"/>
      <c r="B67" s="795"/>
      <c r="C67" s="795"/>
      <c r="D67" s="795"/>
      <c r="E67" s="795"/>
      <c r="F67" s="795"/>
      <c r="G67" s="795"/>
      <c r="H67" s="795"/>
      <c r="I67" s="795"/>
      <c r="J67" s="795"/>
      <c r="K67" s="795"/>
      <c r="L67" s="795"/>
      <c r="M67" s="795"/>
    </row>
    <row r="68" spans="1:13">
      <c r="A68" s="795"/>
      <c r="B68" s="795"/>
      <c r="C68" s="795"/>
      <c r="D68" s="795"/>
      <c r="E68" s="795"/>
      <c r="F68" s="795"/>
      <c r="G68" s="795"/>
      <c r="H68" s="795"/>
      <c r="I68" s="795"/>
      <c r="J68" s="795"/>
    </row>
    <row r="69" spans="1:13">
      <c r="A69" s="795"/>
      <c r="B69" s="795"/>
      <c r="C69" s="795"/>
      <c r="D69" s="795"/>
      <c r="E69" s="795"/>
      <c r="F69" s="795"/>
      <c r="G69" s="795"/>
      <c r="H69" s="795"/>
      <c r="I69" s="795"/>
      <c r="J69" s="795"/>
    </row>
    <row r="70" spans="1:13">
      <c r="A70" s="795"/>
      <c r="B70" s="795"/>
      <c r="C70" s="795"/>
      <c r="D70" s="795"/>
      <c r="E70" s="795"/>
      <c r="F70" s="795"/>
      <c r="G70" s="795"/>
      <c r="H70" s="795"/>
      <c r="I70" s="795"/>
      <c r="J70" s="795"/>
    </row>
    <row r="71" spans="1:13">
      <c r="A71" s="795"/>
      <c r="B71" s="795"/>
      <c r="C71" s="795"/>
      <c r="D71" s="795"/>
      <c r="E71" s="795"/>
      <c r="F71" s="795"/>
      <c r="G71" s="795"/>
      <c r="H71" s="795"/>
      <c r="I71" s="795"/>
      <c r="J71" s="795"/>
    </row>
    <row r="72" spans="1:13">
      <c r="A72" s="795"/>
      <c r="B72" s="795"/>
      <c r="C72" s="795"/>
      <c r="D72" s="795"/>
      <c r="E72" s="795"/>
      <c r="F72" s="795"/>
      <c r="G72" s="795"/>
      <c r="H72" s="795"/>
      <c r="I72" s="795"/>
      <c r="J72" s="795"/>
    </row>
    <row r="73" spans="1:13">
      <c r="A73" s="795"/>
      <c r="B73" s="795"/>
      <c r="C73" s="795"/>
      <c r="D73" s="795"/>
      <c r="E73" s="795"/>
      <c r="F73" s="795"/>
      <c r="G73" s="795"/>
      <c r="H73" s="795"/>
      <c r="I73" s="795"/>
      <c r="J73" s="795"/>
    </row>
    <row r="74" spans="1:13">
      <c r="A74" s="795"/>
      <c r="B74" s="795"/>
      <c r="C74" s="795"/>
      <c r="D74" s="795"/>
      <c r="E74" s="795"/>
      <c r="F74" s="795"/>
      <c r="G74" s="795"/>
      <c r="H74" s="795"/>
      <c r="I74" s="795"/>
      <c r="J74" s="795"/>
    </row>
    <row r="75" spans="1:13">
      <c r="A75" s="795"/>
      <c r="B75" s="795"/>
      <c r="C75" s="795"/>
      <c r="D75" s="795"/>
      <c r="E75" s="795"/>
      <c r="F75" s="795"/>
      <c r="G75" s="795"/>
      <c r="H75" s="795"/>
      <c r="I75" s="795"/>
      <c r="J75" s="795"/>
    </row>
  </sheetData>
  <mergeCells count="33">
    <mergeCell ref="D1:K1"/>
    <mergeCell ref="C25:D27"/>
    <mergeCell ref="C28:D29"/>
    <mergeCell ref="C30:D30"/>
    <mergeCell ref="E41:F41"/>
    <mergeCell ref="C33:D34"/>
    <mergeCell ref="E39:F39"/>
    <mergeCell ref="C39:D39"/>
    <mergeCell ref="E40:F40"/>
    <mergeCell ref="C40:D40"/>
    <mergeCell ref="C35:D35"/>
    <mergeCell ref="C36:D36"/>
    <mergeCell ref="C41:D41"/>
    <mergeCell ref="G61:H61"/>
    <mergeCell ref="J61:M62"/>
    <mergeCell ref="F62:F63"/>
    <mergeCell ref="G62:I63"/>
    <mergeCell ref="J63:M63"/>
    <mergeCell ref="F54:J56"/>
    <mergeCell ref="K54:M56"/>
    <mergeCell ref="F57:M58"/>
    <mergeCell ref="G59:H59"/>
    <mergeCell ref="J59:J60"/>
    <mergeCell ref="K59:M60"/>
    <mergeCell ref="G60:H60"/>
    <mergeCell ref="C47:D47"/>
    <mergeCell ref="C48:D48"/>
    <mergeCell ref="C49:D49"/>
    <mergeCell ref="C50:D50"/>
    <mergeCell ref="C60:D60"/>
    <mergeCell ref="C54:D54"/>
    <mergeCell ref="C56:D57"/>
    <mergeCell ref="C59:D59"/>
  </mergeCells>
  <printOptions verticalCentered="1"/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OBLICZENIA</vt:lpstr>
      <vt:lpstr>BAZA DANYCH</vt:lpstr>
      <vt:lpstr>DRUK - wyciąg z obliczeń</vt:lpstr>
      <vt:lpstr>DRUK - produkcja</vt:lpstr>
      <vt:lpstr>OBLICZENIA!_GoBack</vt:lpstr>
      <vt:lpstr>'DRUK - produkcja'!Obszar_wydruku</vt:lpstr>
      <vt:lpstr>'DRUK - wyciąg z obliczeń'!Obszar_wydruku</vt:lpstr>
      <vt:lpstr>OBLICZENIA!Obszar_wydruku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Obliczenia belek zespolonych BH 20 - BH 50</dc:title>
  <dc:creator>dr hab. inż. Paweł Lewiński, prof., nadzw.</dc:creator>
  <cp:lastModifiedBy>Paweł Wojtanowicz</cp:lastModifiedBy>
  <cp:lastPrinted>2019-04-01T10:53:21Z</cp:lastPrinted>
  <dcterms:created xsi:type="dcterms:W3CDTF">2013-11-13T09:31:20Z</dcterms:created>
  <dcterms:modified xsi:type="dcterms:W3CDTF">2019-04-19T11:52:58Z</dcterms:modified>
</cp:coreProperties>
</file>