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b\Desktop\"/>
    </mc:Choice>
  </mc:AlternateContent>
  <bookViews>
    <workbookView xWindow="0" yWindow="0" windowWidth="23040" windowHeight="9384"/>
  </bookViews>
  <sheets>
    <sheet name="Feuil1" sheetId="1" r:id="rId1"/>
    <sheet name="Feuil2" sheetId="2" r:id="rId2"/>
  </sheets>
  <definedNames>
    <definedName name="solver_adj" localSheetId="0" hidden="1">Feuil1!$I$8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Feuil1!$M$20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5" i="2"/>
  <c r="B11" i="2"/>
  <c r="B16" i="2" s="1"/>
  <c r="C17" i="1"/>
  <c r="B14" i="1"/>
  <c r="L33" i="1"/>
  <c r="M33" i="1"/>
  <c r="A33" i="1"/>
  <c r="B33" i="1"/>
  <c r="C33" i="1"/>
  <c r="H33" i="1"/>
  <c r="I33" i="1" s="1"/>
  <c r="J33" i="1" s="1"/>
  <c r="Q33" i="1"/>
  <c r="P26" i="1"/>
  <c r="P27" i="1"/>
  <c r="P28" i="1"/>
  <c r="P30" i="1"/>
  <c r="P31" i="1"/>
  <c r="P32" i="1"/>
  <c r="P25" i="1"/>
  <c r="Q25" i="1" s="1"/>
  <c r="Q31" i="1"/>
  <c r="Q32" i="1"/>
  <c r="L32" i="1"/>
  <c r="M32" i="1"/>
  <c r="A32" i="1"/>
  <c r="B32" i="1"/>
  <c r="C32" i="1"/>
  <c r="H32" i="1"/>
  <c r="I32" i="1" s="1"/>
  <c r="J32" i="1" s="1"/>
  <c r="L31" i="1"/>
  <c r="M31" i="1"/>
  <c r="A31" i="1"/>
  <c r="B31" i="1" s="1"/>
  <c r="C31" i="1" s="1"/>
  <c r="H31" i="1"/>
  <c r="I31" i="1" s="1"/>
  <c r="J31" i="1" s="1"/>
  <c r="C5" i="2"/>
  <c r="C9" i="2" s="1"/>
  <c r="D5" i="2"/>
  <c r="D9" i="2" s="1"/>
  <c r="C8" i="2"/>
  <c r="D8" i="2"/>
  <c r="B8" i="2"/>
  <c r="B5" i="2"/>
  <c r="B9" i="2" s="1"/>
  <c r="B25" i="1"/>
  <c r="Q30" i="1"/>
  <c r="Q28" i="1"/>
  <c r="Q27" i="1"/>
  <c r="Q26" i="1"/>
  <c r="Q24" i="1"/>
  <c r="Q23" i="1"/>
  <c r="Q22" i="1"/>
  <c r="Q21" i="1"/>
  <c r="Q20" i="1"/>
  <c r="Q19" i="1"/>
  <c r="Q18" i="1"/>
  <c r="Q17" i="1"/>
  <c r="Q16" i="1"/>
  <c r="Q15" i="1"/>
  <c r="Q14" i="1"/>
  <c r="A30" i="1"/>
  <c r="B30" i="1" s="1"/>
  <c r="C30" i="1" s="1"/>
  <c r="L30" i="1" s="1"/>
  <c r="H30" i="1"/>
  <c r="I30" i="1" s="1"/>
  <c r="J30" i="1" s="1"/>
  <c r="M30" i="1" s="1"/>
  <c r="I10" i="1"/>
  <c r="B11" i="1"/>
  <c r="H28" i="1"/>
  <c r="I28" i="1" s="1"/>
  <c r="J28" i="1" s="1"/>
  <c r="M28" i="1" s="1"/>
  <c r="A28" i="1"/>
  <c r="B28" i="1"/>
  <c r="C28" i="1" s="1"/>
  <c r="L28" i="1" s="1"/>
  <c r="I14" i="1"/>
  <c r="J14" i="1" s="1"/>
  <c r="H27" i="1"/>
  <c r="I27" i="1" s="1"/>
  <c r="J27" i="1" s="1"/>
  <c r="M27" i="1" s="1"/>
  <c r="H26" i="1"/>
  <c r="I26" i="1" s="1"/>
  <c r="J26" i="1" s="1"/>
  <c r="M26" i="1" s="1"/>
  <c r="H25" i="1"/>
  <c r="I25" i="1" s="1"/>
  <c r="J25" i="1" s="1"/>
  <c r="M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A27" i="1"/>
  <c r="B27" i="1" s="1"/>
  <c r="C27" i="1" s="1"/>
  <c r="L27" i="1" s="1"/>
  <c r="A26" i="1"/>
  <c r="B26" i="1" s="1"/>
  <c r="A25" i="1"/>
  <c r="B15" i="1"/>
  <c r="C15" i="1" s="1"/>
  <c r="B16" i="1"/>
  <c r="B17" i="1"/>
  <c r="B18" i="1"/>
  <c r="B19" i="1"/>
  <c r="C19" i="1" s="1"/>
  <c r="B20" i="1"/>
  <c r="B21" i="1"/>
  <c r="C21" i="1" s="1"/>
  <c r="B22" i="1"/>
  <c r="B23" i="1"/>
  <c r="C23" i="1" s="1"/>
  <c r="B24" i="1"/>
  <c r="C14" i="1"/>
  <c r="B10" i="1"/>
  <c r="B12" i="2" l="1"/>
  <c r="C25" i="1"/>
  <c r="L25" i="1" s="1"/>
  <c r="M20" i="1"/>
  <c r="C24" i="1"/>
  <c r="C20" i="1"/>
  <c r="C16" i="1"/>
  <c r="C26" i="1"/>
  <c r="L26" i="1" s="1"/>
  <c r="L20" i="1" s="1"/>
  <c r="C22" i="1"/>
  <c r="C18" i="1"/>
  <c r="Q10" i="1" l="1"/>
  <c r="Q8" i="1" l="1"/>
  <c r="Q9" i="1"/>
  <c r="R33" i="1" l="1"/>
  <c r="N33" i="1" s="1"/>
  <c r="R17" i="1"/>
  <c r="R21" i="1"/>
  <c r="R25" i="1"/>
  <c r="N25" i="1" s="1"/>
  <c r="R31" i="1"/>
  <c r="N31" i="1" s="1"/>
  <c r="R18" i="1"/>
  <c r="R22" i="1"/>
  <c r="R26" i="1"/>
  <c r="N26" i="1" s="1"/>
  <c r="R19" i="1"/>
  <c r="R23" i="1"/>
  <c r="R30" i="1"/>
  <c r="N30" i="1" s="1"/>
  <c r="R16" i="1"/>
  <c r="R20" i="1"/>
  <c r="R24" i="1"/>
  <c r="R28" i="1"/>
  <c r="N28" i="1" s="1"/>
  <c r="R32" i="1"/>
  <c r="N32" i="1" s="1"/>
  <c r="R27" i="1"/>
  <c r="N27" i="1" s="1"/>
  <c r="R15" i="1"/>
  <c r="R14" i="1"/>
  <c r="N20" i="1" l="1"/>
</calcChain>
</file>

<file path=xl/sharedStrings.xml><?xml version="1.0" encoding="utf-8"?>
<sst xmlns="http://schemas.openxmlformats.org/spreadsheetml/2006/main" count="59" uniqueCount="33">
  <si>
    <t>B</t>
  </si>
  <si>
    <t>R0</t>
  </si>
  <si>
    <t>T0</t>
  </si>
  <si>
    <t>K</t>
  </si>
  <si>
    <t>Ohms</t>
  </si>
  <si>
    <t>Calibration d'une thermistance</t>
  </si>
  <si>
    <t>Vdd</t>
  </si>
  <si>
    <t>R</t>
  </si>
  <si>
    <t>Rr</t>
  </si>
  <si>
    <t>V</t>
  </si>
  <si>
    <t>U (V)</t>
  </si>
  <si>
    <t>RT (Ohms)</t>
  </si>
  <si>
    <t>T (°C)</t>
  </si>
  <si>
    <t>Experimentation</t>
  </si>
  <si>
    <t>Relation de Steinhart-Hart théorique</t>
  </si>
  <si>
    <t>Relation de Steinhart-Hart ajustée</t>
  </si>
  <si>
    <t>Erreurs</t>
  </si>
  <si>
    <t>Au modèle 1</t>
  </si>
  <si>
    <t>Au modèle 2</t>
  </si>
  <si>
    <t>Totale</t>
  </si>
  <si>
    <t>à 25°C :</t>
  </si>
  <si>
    <t>Relation de Steinhart-Hart théorique2</t>
  </si>
  <si>
    <t>Au modèle 3</t>
  </si>
  <si>
    <t>A</t>
  </si>
  <si>
    <t>C</t>
  </si>
  <si>
    <t>Mesure 1</t>
  </si>
  <si>
    <t>Mesure 2</t>
  </si>
  <si>
    <t>Mesure 3</t>
  </si>
  <si>
    <t>Y</t>
  </si>
  <si>
    <t>L</t>
  </si>
  <si>
    <t>R (Ohms)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</si>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</sst>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7" formatCode="0.0"/>
    <numFmt numFmtId="176" formatCode="0.00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1" applyNumberFormat="1" applyFont="1"/>
    <xf numFmtId="3" fontId="0" fillId="0" borderId="0" xfId="1" applyNumberFormat="1" applyFont="1"/>
    <xf numFmtId="2" fontId="0" fillId="0" borderId="0" xfId="0" applyNumberFormat="1"/>
    <xf numFmtId="167" fontId="0" fillId="0" borderId="0" xfId="0" applyNumberFormat="1"/>
    <xf numFmtId="3" fontId="0" fillId="0" borderId="0" xfId="0" applyNumberFormat="1"/>
    <xf numFmtId="176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Relation de Steinhart-Hart théorique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Feuil1!$A$14:$A$34</c:f>
              <c:numCache>
                <c:formatCode>0.00</c:formatCode>
                <c:ptCount val="21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4.8</c:v>
                </c:pt>
                <c:pt idx="11">
                  <c:v>1.3</c:v>
                </c:pt>
                <c:pt idx="12">
                  <c:v>2.48</c:v>
                </c:pt>
                <c:pt idx="13">
                  <c:v>2.4900000000000002</c:v>
                </c:pt>
                <c:pt idx="14">
                  <c:v>2.67</c:v>
                </c:pt>
                <c:pt idx="16">
                  <c:v>2.66</c:v>
                </c:pt>
                <c:pt idx="17">
                  <c:v>1.2</c:v>
                </c:pt>
                <c:pt idx="18">
                  <c:v>4.2</c:v>
                </c:pt>
                <c:pt idx="19">
                  <c:v>2.34</c:v>
                </c:pt>
              </c:numCache>
            </c:numRef>
          </c:xVal>
          <c:yVal>
            <c:numRef>
              <c:f>Feuil1!$C$14:$C$34</c:f>
              <c:numCache>
                <c:formatCode>0.0</c:formatCode>
                <c:ptCount val="21"/>
                <c:pt idx="0">
                  <c:v>-38.171371982746678</c:v>
                </c:pt>
                <c:pt idx="1">
                  <c:v>-14.0176252044065</c:v>
                </c:pt>
                <c:pt idx="2">
                  <c:v>-0.40527038587913466</c:v>
                </c:pt>
                <c:pt idx="3">
                  <c:v>9.6695842110315766</c:v>
                </c:pt>
                <c:pt idx="4">
                  <c:v>18.746976384928075</c:v>
                </c:pt>
                <c:pt idx="5">
                  <c:v>27.955538293222276</c:v>
                </c:pt>
                <c:pt idx="6">
                  <c:v>38.362660158236849</c:v>
                </c:pt>
                <c:pt idx="7">
                  <c:v>51.877209492486031</c:v>
                </c:pt>
                <c:pt idx="8">
                  <c:v>74.782965304463005</c:v>
                </c:pt>
                <c:pt idx="9">
                  <c:v>0</c:v>
                </c:pt>
                <c:pt idx="10">
                  <c:v>0</c:v>
                </c:pt>
                <c:pt idx="11">
                  <c:v>5.8433257287319407</c:v>
                </c:pt>
                <c:pt idx="12">
                  <c:v>27.572444381223306</c:v>
                </c:pt>
                <c:pt idx="13">
                  <c:v>27.763767504765156</c:v>
                </c:pt>
                <c:pt idx="14">
                  <c:v>31.293810941174229</c:v>
                </c:pt>
                <c:pt idx="16">
                  <c:v>31.092877362419699</c:v>
                </c:pt>
                <c:pt idx="17">
                  <c:v>3.844611625363143</c:v>
                </c:pt>
                <c:pt idx="18">
                  <c:v>93.218393662932897</c:v>
                </c:pt>
                <c:pt idx="19">
                  <c:v>24.935798012912358</c:v>
                </c:pt>
              </c:numCache>
            </c:numRef>
          </c:yVal>
          <c:smooth val="0"/>
        </c:ser>
        <c:ser>
          <c:idx val="1"/>
          <c:order val="1"/>
          <c:tx>
            <c:v>Expérimentation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Feuil1!$E$25:$E$34</c:f>
              <c:numCache>
                <c:formatCode>0.00</c:formatCode>
                <c:ptCount val="10"/>
                <c:pt idx="0">
                  <c:v>1.3</c:v>
                </c:pt>
                <c:pt idx="1">
                  <c:v>2.48</c:v>
                </c:pt>
                <c:pt idx="2">
                  <c:v>2.4900000000000002</c:v>
                </c:pt>
                <c:pt idx="3">
                  <c:v>2.67</c:v>
                </c:pt>
                <c:pt idx="5">
                  <c:v>2.66</c:v>
                </c:pt>
                <c:pt idx="6">
                  <c:v>1.2</c:v>
                </c:pt>
                <c:pt idx="7">
                  <c:v>4.2</c:v>
                </c:pt>
                <c:pt idx="8">
                  <c:v>2.34</c:v>
                </c:pt>
              </c:numCache>
            </c:numRef>
          </c:xVal>
          <c:yVal>
            <c:numRef>
              <c:f>Feuil1!$F$25:$F$34</c:f>
              <c:numCache>
                <c:formatCode>0.0</c:formatCode>
                <c:ptCount val="10"/>
                <c:pt idx="0">
                  <c:v>4.3</c:v>
                </c:pt>
                <c:pt idx="1">
                  <c:v>30.1</c:v>
                </c:pt>
                <c:pt idx="2">
                  <c:v>29</c:v>
                </c:pt>
                <c:pt idx="3">
                  <c:v>31.4</c:v>
                </c:pt>
                <c:pt idx="5">
                  <c:v>31.8</c:v>
                </c:pt>
                <c:pt idx="6">
                  <c:v>0</c:v>
                </c:pt>
                <c:pt idx="7">
                  <c:v>100</c:v>
                </c:pt>
                <c:pt idx="8">
                  <c:v>25</c:v>
                </c:pt>
              </c:numCache>
            </c:numRef>
          </c:yVal>
          <c:smooth val="0"/>
        </c:ser>
        <c:ser>
          <c:idx val="2"/>
          <c:order val="2"/>
          <c:tx>
            <c:v>Relation de Steinhart-Hart ajustée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Feuil1!$H$14:$H$34</c:f>
              <c:numCache>
                <c:formatCode>0.00</c:formatCode>
                <c:ptCount val="21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4.8</c:v>
                </c:pt>
                <c:pt idx="11">
                  <c:v>1.3</c:v>
                </c:pt>
                <c:pt idx="12">
                  <c:v>2.48</c:v>
                </c:pt>
                <c:pt idx="13">
                  <c:v>2.4900000000000002</c:v>
                </c:pt>
                <c:pt idx="14">
                  <c:v>2.67</c:v>
                </c:pt>
                <c:pt idx="16">
                  <c:v>2.66</c:v>
                </c:pt>
                <c:pt idx="17">
                  <c:v>1.2</c:v>
                </c:pt>
                <c:pt idx="18">
                  <c:v>4.2</c:v>
                </c:pt>
                <c:pt idx="19">
                  <c:v>2.34</c:v>
                </c:pt>
              </c:numCache>
            </c:numRef>
          </c:xVal>
          <c:yVal>
            <c:numRef>
              <c:f>Feuil1!$J$14:$J$34</c:f>
              <c:numCache>
                <c:formatCode>0.0</c:formatCode>
                <c:ptCount val="21"/>
                <c:pt idx="0">
                  <c:v>-42.619118960685427</c:v>
                </c:pt>
                <c:pt idx="1">
                  <c:v>-17.029201081028418</c:v>
                </c:pt>
                <c:pt idx="2">
                  <c:v>-2.4388169033009603</c:v>
                </c:pt>
                <c:pt idx="3">
                  <c:v>8.4393528340299326</c:v>
                </c:pt>
                <c:pt idx="4">
                  <c:v>18.298997948827605</c:v>
                </c:pt>
                <c:pt idx="5">
                  <c:v>28.358250300652287</c:v>
                </c:pt>
                <c:pt idx="6">
                  <c:v>39.796674553481409</c:v>
                </c:pt>
                <c:pt idx="7">
                  <c:v>54.762292349773645</c:v>
                </c:pt>
                <c:pt idx="8">
                  <c:v>80.420321472183559</c:v>
                </c:pt>
                <c:pt idx="9">
                  <c:v>0</c:v>
                </c:pt>
                <c:pt idx="10">
                  <c:v>0</c:v>
                </c:pt>
                <c:pt idx="11">
                  <c:v>4.3000001102820988</c:v>
                </c:pt>
                <c:pt idx="12">
                  <c:v>27.938612445347474</c:v>
                </c:pt>
                <c:pt idx="13">
                  <c:v>28.148173634953196</c:v>
                </c:pt>
                <c:pt idx="14">
                  <c:v>32.019221438736395</c:v>
                </c:pt>
                <c:pt idx="16">
                  <c:v>31.798648181600242</c:v>
                </c:pt>
                <c:pt idx="17">
                  <c:v>2.1416407260138044</c:v>
                </c:pt>
                <c:pt idx="18">
                  <c:v>101.34311960819878</c:v>
                </c:pt>
                <c:pt idx="19">
                  <c:v>25.053174002587355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64688"/>
        <c:axId val="437467408"/>
      </c:scatterChart>
      <c:valAx>
        <c:axId val="43746468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7467408"/>
        <c:crosses val="autoZero"/>
        <c:crossBetween val="midCat"/>
      </c:valAx>
      <c:valAx>
        <c:axId val="437467408"/>
        <c:scaling>
          <c:orientation val="minMax"/>
          <c:max val="6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746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33</xdr:row>
      <xdr:rowOff>129540</xdr:rowOff>
    </xdr:from>
    <xdr:to>
      <xdr:col>15</xdr:col>
      <xdr:colOff>533400</xdr:colOff>
      <xdr:row>60</xdr:row>
      <xdr:rowOff>22860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K10" workbookViewId="0">
      <selection activeCell="Q8" sqref="Q8:Q10"/>
    </sheetView>
  </sheetViews>
  <sheetFormatPr baseColWidth="10" defaultRowHeight="14.4" x14ac:dyDescent="0.3"/>
  <sheetData>
    <row r="1" spans="1:18" x14ac:dyDescent="0.3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</row>
    <row r="2" spans="1:18" x14ac:dyDescent="0.3">
      <c r="A2" t="s">
        <v>6</v>
      </c>
      <c r="B2" s="6">
        <v>5</v>
      </c>
      <c r="C2" t="s">
        <v>9</v>
      </c>
    </row>
    <row r="3" spans="1:18" x14ac:dyDescent="0.3">
      <c r="A3" t="s">
        <v>7</v>
      </c>
      <c r="B3" s="4">
        <v>9880</v>
      </c>
      <c r="C3" t="s">
        <v>4</v>
      </c>
    </row>
    <row r="4" spans="1:18" x14ac:dyDescent="0.3">
      <c r="A4" t="s">
        <v>8</v>
      </c>
      <c r="B4" s="4">
        <v>1200</v>
      </c>
      <c r="C4" t="s">
        <v>4</v>
      </c>
    </row>
    <row r="7" spans="1:18" x14ac:dyDescent="0.3">
      <c r="A7" s="2" t="s">
        <v>14</v>
      </c>
      <c r="B7" s="2"/>
      <c r="C7" s="2"/>
      <c r="E7" s="2" t="s">
        <v>13</v>
      </c>
      <c r="F7" s="2"/>
      <c r="H7" s="2" t="s">
        <v>15</v>
      </c>
      <c r="I7" s="2"/>
      <c r="J7" s="2"/>
      <c r="L7" s="2" t="s">
        <v>16</v>
      </c>
      <c r="M7" s="2"/>
      <c r="N7" s="2"/>
      <c r="P7" s="2" t="s">
        <v>21</v>
      </c>
      <c r="Q7" s="2"/>
      <c r="R7" s="2"/>
    </row>
    <row r="8" spans="1:18" x14ac:dyDescent="0.3">
      <c r="A8" t="s">
        <v>0</v>
      </c>
      <c r="B8" s="4">
        <v>4300</v>
      </c>
      <c r="C8" t="s">
        <v>3</v>
      </c>
      <c r="H8" t="s">
        <v>0</v>
      </c>
      <c r="I8" s="4">
        <v>3935.5731719015507</v>
      </c>
      <c r="J8" t="s">
        <v>3</v>
      </c>
      <c r="P8" t="s">
        <v>23</v>
      </c>
      <c r="Q8" s="8">
        <f>Feuil2!B14</f>
        <v>1.3194517343634265E-3</v>
      </c>
    </row>
    <row r="9" spans="1:18" x14ac:dyDescent="0.3">
      <c r="A9" t="s">
        <v>1</v>
      </c>
      <c r="B9" s="4">
        <v>10000</v>
      </c>
      <c r="C9" t="s">
        <v>4</v>
      </c>
      <c r="H9" t="s">
        <v>1</v>
      </c>
      <c r="I9" s="4">
        <v>7491</v>
      </c>
      <c r="J9" t="s">
        <v>4</v>
      </c>
      <c r="P9" t="s">
        <v>0</v>
      </c>
      <c r="Q9" s="8">
        <f>Feuil2!B15</f>
        <v>1.9609727152211E-4</v>
      </c>
    </row>
    <row r="10" spans="1:18" x14ac:dyDescent="0.3">
      <c r="A10" t="s">
        <v>2</v>
      </c>
      <c r="B10" s="3">
        <f>273.15+25</f>
        <v>298.14999999999998</v>
      </c>
      <c r="C10" t="s">
        <v>3</v>
      </c>
      <c r="H10" t="s">
        <v>2</v>
      </c>
      <c r="I10" s="3">
        <f>273.15+31.8</f>
        <v>304.95</v>
      </c>
      <c r="J10" t="s">
        <v>3</v>
      </c>
      <c r="P10" t="s">
        <v>24</v>
      </c>
      <c r="Q10" s="8">
        <f>Feuil2!B16</f>
        <v>2.9130648783754633E-7</v>
      </c>
    </row>
    <row r="11" spans="1:18" x14ac:dyDescent="0.3">
      <c r="A11" t="s">
        <v>20</v>
      </c>
      <c r="B11" s="5">
        <f>5*B3/(B3+B4+B9)</f>
        <v>2.3434535104364325</v>
      </c>
      <c r="C11" t="s">
        <v>9</v>
      </c>
      <c r="I11" s="5"/>
      <c r="Q11" s="5"/>
    </row>
    <row r="13" spans="1:18" x14ac:dyDescent="0.3">
      <c r="A13" s="1" t="s">
        <v>10</v>
      </c>
      <c r="B13" s="1" t="s">
        <v>11</v>
      </c>
      <c r="C13" s="1" t="s">
        <v>12</v>
      </c>
      <c r="H13" s="1" t="s">
        <v>10</v>
      </c>
      <c r="I13" s="1" t="s">
        <v>11</v>
      </c>
      <c r="J13" s="1" t="s">
        <v>12</v>
      </c>
      <c r="P13" s="1" t="s">
        <v>10</v>
      </c>
      <c r="Q13" s="1" t="s">
        <v>11</v>
      </c>
      <c r="R13" s="1" t="s">
        <v>12</v>
      </c>
    </row>
    <row r="14" spans="1:18" x14ac:dyDescent="0.3">
      <c r="A14" s="5">
        <v>0.1</v>
      </c>
      <c r="B14" s="7">
        <f>($B$2/A14-1)*$B$3-$B$4</f>
        <v>482920</v>
      </c>
      <c r="C14" s="6">
        <f>1/(LN(B14/$B$9)/$B$8+1/$B$10)-273.15</f>
        <v>-38.171371982746678</v>
      </c>
      <c r="H14" s="5">
        <v>0.1</v>
      </c>
      <c r="I14" s="7">
        <f>($B$2/H14-1)*$B$3-$B$4</f>
        <v>482920</v>
      </c>
      <c r="J14" s="6">
        <f>1/(LN(I14/$I$9)/$I$8+1/$I$10)-273.15</f>
        <v>-42.619118960685427</v>
      </c>
      <c r="P14" s="5">
        <v>0.1</v>
      </c>
      <c r="Q14" s="7">
        <f>($B$2/P14-1)*$B$3-$B$4</f>
        <v>482920</v>
      </c>
      <c r="R14" s="6">
        <f t="shared" ref="R14:R29" si="0">1/($Q$8+$Q$9*LN(Q14)+$Q$10*LN(Q14)^3)-273.15</f>
        <v>-52.833376711578097</v>
      </c>
    </row>
    <row r="15" spans="1:18" x14ac:dyDescent="0.3">
      <c r="A15" s="5">
        <v>0.5</v>
      </c>
      <c r="B15" s="7">
        <f t="shared" ref="B15:B33" si="1">($B$2/A15-1)*$B$3-$B$4</f>
        <v>87720</v>
      </c>
      <c r="C15" s="6">
        <f t="shared" ref="C15:C33" si="2">1/(LN(B15/$B$9)/$B$8+1/$B$10)-273.15</f>
        <v>-14.0176252044065</v>
      </c>
      <c r="H15" s="5">
        <v>0.5</v>
      </c>
      <c r="I15" s="7">
        <f t="shared" ref="I15:I33" si="3">($B$2/H15-1)*$B$3-$B$4</f>
        <v>87720</v>
      </c>
      <c r="J15" s="6">
        <f t="shared" ref="J15:J27" si="4">1/(LN(I15/$I$9)/$I$8+1/$I$10)-273.15</f>
        <v>-17.029201081028418</v>
      </c>
      <c r="P15" s="5">
        <v>0.5</v>
      </c>
      <c r="Q15" s="7">
        <f t="shared" ref="Q15:Q33" si="5">($B$2/P15-1)*$B$3-$B$4</f>
        <v>87720</v>
      </c>
      <c r="R15" s="6">
        <f t="shared" si="0"/>
        <v>-21.953287550988819</v>
      </c>
    </row>
    <row r="16" spans="1:18" x14ac:dyDescent="0.3">
      <c r="A16" s="5">
        <v>1</v>
      </c>
      <c r="B16" s="7">
        <f t="shared" si="1"/>
        <v>38320</v>
      </c>
      <c r="C16" s="6">
        <f t="shared" si="2"/>
        <v>-0.40527038587913466</v>
      </c>
      <c r="H16" s="5">
        <v>1</v>
      </c>
      <c r="I16" s="7">
        <f t="shared" si="3"/>
        <v>38320</v>
      </c>
      <c r="J16" s="6">
        <f t="shared" si="4"/>
        <v>-2.4388169033009603</v>
      </c>
      <c r="P16" s="5">
        <v>1</v>
      </c>
      <c r="Q16" s="7">
        <f t="shared" si="5"/>
        <v>38320</v>
      </c>
      <c r="R16" s="6">
        <f t="shared" si="0"/>
        <v>-5.1566342196052801</v>
      </c>
    </row>
    <row r="17" spans="1:18" x14ac:dyDescent="0.3">
      <c r="A17" s="5">
        <v>1.5</v>
      </c>
      <c r="B17" s="7">
        <f t="shared" si="1"/>
        <v>21853.333333333336</v>
      </c>
      <c r="C17" s="6">
        <f>1/(LN(B17/$B$9)/$B$8+1/$B$10)-273.15</f>
        <v>9.6695842110315766</v>
      </c>
      <c r="H17" s="5">
        <v>1.5</v>
      </c>
      <c r="I17" s="7">
        <f t="shared" si="3"/>
        <v>21853.333333333336</v>
      </c>
      <c r="J17" s="6">
        <f t="shared" si="4"/>
        <v>8.4393528340299326</v>
      </c>
      <c r="P17" s="5">
        <v>1.5</v>
      </c>
      <c r="Q17" s="7">
        <f t="shared" si="5"/>
        <v>21853.333333333336</v>
      </c>
      <c r="R17" s="6">
        <f t="shared" si="0"/>
        <v>7.0017215567954736</v>
      </c>
    </row>
    <row r="18" spans="1:18" x14ac:dyDescent="0.3">
      <c r="A18" s="5">
        <v>2</v>
      </c>
      <c r="B18" s="7">
        <f t="shared" si="1"/>
        <v>13620</v>
      </c>
      <c r="C18" s="6">
        <f t="shared" si="2"/>
        <v>18.746976384928075</v>
      </c>
      <c r="H18" s="5">
        <v>2</v>
      </c>
      <c r="I18" s="7">
        <f t="shared" si="3"/>
        <v>13620</v>
      </c>
      <c r="J18" s="6">
        <f t="shared" si="4"/>
        <v>18.298997948827605</v>
      </c>
      <c r="P18" s="5">
        <v>2</v>
      </c>
      <c r="Q18" s="7">
        <f t="shared" si="5"/>
        <v>13620</v>
      </c>
      <c r="R18" s="6">
        <f t="shared" si="0"/>
        <v>17.763897154715892</v>
      </c>
    </row>
    <row r="19" spans="1:18" x14ac:dyDescent="0.3">
      <c r="A19" s="5">
        <v>2.5</v>
      </c>
      <c r="B19" s="7">
        <f t="shared" si="1"/>
        <v>8680</v>
      </c>
      <c r="C19" s="6">
        <f t="shared" si="2"/>
        <v>27.955538293222276</v>
      </c>
      <c r="H19" s="5">
        <v>2.5</v>
      </c>
      <c r="I19" s="7">
        <f t="shared" si="3"/>
        <v>8680</v>
      </c>
      <c r="J19" s="6">
        <f t="shared" si="4"/>
        <v>28.358250300652287</v>
      </c>
      <c r="L19" s="1" t="s">
        <v>19</v>
      </c>
      <c r="M19" s="1" t="s">
        <v>19</v>
      </c>
      <c r="N19" t="s">
        <v>19</v>
      </c>
      <c r="P19" s="5">
        <v>2.5</v>
      </c>
      <c r="Q19" s="7">
        <f t="shared" si="5"/>
        <v>8680</v>
      </c>
      <c r="R19" s="6">
        <f t="shared" si="0"/>
        <v>28.501628198038247</v>
      </c>
    </row>
    <row r="20" spans="1:18" x14ac:dyDescent="0.3">
      <c r="A20" s="5">
        <v>3</v>
      </c>
      <c r="B20" s="7">
        <f t="shared" si="1"/>
        <v>5386.666666666667</v>
      </c>
      <c r="C20" s="6">
        <f t="shared" si="2"/>
        <v>38.362660158236849</v>
      </c>
      <c r="H20" s="5">
        <v>3</v>
      </c>
      <c r="I20" s="7">
        <f t="shared" si="3"/>
        <v>5386.666666666667</v>
      </c>
      <c r="J20" s="6">
        <f t="shared" si="4"/>
        <v>39.796674553481409</v>
      </c>
      <c r="L20" s="5">
        <f>AVERAGE(L25:L28)</f>
        <v>1.3533257253923126</v>
      </c>
      <c r="M20" s="5">
        <f>AVERAGE(M25:M28)</f>
        <v>0.90810886717945682</v>
      </c>
      <c r="N20" s="5">
        <f>AVERAGE(N25:N28)</f>
        <v>1.4003703121513247</v>
      </c>
      <c r="P20" s="5">
        <v>3</v>
      </c>
      <c r="Q20" s="7">
        <f t="shared" si="5"/>
        <v>5386.666666666667</v>
      </c>
      <c r="R20" s="6">
        <f t="shared" si="0"/>
        <v>40.427209415529603</v>
      </c>
    </row>
    <row r="21" spans="1:18" x14ac:dyDescent="0.3">
      <c r="A21" s="5">
        <v>3.5</v>
      </c>
      <c r="B21" s="7">
        <f t="shared" si="1"/>
        <v>3034.2857142857147</v>
      </c>
      <c r="C21" s="6">
        <f t="shared" si="2"/>
        <v>51.877209492486031</v>
      </c>
      <c r="H21" s="5">
        <v>3.5</v>
      </c>
      <c r="I21" s="7">
        <f t="shared" si="3"/>
        <v>3034.2857142857147</v>
      </c>
      <c r="J21" s="6">
        <f t="shared" si="4"/>
        <v>54.762292349773645</v>
      </c>
      <c r="P21" s="5">
        <v>3.5</v>
      </c>
      <c r="Q21" s="7">
        <f t="shared" si="5"/>
        <v>3034.2857142857147</v>
      </c>
      <c r="R21" s="6">
        <f t="shared" si="0"/>
        <v>55.597327748243288</v>
      </c>
    </row>
    <row r="22" spans="1:18" x14ac:dyDescent="0.3">
      <c r="A22" s="5">
        <v>4</v>
      </c>
      <c r="B22" s="7">
        <f t="shared" si="1"/>
        <v>1270</v>
      </c>
      <c r="C22" s="6">
        <f t="shared" si="2"/>
        <v>74.782965304463005</v>
      </c>
      <c r="H22" s="5">
        <v>4</v>
      </c>
      <c r="I22" s="7">
        <f t="shared" si="3"/>
        <v>1270</v>
      </c>
      <c r="J22" s="6">
        <f t="shared" si="4"/>
        <v>80.420321472183559</v>
      </c>
      <c r="P22" s="5">
        <v>4</v>
      </c>
      <c r="Q22" s="7">
        <f t="shared" si="5"/>
        <v>1270</v>
      </c>
      <c r="R22" s="6">
        <f t="shared" si="0"/>
        <v>80.550570714572473</v>
      </c>
    </row>
    <row r="23" spans="1:18" x14ac:dyDescent="0.3">
      <c r="A23" s="5">
        <v>4.5</v>
      </c>
      <c r="B23" s="7">
        <f t="shared" si="1"/>
        <v>-102.22222222222172</v>
      </c>
      <c r="C23" s="6" t="e">
        <f t="shared" si="2"/>
        <v>#NUM!</v>
      </c>
      <c r="H23" s="5">
        <v>4.5</v>
      </c>
      <c r="I23" s="7">
        <f t="shared" si="3"/>
        <v>-102.22222222222172</v>
      </c>
      <c r="J23" s="6" t="e">
        <f t="shared" si="4"/>
        <v>#NUM!</v>
      </c>
      <c r="P23" s="5">
        <v>4.5</v>
      </c>
      <c r="Q23" s="7">
        <f t="shared" si="5"/>
        <v>-102.22222222222172</v>
      </c>
      <c r="R23" s="6" t="e">
        <f t="shared" si="0"/>
        <v>#NUM!</v>
      </c>
    </row>
    <row r="24" spans="1:18" x14ac:dyDescent="0.3">
      <c r="A24" s="5">
        <v>4.8</v>
      </c>
      <c r="B24" s="7">
        <f t="shared" si="1"/>
        <v>-788.33333333333258</v>
      </c>
      <c r="C24" s="6" t="e">
        <f t="shared" si="2"/>
        <v>#NUM!</v>
      </c>
      <c r="E24" s="1" t="s">
        <v>10</v>
      </c>
      <c r="F24" s="1" t="s">
        <v>12</v>
      </c>
      <c r="H24" s="5">
        <v>4.8</v>
      </c>
      <c r="I24" s="7">
        <f t="shared" si="3"/>
        <v>-788.33333333333258</v>
      </c>
      <c r="J24" s="6" t="e">
        <f t="shared" si="4"/>
        <v>#NUM!</v>
      </c>
      <c r="L24" s="1" t="s">
        <v>17</v>
      </c>
      <c r="M24" s="1" t="s">
        <v>18</v>
      </c>
      <c r="N24" s="1" t="s">
        <v>22</v>
      </c>
      <c r="P24" s="5">
        <v>4.8</v>
      </c>
      <c r="Q24" s="7">
        <f t="shared" si="5"/>
        <v>-788.33333333333258</v>
      </c>
      <c r="R24" s="6" t="e">
        <f t="shared" si="0"/>
        <v>#NUM!</v>
      </c>
    </row>
    <row r="25" spans="1:18" x14ac:dyDescent="0.3">
      <c r="A25" s="5">
        <f>E25</f>
        <v>1.3</v>
      </c>
      <c r="B25" s="7">
        <f>($B$2/A25-1)*$B$3-$B$4</f>
        <v>26919.999999999996</v>
      </c>
      <c r="C25" s="6">
        <f t="shared" si="2"/>
        <v>5.8433257287319407</v>
      </c>
      <c r="E25" s="5">
        <v>1.3</v>
      </c>
      <c r="F25" s="6">
        <v>4.3</v>
      </c>
      <c r="H25" s="5">
        <f>E25</f>
        <v>1.3</v>
      </c>
      <c r="I25" s="7">
        <f t="shared" si="3"/>
        <v>26919.999999999996</v>
      </c>
      <c r="J25" s="6">
        <f t="shared" si="4"/>
        <v>4.3000001102820988</v>
      </c>
      <c r="L25" s="6">
        <f>ABS(F25-C25)</f>
        <v>1.5433257287319408</v>
      </c>
      <c r="M25" s="6">
        <f>ABS(F25-J25)</f>
        <v>1.1028209900842967E-7</v>
      </c>
      <c r="N25" s="6">
        <f>ABS(F25-R25)</f>
        <v>1.88895832963708</v>
      </c>
      <c r="P25" s="5">
        <f>E25</f>
        <v>1.3</v>
      </c>
      <c r="Q25" s="7">
        <f t="shared" si="5"/>
        <v>26919.999999999996</v>
      </c>
      <c r="R25" s="6">
        <f t="shared" si="0"/>
        <v>2.4110416703629198</v>
      </c>
    </row>
    <row r="26" spans="1:18" x14ac:dyDescent="0.3">
      <c r="A26" s="5">
        <f>E26</f>
        <v>2.48</v>
      </c>
      <c r="B26" s="7">
        <f t="shared" si="1"/>
        <v>8839.354838709678</v>
      </c>
      <c r="C26" s="6">
        <f t="shared" si="2"/>
        <v>27.572444381223306</v>
      </c>
      <c r="E26" s="5">
        <v>2.48</v>
      </c>
      <c r="F26" s="6">
        <v>30.1</v>
      </c>
      <c r="H26" s="5">
        <f>E26</f>
        <v>2.48</v>
      </c>
      <c r="I26" s="7">
        <f t="shared" si="3"/>
        <v>8839.354838709678</v>
      </c>
      <c r="J26" s="6">
        <f t="shared" si="4"/>
        <v>27.938612445347474</v>
      </c>
      <c r="L26" s="6">
        <f t="shared" ref="L26:L27" si="6">ABS(F26-C26)</f>
        <v>2.5275556187766952</v>
      </c>
      <c r="M26" s="6">
        <f t="shared" ref="M26:N27" si="7">ABS(F26-J26)</f>
        <v>2.1613875546525279</v>
      </c>
      <c r="N26" s="6">
        <f t="shared" ref="N26:N33" si="8">ABS(F26-R26)</f>
        <v>2.0415548512278647</v>
      </c>
      <c r="P26" s="5">
        <f t="shared" ref="P26:P32" si="9">E26</f>
        <v>2.48</v>
      </c>
      <c r="Q26" s="7">
        <f t="shared" si="5"/>
        <v>8839.354838709678</v>
      </c>
      <c r="R26" s="6">
        <f t="shared" si="0"/>
        <v>28.058445148772137</v>
      </c>
    </row>
    <row r="27" spans="1:18" x14ac:dyDescent="0.3">
      <c r="A27" s="5">
        <f>E27</f>
        <v>2.4900000000000002</v>
      </c>
      <c r="B27" s="7">
        <f t="shared" si="1"/>
        <v>8759.3574297188716</v>
      </c>
      <c r="C27" s="6">
        <f t="shared" si="2"/>
        <v>27.763767504765156</v>
      </c>
      <c r="E27" s="5">
        <v>2.4900000000000002</v>
      </c>
      <c r="F27" s="6">
        <v>29</v>
      </c>
      <c r="H27" s="5">
        <f>E27</f>
        <v>2.4900000000000002</v>
      </c>
      <c r="I27" s="7">
        <f t="shared" si="3"/>
        <v>8759.3574297188716</v>
      </c>
      <c r="J27" s="6">
        <f t="shared" si="4"/>
        <v>28.148173634953196</v>
      </c>
      <c r="L27" s="6">
        <f t="shared" si="6"/>
        <v>1.2362324952348445</v>
      </c>
      <c r="M27" s="6">
        <f t="shared" si="7"/>
        <v>0.85182636504680431</v>
      </c>
      <c r="N27" s="6">
        <f t="shared" si="8"/>
        <v>0.72018447180306566</v>
      </c>
      <c r="P27" s="5">
        <f t="shared" si="9"/>
        <v>2.4900000000000002</v>
      </c>
      <c r="Q27" s="7">
        <f t="shared" si="5"/>
        <v>8759.3574297188716</v>
      </c>
      <c r="R27" s="6">
        <f t="shared" si="0"/>
        <v>28.279815528196934</v>
      </c>
    </row>
    <row r="28" spans="1:18" x14ac:dyDescent="0.3">
      <c r="A28" s="5">
        <f>E28</f>
        <v>2.67</v>
      </c>
      <c r="B28" s="7">
        <f t="shared" si="1"/>
        <v>7421.8726591760314</v>
      </c>
      <c r="C28" s="6">
        <f t="shared" si="2"/>
        <v>31.293810941174229</v>
      </c>
      <c r="E28" s="5">
        <v>2.67</v>
      </c>
      <c r="F28" s="6">
        <v>31.4</v>
      </c>
      <c r="H28" s="5">
        <f>E28</f>
        <v>2.67</v>
      </c>
      <c r="I28" s="7">
        <f t="shared" si="3"/>
        <v>7421.8726591760314</v>
      </c>
      <c r="J28" s="6">
        <f>1/(LN(I28/$I$9)/$I$8+1/$I$10)-273.15</f>
        <v>32.019221438736395</v>
      </c>
      <c r="L28" s="6">
        <f t="shared" ref="L28:L33" si="10">ABS(F28-C28)</f>
        <v>0.10618905882576968</v>
      </c>
      <c r="M28" s="6">
        <f>ABS(F28-J28)</f>
        <v>0.61922143873639612</v>
      </c>
      <c r="N28" s="6">
        <f t="shared" si="8"/>
        <v>0.95078359593728834</v>
      </c>
      <c r="P28" s="5">
        <f t="shared" si="9"/>
        <v>2.67</v>
      </c>
      <c r="Q28" s="7">
        <f t="shared" si="5"/>
        <v>7421.8726591760314</v>
      </c>
      <c r="R28" s="6">
        <f t="shared" si="0"/>
        <v>32.350783595937287</v>
      </c>
    </row>
    <row r="29" spans="1:18" x14ac:dyDescent="0.3">
      <c r="A29" s="5"/>
      <c r="B29" s="7"/>
      <c r="C29" s="6"/>
      <c r="E29" s="5"/>
      <c r="F29" s="6"/>
      <c r="H29" s="5"/>
      <c r="I29" s="7"/>
      <c r="J29" s="6"/>
      <c r="L29" s="6"/>
      <c r="M29" s="6"/>
      <c r="N29" s="6"/>
      <c r="P29" s="5"/>
      <c r="Q29" s="7"/>
      <c r="R29" s="6"/>
    </row>
    <row r="30" spans="1:18" x14ac:dyDescent="0.3">
      <c r="A30" s="5">
        <f>E30</f>
        <v>2.66</v>
      </c>
      <c r="B30" s="7">
        <f t="shared" si="1"/>
        <v>7491.4285714285706</v>
      </c>
      <c r="C30" s="6">
        <f t="shared" si="2"/>
        <v>31.092877362419699</v>
      </c>
      <c r="E30" s="5">
        <v>2.66</v>
      </c>
      <c r="F30" s="6">
        <v>31.8</v>
      </c>
      <c r="H30" s="5">
        <f>E30</f>
        <v>2.66</v>
      </c>
      <c r="I30" s="7">
        <f t="shared" si="3"/>
        <v>7491.4285714285706</v>
      </c>
      <c r="J30" s="6">
        <f>1/(LN(I30/$I$9)/$I$8+1/$I$10)-273.15</f>
        <v>31.798648181600242</v>
      </c>
      <c r="L30" s="6">
        <f t="shared" si="10"/>
        <v>0.70712263758030147</v>
      </c>
      <c r="M30" s="6">
        <f>ABS(F30-J30)</f>
        <v>1.3518183997582867E-3</v>
      </c>
      <c r="N30" s="6">
        <f t="shared" si="8"/>
        <v>0.31974238053545534</v>
      </c>
      <c r="P30" s="5">
        <f t="shared" si="9"/>
        <v>2.66</v>
      </c>
      <c r="Q30" s="7">
        <f t="shared" si="5"/>
        <v>7491.4285714285706</v>
      </c>
      <c r="R30" s="6">
        <f>1/($Q$8+$Q$9*LN(Q30)+$Q$10*LN(Q30)^3)-273.15</f>
        <v>32.119742380535456</v>
      </c>
    </row>
    <row r="31" spans="1:18" x14ac:dyDescent="0.3">
      <c r="A31" s="5">
        <f>E31</f>
        <v>1.2</v>
      </c>
      <c r="B31" s="7">
        <f t="shared" si="1"/>
        <v>30086.666666666668</v>
      </c>
      <c r="C31" s="6">
        <f t="shared" si="2"/>
        <v>3.844611625363143</v>
      </c>
      <c r="E31" s="5">
        <v>1.2</v>
      </c>
      <c r="F31" s="6">
        <v>0</v>
      </c>
      <c r="H31" s="5">
        <f>E31</f>
        <v>1.2</v>
      </c>
      <c r="I31" s="7">
        <f t="shared" si="3"/>
        <v>30086.666666666668</v>
      </c>
      <c r="J31" s="6">
        <f>1/(LN(I31/$I$9)/$I$8+1/$I$10)-273.15</f>
        <v>2.1416407260138044</v>
      </c>
      <c r="L31" s="6">
        <f t="shared" si="10"/>
        <v>3.844611625363143</v>
      </c>
      <c r="M31" s="6">
        <f>ABS(F31-J31)</f>
        <v>2.1416407260138044</v>
      </c>
      <c r="N31" s="6">
        <f t="shared" si="8"/>
        <v>0</v>
      </c>
      <c r="P31" s="5">
        <f t="shared" si="9"/>
        <v>1.2</v>
      </c>
      <c r="Q31" s="7">
        <f t="shared" si="5"/>
        <v>30086.666666666668</v>
      </c>
      <c r="R31" s="6">
        <f t="shared" ref="R31:R33" si="11">1/($Q$8+$Q$9*LN(Q31)+$Q$10*LN(Q31)^3)-273.15</f>
        <v>0</v>
      </c>
    </row>
    <row r="32" spans="1:18" x14ac:dyDescent="0.3">
      <c r="A32" s="5">
        <f>E32</f>
        <v>4.2</v>
      </c>
      <c r="B32" s="7">
        <f t="shared" si="1"/>
        <v>681.9047619047617</v>
      </c>
      <c r="C32" s="6">
        <f t="shared" si="2"/>
        <v>93.218393662932897</v>
      </c>
      <c r="E32" s="5">
        <v>4.2</v>
      </c>
      <c r="F32" s="6">
        <v>100</v>
      </c>
      <c r="H32" s="5">
        <f>E32</f>
        <v>4.2</v>
      </c>
      <c r="I32" s="7">
        <f t="shared" si="3"/>
        <v>681.9047619047617</v>
      </c>
      <c r="J32" s="6">
        <f>1/(LN(I32/$I$9)/$I$8+1/$I$10)-273.15</f>
        <v>101.34311960819878</v>
      </c>
      <c r="L32" s="6">
        <f t="shared" si="10"/>
        <v>6.7816063370671031</v>
      </c>
      <c r="M32" s="6">
        <f>ABS(F32-J32)</f>
        <v>1.3431196081987764</v>
      </c>
      <c r="N32" s="6">
        <f t="shared" si="8"/>
        <v>5.6843418860808015E-14</v>
      </c>
      <c r="P32" s="5">
        <f t="shared" si="9"/>
        <v>4.2</v>
      </c>
      <c r="Q32" s="7">
        <f t="shared" si="5"/>
        <v>681.9047619047617</v>
      </c>
      <c r="R32" s="6">
        <f t="shared" si="11"/>
        <v>100.00000000000006</v>
      </c>
    </row>
    <row r="33" spans="1:18" x14ac:dyDescent="0.3">
      <c r="A33" s="5">
        <f>E33</f>
        <v>2.34</v>
      </c>
      <c r="B33" s="7">
        <f t="shared" si="1"/>
        <v>10031.111111111111</v>
      </c>
      <c r="C33" s="6">
        <f t="shared" si="2"/>
        <v>24.935798012912358</v>
      </c>
      <c r="E33" s="5">
        <v>2.34</v>
      </c>
      <c r="F33" s="6">
        <v>25</v>
      </c>
      <c r="H33" s="5">
        <f>E33</f>
        <v>2.34</v>
      </c>
      <c r="I33" s="7">
        <f t="shared" si="3"/>
        <v>10031.111111111111</v>
      </c>
      <c r="J33" s="6">
        <f>1/(LN(I33/$I$9)/$I$8+1/$I$10)-273.15</f>
        <v>25.053174002587355</v>
      </c>
      <c r="L33" s="6">
        <f t="shared" si="10"/>
        <v>6.4201987087642465E-2</v>
      </c>
      <c r="M33" s="6">
        <f>ABS(F33-J33)</f>
        <v>5.3174002587354607E-2</v>
      </c>
      <c r="N33" s="6">
        <f t="shared" si="8"/>
        <v>0</v>
      </c>
      <c r="P33">
        <v>2.34</v>
      </c>
      <c r="Q33" s="7">
        <f t="shared" si="5"/>
        <v>10031.111111111111</v>
      </c>
      <c r="R33" s="6">
        <f t="shared" si="11"/>
        <v>25</v>
      </c>
    </row>
    <row r="34" spans="1:18" x14ac:dyDescent="0.3">
      <c r="E34" s="5"/>
      <c r="F34" s="6"/>
    </row>
  </sheetData>
  <sortState ref="E24:F29">
    <sortCondition ref="E24:E29"/>
  </sortState>
  <mergeCells count="6">
    <mergeCell ref="A7:C7"/>
    <mergeCell ref="E7:F7"/>
    <mergeCell ref="A1:J1"/>
    <mergeCell ref="H7:J7"/>
    <mergeCell ref="P7:R7"/>
    <mergeCell ref="L7:N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7" sqref="C17"/>
    </sheetView>
  </sheetViews>
  <sheetFormatPr baseColWidth="10" defaultRowHeight="14.4" x14ac:dyDescent="0.3"/>
  <sheetData>
    <row r="2" spans="1:4" x14ac:dyDescent="0.3">
      <c r="B2" t="s">
        <v>25</v>
      </c>
      <c r="C2" t="s">
        <v>26</v>
      </c>
      <c r="D2" t="s">
        <v>27</v>
      </c>
    </row>
    <row r="3" spans="1:4" x14ac:dyDescent="0.3">
      <c r="A3" t="s">
        <v>10</v>
      </c>
      <c r="B3" s="5">
        <v>2.34</v>
      </c>
      <c r="C3" s="5">
        <v>4.2</v>
      </c>
      <c r="D3" s="5">
        <v>1.2</v>
      </c>
    </row>
    <row r="4" spans="1:4" x14ac:dyDescent="0.3">
      <c r="A4" t="s">
        <v>12</v>
      </c>
      <c r="B4" s="6">
        <v>25</v>
      </c>
      <c r="C4" s="6">
        <v>100</v>
      </c>
      <c r="D4" s="6">
        <v>0</v>
      </c>
    </row>
    <row r="5" spans="1:4" x14ac:dyDescent="0.3">
      <c r="A5" t="s">
        <v>30</v>
      </c>
      <c r="B5" s="7">
        <f>(Feuil1!$B$2/B3-1)*Feuil1!$B$3-Feuil1!$B$4</f>
        <v>10031.111111111111</v>
      </c>
      <c r="C5" s="7">
        <f>(Feuil1!$B$2/C3-1)*Feuil1!$B$3-Feuil1!$B$4</f>
        <v>681.9047619047617</v>
      </c>
      <c r="D5" s="7">
        <f>(Feuil1!$B$2/D3-1)*Feuil1!$B$3-Feuil1!$B$4</f>
        <v>30086.666666666668</v>
      </c>
    </row>
    <row r="7" spans="1:4" x14ac:dyDescent="0.3">
      <c r="B7">
        <v>1</v>
      </c>
      <c r="C7">
        <v>2</v>
      </c>
      <c r="D7">
        <v>3</v>
      </c>
    </row>
    <row r="8" spans="1:4" x14ac:dyDescent="0.3">
      <c r="A8" t="s">
        <v>28</v>
      </c>
      <c r="B8">
        <f>1/(B4+273.15)</f>
        <v>3.3540164346805303E-3</v>
      </c>
      <c r="C8">
        <f t="shared" ref="C8:D8" si="0">1/(C4+273.15)</f>
        <v>2.6798874447273215E-3</v>
      </c>
      <c r="D8">
        <f t="shared" si="0"/>
        <v>3.6609921288669233E-3</v>
      </c>
    </row>
    <row r="9" spans="1:4" x14ac:dyDescent="0.3">
      <c r="A9" t="s">
        <v>29</v>
      </c>
      <c r="B9">
        <f>LN(B5)</f>
        <v>9.2134466535952519</v>
      </c>
      <c r="C9">
        <f t="shared" ref="C9:D9" si="1">LN(C5)</f>
        <v>6.5248900027912136</v>
      </c>
      <c r="D9">
        <f t="shared" si="1"/>
        <v>10.311837384712883</v>
      </c>
    </row>
    <row r="11" spans="1:4" x14ac:dyDescent="0.3">
      <c r="A11" t="s">
        <v>31</v>
      </c>
      <c r="B11">
        <f>(C9-D9)/(B9-C9)*(C9^3-B9^3)+(C9^3-D9^3)</f>
        <v>-108.35694681932284</v>
      </c>
    </row>
    <row r="12" spans="1:4" x14ac:dyDescent="0.3">
      <c r="A12" t="s">
        <v>32</v>
      </c>
      <c r="B12">
        <f>C8-D8-(C9-D9)/(B9-C9)*(B8-C8)</f>
        <v>-3.1565081610736723E-5</v>
      </c>
    </row>
    <row r="14" spans="1:4" x14ac:dyDescent="0.3">
      <c r="A14" t="s">
        <v>23</v>
      </c>
      <c r="B14">
        <f>B8-B9*B15-B9^3*B16</f>
        <v>1.3194517343634265E-3</v>
      </c>
    </row>
    <row r="15" spans="1:4" x14ac:dyDescent="0.3">
      <c r="A15" t="s">
        <v>0</v>
      </c>
      <c r="B15">
        <f>1/(B9-C9)*(B8-C8-(B9^3-C9^3)*B16)</f>
        <v>1.9609727152211E-4</v>
      </c>
    </row>
    <row r="16" spans="1:4" x14ac:dyDescent="0.3">
      <c r="A16" t="s">
        <v>24</v>
      </c>
      <c r="B16">
        <f>B12/B11</f>
        <v>2.9130648783754633E-7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Baron</dc:creator>
  <cp:lastModifiedBy>Paul Baron</cp:lastModifiedBy>
  <dcterms:created xsi:type="dcterms:W3CDTF">2018-07-01T09:52:24Z</dcterms:created>
  <dcterms:modified xsi:type="dcterms:W3CDTF">2018-07-05T18:03:05Z</dcterms:modified>
</cp:coreProperties>
</file>