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re/Desktop/Station sol/Bilans de liaison/"/>
    </mc:Choice>
  </mc:AlternateContent>
  <bookViews>
    <workbookView xWindow="0" yWindow="460" windowWidth="28800" windowHeight="16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" i="1"/>
  <c r="H2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F26" i="1"/>
  <c r="W14" i="1"/>
  <c r="AG14" i="1"/>
  <c r="AQ39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" i="1"/>
  <c r="W3" i="1"/>
  <c r="AG3" i="1"/>
  <c r="AQ28" i="1"/>
  <c r="AX28" i="1"/>
  <c r="W4" i="1"/>
  <c r="AG4" i="1"/>
  <c r="AQ29" i="1"/>
  <c r="AX29" i="1"/>
  <c r="W5" i="1"/>
  <c r="AG5" i="1"/>
  <c r="AQ30" i="1"/>
  <c r="AX30" i="1"/>
  <c r="W6" i="1"/>
  <c r="AG6" i="1"/>
  <c r="AQ31" i="1"/>
  <c r="AX31" i="1"/>
  <c r="W7" i="1"/>
  <c r="AG7" i="1"/>
  <c r="AQ32" i="1"/>
  <c r="AX32" i="1"/>
  <c r="W8" i="1"/>
  <c r="AG8" i="1"/>
  <c r="AQ33" i="1"/>
  <c r="AX33" i="1"/>
  <c r="W9" i="1"/>
  <c r="AG9" i="1"/>
  <c r="AQ34" i="1"/>
  <c r="AX34" i="1"/>
  <c r="W10" i="1"/>
  <c r="AG10" i="1"/>
  <c r="AQ35" i="1"/>
  <c r="AX35" i="1"/>
  <c r="W11" i="1"/>
  <c r="AG11" i="1"/>
  <c r="AQ36" i="1"/>
  <c r="AX36" i="1"/>
  <c r="W12" i="1"/>
  <c r="AG12" i="1"/>
  <c r="AQ37" i="1"/>
  <c r="AX37" i="1"/>
  <c r="W13" i="1"/>
  <c r="AG13" i="1"/>
  <c r="AQ38" i="1"/>
  <c r="AX38" i="1"/>
  <c r="AX39" i="1"/>
  <c r="W15" i="1"/>
  <c r="AG15" i="1"/>
  <c r="AQ40" i="1"/>
  <c r="AX40" i="1"/>
  <c r="W16" i="1"/>
  <c r="AG16" i="1"/>
  <c r="AQ41" i="1"/>
  <c r="AX41" i="1"/>
  <c r="W17" i="1"/>
  <c r="AG17" i="1"/>
  <c r="AQ42" i="1"/>
  <c r="AX42" i="1"/>
  <c r="W18" i="1"/>
  <c r="AG18" i="1"/>
  <c r="AQ43" i="1"/>
  <c r="AX43" i="1"/>
  <c r="W19" i="1"/>
  <c r="AG19" i="1"/>
  <c r="AQ44" i="1"/>
  <c r="AX44" i="1"/>
  <c r="W20" i="1"/>
  <c r="AG20" i="1"/>
  <c r="AQ45" i="1"/>
  <c r="AX45" i="1"/>
  <c r="W21" i="1"/>
  <c r="AG21" i="1"/>
  <c r="AQ46" i="1"/>
  <c r="AX46" i="1"/>
  <c r="W2" i="1"/>
  <c r="AG2" i="1"/>
  <c r="AQ27" i="1"/>
  <c r="AX27" i="1"/>
  <c r="AP26" i="1"/>
  <c r="AQ26" i="1"/>
  <c r="AR26" i="1"/>
  <c r="AS26" i="1"/>
  <c r="AO26" i="1"/>
  <c r="AE2" i="1"/>
  <c r="AO27" i="1"/>
  <c r="AF2" i="1"/>
  <c r="AH2" i="1"/>
  <c r="AE3" i="1"/>
  <c r="AF3" i="1"/>
  <c r="AH3" i="1"/>
  <c r="AE4" i="1"/>
  <c r="AF4" i="1"/>
  <c r="AH4" i="1"/>
  <c r="AE5" i="1"/>
  <c r="AF5" i="1"/>
  <c r="AH5" i="1"/>
  <c r="AE6" i="1"/>
  <c r="AF6" i="1"/>
  <c r="AH6" i="1"/>
  <c r="AE7" i="1"/>
  <c r="AF7" i="1"/>
  <c r="AH7" i="1"/>
  <c r="AE8" i="1"/>
  <c r="AF8" i="1"/>
  <c r="AH8" i="1"/>
  <c r="AE9" i="1"/>
  <c r="AF9" i="1"/>
  <c r="AH9" i="1"/>
  <c r="AE10" i="1"/>
  <c r="AF10" i="1"/>
  <c r="AH10" i="1"/>
  <c r="AE11" i="1"/>
  <c r="AF11" i="1"/>
  <c r="AH11" i="1"/>
  <c r="AE12" i="1"/>
  <c r="AF12" i="1"/>
  <c r="AH12" i="1"/>
  <c r="AP9" i="1"/>
  <c r="AN9" i="1"/>
  <c r="AI1" i="1"/>
  <c r="AH1" i="1"/>
  <c r="AG1" i="1"/>
  <c r="AF1" i="1"/>
  <c r="AJ1" i="1"/>
  <c r="AK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" i="1"/>
  <c r="AH13" i="1"/>
  <c r="AH14" i="1"/>
  <c r="AH15" i="1"/>
  <c r="AH16" i="1"/>
  <c r="AH17" i="1"/>
  <c r="AH18" i="1"/>
  <c r="AH19" i="1"/>
  <c r="AH20" i="1"/>
  <c r="AH21" i="1"/>
  <c r="AF13" i="1"/>
  <c r="AF14" i="1"/>
  <c r="AF15" i="1"/>
  <c r="AF16" i="1"/>
  <c r="AF17" i="1"/>
  <c r="AF18" i="1"/>
  <c r="AF19" i="1"/>
  <c r="AF20" i="1"/>
  <c r="AF21" i="1"/>
  <c r="AE13" i="1"/>
  <c r="AE14" i="1"/>
  <c r="AE15" i="1"/>
  <c r="AE16" i="1"/>
  <c r="AE17" i="1"/>
  <c r="AE18" i="1"/>
  <c r="AE19" i="1"/>
  <c r="AE20" i="1"/>
  <c r="AE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AF27" i="1"/>
  <c r="AF28" i="1"/>
  <c r="F2" i="1"/>
  <c r="B7" i="1"/>
  <c r="B8" i="1"/>
  <c r="L2" i="1"/>
  <c r="N2" i="1"/>
  <c r="AE1" i="1"/>
  <c r="F3" i="1"/>
  <c r="H3" i="1"/>
  <c r="L3" i="1"/>
  <c r="N3" i="1"/>
  <c r="F4" i="1"/>
  <c r="H4" i="1"/>
  <c r="L4" i="1"/>
  <c r="N4" i="1"/>
  <c r="F5" i="1"/>
  <c r="H5" i="1"/>
  <c r="L5" i="1"/>
  <c r="N5" i="1"/>
  <c r="F6" i="1"/>
  <c r="H6" i="1"/>
  <c r="L6" i="1"/>
  <c r="N6" i="1"/>
  <c r="F7" i="1"/>
  <c r="H7" i="1"/>
  <c r="L7" i="1"/>
  <c r="N7" i="1"/>
  <c r="F8" i="1"/>
  <c r="H8" i="1"/>
  <c r="L8" i="1"/>
  <c r="N8" i="1"/>
  <c r="F9" i="1"/>
  <c r="H9" i="1"/>
  <c r="L9" i="1"/>
  <c r="N9" i="1"/>
  <c r="F10" i="1"/>
  <c r="H10" i="1"/>
  <c r="L10" i="1"/>
  <c r="N10" i="1"/>
  <c r="F11" i="1"/>
  <c r="H11" i="1"/>
  <c r="L11" i="1"/>
  <c r="N11" i="1"/>
  <c r="F12" i="1"/>
  <c r="H12" i="1"/>
  <c r="L12" i="1"/>
  <c r="N12" i="1"/>
  <c r="F13" i="1"/>
  <c r="H13" i="1"/>
  <c r="L13" i="1"/>
  <c r="N13" i="1"/>
  <c r="AJ36" i="1"/>
  <c r="AK36" i="1"/>
  <c r="AP27" i="1"/>
  <c r="AR27" i="1"/>
  <c r="AS27" i="1"/>
  <c r="AO28" i="1"/>
  <c r="AP28" i="1"/>
  <c r="AR28" i="1"/>
  <c r="AS28" i="1"/>
  <c r="AO29" i="1"/>
  <c r="AP29" i="1"/>
  <c r="AR29" i="1"/>
  <c r="AS29" i="1"/>
  <c r="AO30" i="1"/>
  <c r="AP30" i="1"/>
  <c r="AR30" i="1"/>
  <c r="AS30" i="1"/>
  <c r="AO31" i="1"/>
  <c r="AP31" i="1"/>
  <c r="AR31" i="1"/>
  <c r="AS31" i="1"/>
  <c r="AO32" i="1"/>
  <c r="AP32" i="1"/>
  <c r="AR32" i="1"/>
  <c r="AS32" i="1"/>
  <c r="AO33" i="1"/>
  <c r="AP33" i="1"/>
  <c r="AR33" i="1"/>
  <c r="AS33" i="1"/>
  <c r="AO34" i="1"/>
  <c r="AP34" i="1"/>
  <c r="AR34" i="1"/>
  <c r="AS34" i="1"/>
  <c r="AO35" i="1"/>
  <c r="AP35" i="1"/>
  <c r="AR35" i="1"/>
  <c r="AS35" i="1"/>
  <c r="AO36" i="1"/>
  <c r="AP36" i="1"/>
  <c r="AR36" i="1"/>
  <c r="AS36" i="1"/>
  <c r="AO37" i="1"/>
  <c r="AP37" i="1"/>
  <c r="AR37" i="1"/>
  <c r="AS37" i="1"/>
  <c r="AO38" i="1"/>
  <c r="AP38" i="1"/>
  <c r="AR38" i="1"/>
  <c r="AS38" i="1"/>
  <c r="F14" i="1"/>
  <c r="H14" i="1"/>
  <c r="L14" i="1"/>
  <c r="N14" i="1"/>
  <c r="AO39" i="1"/>
  <c r="AP39" i="1"/>
  <c r="AR39" i="1"/>
  <c r="AS39" i="1"/>
  <c r="F15" i="1"/>
  <c r="H15" i="1"/>
  <c r="L15" i="1"/>
  <c r="N15" i="1"/>
  <c r="AO40" i="1"/>
  <c r="AP40" i="1"/>
  <c r="AR40" i="1"/>
  <c r="AS40" i="1"/>
  <c r="F16" i="1"/>
  <c r="H16" i="1"/>
  <c r="L16" i="1"/>
  <c r="N16" i="1"/>
  <c r="AO41" i="1"/>
  <c r="AP41" i="1"/>
  <c r="AR41" i="1"/>
  <c r="AS41" i="1"/>
  <c r="F17" i="1"/>
  <c r="H17" i="1"/>
  <c r="L17" i="1"/>
  <c r="N17" i="1"/>
  <c r="AO42" i="1"/>
  <c r="AP42" i="1"/>
  <c r="AR42" i="1"/>
  <c r="AS42" i="1"/>
  <c r="F18" i="1"/>
  <c r="H18" i="1"/>
  <c r="L18" i="1"/>
  <c r="N18" i="1"/>
  <c r="AO43" i="1"/>
  <c r="AP43" i="1"/>
  <c r="AR43" i="1"/>
  <c r="AS43" i="1"/>
  <c r="F19" i="1"/>
  <c r="H19" i="1"/>
  <c r="L19" i="1"/>
  <c r="N19" i="1"/>
  <c r="AO44" i="1"/>
  <c r="AP44" i="1"/>
  <c r="AR44" i="1"/>
  <c r="AS44" i="1"/>
  <c r="F20" i="1"/>
  <c r="H20" i="1"/>
  <c r="L20" i="1"/>
  <c r="N20" i="1"/>
  <c r="AO45" i="1"/>
  <c r="AP45" i="1"/>
  <c r="AR45" i="1"/>
  <c r="AS45" i="1"/>
  <c r="F21" i="1"/>
  <c r="H21" i="1"/>
  <c r="L21" i="1"/>
  <c r="N21" i="1"/>
  <c r="AO46" i="1"/>
  <c r="AP46" i="1"/>
  <c r="AR46" i="1"/>
  <c r="AS46" i="1"/>
  <c r="AF34" i="1"/>
  <c r="AF30" i="1"/>
  <c r="AH29" i="1"/>
  <c r="AH30" i="1"/>
  <c r="AJ38" i="1"/>
  <c r="AJ32" i="1"/>
  <c r="AK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3" i="1"/>
  <c r="B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" i="1"/>
  <c r="E2" i="1"/>
  <c r="B4" i="1"/>
</calcChain>
</file>

<file path=xl/sharedStrings.xml><?xml version="1.0" encoding="utf-8"?>
<sst xmlns="http://schemas.openxmlformats.org/spreadsheetml/2006/main" count="46" uniqueCount="45">
  <si>
    <t>h</t>
  </si>
  <si>
    <t>r</t>
  </si>
  <si>
    <t>dmax</t>
  </si>
  <si>
    <t xml:space="preserve"> </t>
  </si>
  <si>
    <t>alpha(rad)</t>
  </si>
  <si>
    <t>alpha (deg)</t>
  </si>
  <si>
    <t>f</t>
  </si>
  <si>
    <t>c</t>
  </si>
  <si>
    <t>FSL (dB)</t>
  </si>
  <si>
    <t>d (m)</t>
  </si>
  <si>
    <t>Pertes Polarisation (dB)</t>
  </si>
  <si>
    <t>Gain Antenne (dB)</t>
  </si>
  <si>
    <t>Gain LNA (dB)</t>
  </si>
  <si>
    <t>Pertes totales (dB)</t>
  </si>
  <si>
    <t>Puissance émise (dBW)</t>
  </si>
  <si>
    <t>Eb/N0=S/(R*N0)=(S/N)*(Bn/R)</t>
  </si>
  <si>
    <t>S : signal power</t>
  </si>
  <si>
    <t>R: data rate Bps</t>
  </si>
  <si>
    <t>N0 : DSP bruit (W/Hz)</t>
  </si>
  <si>
    <t>Eb : Energie par bit</t>
  </si>
  <si>
    <t>Bn : noise BW</t>
  </si>
  <si>
    <t>Bn*N0=N</t>
  </si>
  <si>
    <t>BER = 1/2*erfc(sqrt(Eb/(2N0)))</t>
  </si>
  <si>
    <t>Bn</t>
  </si>
  <si>
    <t>N</t>
  </si>
  <si>
    <t>dB</t>
  </si>
  <si>
    <t>Eb/N0</t>
  </si>
  <si>
    <t>Cas moyen</t>
  </si>
  <si>
    <t>T</t>
  </si>
  <si>
    <t>R</t>
  </si>
  <si>
    <t>Eb/N0 (dB)</t>
  </si>
  <si>
    <t>Puissance émise (dBm)</t>
  </si>
  <si>
    <t>Puissance reçue par l'USRP (dBm)</t>
  </si>
  <si>
    <t>Noise floor (dBm)</t>
  </si>
  <si>
    <t>dBW</t>
  </si>
  <si>
    <t>Pertes Autre (météo/atmosphére/scitillation…) (dB)</t>
  </si>
  <si>
    <t>Pertes cables + Filtre (dB)</t>
  </si>
  <si>
    <t>Cas moy elev &gt;9</t>
  </si>
  <si>
    <t>Eb/N0min</t>
  </si>
  <si>
    <t>LM</t>
  </si>
  <si>
    <t>MSK ou /2 BFSK</t>
  </si>
  <si>
    <t>Voir calcul bruit</t>
  </si>
  <si>
    <t>Attenuation à l'entrée de la carte com (dB)</t>
  </si>
  <si>
    <t>Élévation (°)</t>
  </si>
  <si>
    <t>SNR 30dBm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</si>
</sst>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11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1" fontId="1" fillId="2" borderId="0" xfId="3" applyNumberFormat="1"/>
    <xf numFmtId="0" fontId="1" fillId="3" borderId="0" xfId="4"/>
    <xf numFmtId="0" fontId="0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" fillId="3" borderId="0" xfId="4" applyAlignment="1">
      <alignment horizontal="center"/>
    </xf>
    <xf numFmtId="0" fontId="1" fillId="2" borderId="0" xfId="3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20 % - Accent1" xfId="3" builtinId="30"/>
    <cellStyle name="20 % - Accent3" xfId="4" builtinId="38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Milliers" xfId="1" builtinId="3"/>
    <cellStyle name="Normal" xfId="0" builtinId="0"/>
    <cellStyle name="Style 1" xfId="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Pertes en espace libre en fonction de l'angle</a:t>
            </a:r>
            <a:r>
              <a:rPr lang="fr-FR" baseline="0"/>
              <a:t> d'élévation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Feuil1!$H$2:$H$21</c:f>
              <c:numCache>
                <c:formatCode>General</c:formatCode>
                <c:ptCount val="20"/>
                <c:pt idx="0">
                  <c:v>137.2227540488525</c:v>
                </c:pt>
                <c:pt idx="1">
                  <c:v>139.1609543090136</c:v>
                </c:pt>
                <c:pt idx="2">
                  <c:v>140.7445792299661</c:v>
                </c:pt>
                <c:pt idx="3">
                  <c:v>142.0835150225784</c:v>
                </c:pt>
                <c:pt idx="4">
                  <c:v>143.2433539621321</c:v>
                </c:pt>
                <c:pt idx="5">
                  <c:v>144.2664044110797</c:v>
                </c:pt>
                <c:pt idx="6">
                  <c:v>145.1815542222932</c:v>
                </c:pt>
                <c:pt idx="7">
                  <c:v>146.0094079254578</c:v>
                </c:pt>
                <c:pt idx="8">
                  <c:v>146.7651791432457</c:v>
                </c:pt>
                <c:pt idx="9">
                  <c:v>147.46042126843</c:v>
                </c:pt>
                <c:pt idx="10">
                  <c:v>148.104114935858</c:v>
                </c:pt>
                <c:pt idx="11">
                  <c:v>148.7033794034069</c:v>
                </c:pt>
                <c:pt idx="12">
                  <c:v>149.2639538754117</c:v>
                </c:pt>
                <c:pt idx="13">
                  <c:v>149.7905326498587</c:v>
                </c:pt>
                <c:pt idx="14">
                  <c:v>150.2870043243594</c:v>
                </c:pt>
                <c:pt idx="15">
                  <c:v>150.7566262413498</c:v>
                </c:pt>
                <c:pt idx="16">
                  <c:v>151.2021541355729</c:v>
                </c:pt>
                <c:pt idx="17">
                  <c:v>151.6259401169716</c:v>
                </c:pt>
                <c:pt idx="18">
                  <c:v>152.0300078387374</c:v>
                </c:pt>
                <c:pt idx="19">
                  <c:v>152.4161109426451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56928"/>
        <c:axId val="-2084435280"/>
      </c:scatterChart>
      <c:valAx>
        <c:axId val="-20844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d'élévation (degré)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435280"/>
        <c:crosses val="autoZero"/>
        <c:crossBetween val="midCat"/>
      </c:valAx>
      <c:valAx>
        <c:axId val="-20844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Atténuation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44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au</a:t>
            </a:r>
            <a:r>
              <a:rPr lang="en-US" baseline="0"/>
              <a:t> satellite en fonction de l'angle d'élévation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Feuil1!$F$2:$F$21</c:f>
              <c:numCache>
                <c:formatCode>General</c:formatCode>
                <c:ptCount val="20"/>
                <c:pt idx="0">
                  <c:v>400000.0</c:v>
                </c:pt>
                <c:pt idx="1">
                  <c:v>500000.0</c:v>
                </c:pt>
                <c:pt idx="2">
                  <c:v>600000.0</c:v>
                </c:pt>
                <c:pt idx="3">
                  <c:v>700000.0</c:v>
                </c:pt>
                <c:pt idx="4">
                  <c:v>800000.0</c:v>
                </c:pt>
                <c:pt idx="5">
                  <c:v>900000.0</c:v>
                </c:pt>
                <c:pt idx="6">
                  <c:v>1.0E6</c:v>
                </c:pt>
                <c:pt idx="7">
                  <c:v>1.1E6</c:v>
                </c:pt>
                <c:pt idx="8">
                  <c:v>1.2E6</c:v>
                </c:pt>
                <c:pt idx="9">
                  <c:v>1.3E6</c:v>
                </c:pt>
                <c:pt idx="10">
                  <c:v>1.4E6</c:v>
                </c:pt>
                <c:pt idx="11">
                  <c:v>1.5E6</c:v>
                </c:pt>
                <c:pt idx="12">
                  <c:v>1.6E6</c:v>
                </c:pt>
                <c:pt idx="13">
                  <c:v>1.7E6</c:v>
                </c:pt>
                <c:pt idx="14">
                  <c:v>1.8E6</c:v>
                </c:pt>
                <c:pt idx="15">
                  <c:v>1.9E6</c:v>
                </c:pt>
                <c:pt idx="16">
                  <c:v>2.0E6</c:v>
                </c:pt>
                <c:pt idx="17">
                  <c:v>2.1E6</c:v>
                </c:pt>
                <c:pt idx="18">
                  <c:v>2.2E6</c:v>
                </c:pt>
                <c:pt idx="19">
                  <c:v>2.3E6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94576"/>
        <c:axId val="-2083385424"/>
      </c:scatterChart>
      <c:valAx>
        <c:axId val="-20833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d'élévation (degré)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385424"/>
        <c:crosses val="autoZero"/>
        <c:crossBetween val="midCat"/>
      </c:valAx>
      <c:valAx>
        <c:axId val="-20833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au satellite</a:t>
                </a:r>
                <a:r>
                  <a:rPr lang="fr-FR" baseline="0"/>
                  <a:t> (m)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3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Pertes totales en fonction de l'angle d'élévation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Feuil1!$P$2:$P$21</c:f>
              <c:numCache>
                <c:formatCode>General</c:formatCode>
                <c:ptCount val="20"/>
                <c:pt idx="0">
                  <c:v>146.8227540488525</c:v>
                </c:pt>
                <c:pt idx="1">
                  <c:v>148.7609543090136</c:v>
                </c:pt>
                <c:pt idx="2">
                  <c:v>150.3445792299661</c:v>
                </c:pt>
                <c:pt idx="3">
                  <c:v>151.6835150225784</c:v>
                </c:pt>
                <c:pt idx="4">
                  <c:v>152.8433539621321</c:v>
                </c:pt>
                <c:pt idx="5">
                  <c:v>153.8664044110797</c:v>
                </c:pt>
                <c:pt idx="6">
                  <c:v>154.7815542222932</c:v>
                </c:pt>
                <c:pt idx="7">
                  <c:v>155.6094079254578</c:v>
                </c:pt>
                <c:pt idx="8">
                  <c:v>156.3651791432457</c:v>
                </c:pt>
                <c:pt idx="9">
                  <c:v>157.06042126843</c:v>
                </c:pt>
                <c:pt idx="10">
                  <c:v>157.704114935858</c:v>
                </c:pt>
                <c:pt idx="11">
                  <c:v>158.3033794034069</c:v>
                </c:pt>
                <c:pt idx="12">
                  <c:v>158.8639538754117</c:v>
                </c:pt>
                <c:pt idx="13">
                  <c:v>159.3905326498587</c:v>
                </c:pt>
                <c:pt idx="14">
                  <c:v>159.8870043243594</c:v>
                </c:pt>
                <c:pt idx="15">
                  <c:v>160.3566262413498</c:v>
                </c:pt>
                <c:pt idx="16">
                  <c:v>160.8021541355729</c:v>
                </c:pt>
                <c:pt idx="17">
                  <c:v>161.2259401169716</c:v>
                </c:pt>
                <c:pt idx="18">
                  <c:v>161.6300078387374</c:v>
                </c:pt>
                <c:pt idx="19">
                  <c:v>162.0161109426451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31552"/>
        <c:axId val="-2082422112"/>
      </c:scatterChart>
      <c:valAx>
        <c:axId val="-20824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Angle d'élévation (degré</a:t>
                </a:r>
                <a:r>
                  <a:rPr lang="fr-FR" sz="1000" b="0" i="0" u="none" strike="noStrike" baseline="0"/>
                  <a:t>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2422112"/>
        <c:crosses val="autoZero"/>
        <c:crossBetween val="midCat"/>
      </c:valAx>
      <c:valAx>
        <c:axId val="-20824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Atténuation (dB</a:t>
                </a:r>
                <a:r>
                  <a:rPr lang="fr-FR" sz="1000" b="0" i="0" u="none" strike="noStrike" baseline="0"/>
                  <a:t> 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24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Puissance reçu</a:t>
            </a:r>
            <a:r>
              <a:rPr lang="fr-FR" baseline="0"/>
              <a:t> en fin de chaine de réception en fonction de l'angle d'élévation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Pémise = 0.5W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Feuil1!$AF$2:$AF$21</c:f>
              <c:numCache>
                <c:formatCode>General</c:formatCode>
                <c:ptCount val="20"/>
                <c:pt idx="0">
                  <c:v>-79.32275404885249</c:v>
                </c:pt>
                <c:pt idx="1">
                  <c:v>-81.2609543090136</c:v>
                </c:pt>
                <c:pt idx="2">
                  <c:v>-82.8445792299661</c:v>
                </c:pt>
                <c:pt idx="3">
                  <c:v>-84.18351502257838</c:v>
                </c:pt>
                <c:pt idx="4">
                  <c:v>-85.3433539621321</c:v>
                </c:pt>
                <c:pt idx="5">
                  <c:v>-86.36640441107974</c:v>
                </c:pt>
                <c:pt idx="6">
                  <c:v>-87.28155422229323</c:v>
                </c:pt>
                <c:pt idx="7">
                  <c:v>-88.10940792545776</c:v>
                </c:pt>
                <c:pt idx="8">
                  <c:v>-88.86517914324574</c:v>
                </c:pt>
                <c:pt idx="9">
                  <c:v>-89.56042126842999</c:v>
                </c:pt>
                <c:pt idx="10">
                  <c:v>-90.204114935858</c:v>
                </c:pt>
                <c:pt idx="11">
                  <c:v>-90.80337940340686</c:v>
                </c:pt>
                <c:pt idx="12">
                  <c:v>-91.36395387541174</c:v>
                </c:pt>
                <c:pt idx="13">
                  <c:v>-91.89053264985873</c:v>
                </c:pt>
                <c:pt idx="14">
                  <c:v>-92.38700432435937</c:v>
                </c:pt>
                <c:pt idx="15">
                  <c:v>-92.85662624134982</c:v>
                </c:pt>
                <c:pt idx="16">
                  <c:v>-93.30215413557286</c:v>
                </c:pt>
                <c:pt idx="17">
                  <c:v>-93.72594011697163</c:v>
                </c:pt>
                <c:pt idx="18">
                  <c:v>-94.13000783873738</c:v>
                </c:pt>
                <c:pt idx="19">
                  <c:v>-94.5161109426451</c:v>
                </c:pt>
              </c:numCache>
            </c:numRef>
          </c:yVal>
          <c:smooth val="1"/>
        </c:ser>
        <c:ser>
          <c:idx val="2"/>
          <c:order val="1"/>
          <c:tx>
            <c:v>Pémise = 1W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Feuil1!$AG$2:$AG$21</c:f>
              <c:numCache>
                <c:formatCode>General</c:formatCode>
                <c:ptCount val="20"/>
                <c:pt idx="0">
                  <c:v>-76.32275404885249</c:v>
                </c:pt>
                <c:pt idx="1">
                  <c:v>-78.2609543090136</c:v>
                </c:pt>
                <c:pt idx="2">
                  <c:v>-79.8445792299661</c:v>
                </c:pt>
                <c:pt idx="3">
                  <c:v>-81.18351502257838</c:v>
                </c:pt>
                <c:pt idx="4">
                  <c:v>-82.3433539621321</c:v>
                </c:pt>
                <c:pt idx="5">
                  <c:v>-83.36640441107974</c:v>
                </c:pt>
                <c:pt idx="6">
                  <c:v>-84.28155422229323</c:v>
                </c:pt>
                <c:pt idx="7">
                  <c:v>-85.10940792545776</c:v>
                </c:pt>
                <c:pt idx="8">
                  <c:v>-85.86517914324574</c:v>
                </c:pt>
                <c:pt idx="9">
                  <c:v>-86.56042126842999</c:v>
                </c:pt>
                <c:pt idx="10">
                  <c:v>-87.204114935858</c:v>
                </c:pt>
                <c:pt idx="11">
                  <c:v>-87.80337940340686</c:v>
                </c:pt>
                <c:pt idx="12">
                  <c:v>-88.36395387541174</c:v>
                </c:pt>
                <c:pt idx="13">
                  <c:v>-88.89053264985873</c:v>
                </c:pt>
                <c:pt idx="14">
                  <c:v>-89.38700432435937</c:v>
                </c:pt>
                <c:pt idx="15">
                  <c:v>-89.85662624134982</c:v>
                </c:pt>
                <c:pt idx="16">
                  <c:v>-90.30215413557286</c:v>
                </c:pt>
                <c:pt idx="17">
                  <c:v>-90.72594011697163</c:v>
                </c:pt>
                <c:pt idx="18">
                  <c:v>-91.13000783873738</c:v>
                </c:pt>
                <c:pt idx="19">
                  <c:v>-91.5161109426451</c:v>
                </c:pt>
              </c:numCache>
            </c:numRef>
          </c:yVal>
          <c:smooth val="1"/>
        </c:ser>
        <c:ser>
          <c:idx val="4"/>
          <c:order val="2"/>
          <c:tx>
            <c:v>Pémise = 1.5W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Feuil1!$AH$2:$AH$21</c:f>
              <c:numCache>
                <c:formatCode>General</c:formatCode>
                <c:ptCount val="20"/>
                <c:pt idx="0">
                  <c:v>-74.52275404885249</c:v>
                </c:pt>
                <c:pt idx="1">
                  <c:v>-76.4609543090136</c:v>
                </c:pt>
                <c:pt idx="2">
                  <c:v>-78.0445792299661</c:v>
                </c:pt>
                <c:pt idx="3">
                  <c:v>-79.38351502257838</c:v>
                </c:pt>
                <c:pt idx="4">
                  <c:v>-80.5433539621321</c:v>
                </c:pt>
                <c:pt idx="5">
                  <c:v>-81.56640441107974</c:v>
                </c:pt>
                <c:pt idx="6">
                  <c:v>-82.48155422229324</c:v>
                </c:pt>
                <c:pt idx="7">
                  <c:v>-83.30940792545776</c:v>
                </c:pt>
                <c:pt idx="8">
                  <c:v>-84.06517914324574</c:v>
                </c:pt>
                <c:pt idx="9">
                  <c:v>-84.76042126842999</c:v>
                </c:pt>
                <c:pt idx="10">
                  <c:v>-85.404114935858</c:v>
                </c:pt>
                <c:pt idx="11">
                  <c:v>-86.00337940340687</c:v>
                </c:pt>
                <c:pt idx="12">
                  <c:v>-86.56395387541174</c:v>
                </c:pt>
                <c:pt idx="13">
                  <c:v>-87.09053264985873</c:v>
                </c:pt>
                <c:pt idx="14">
                  <c:v>-87.58700432435937</c:v>
                </c:pt>
                <c:pt idx="15">
                  <c:v>-88.05662624134983</c:v>
                </c:pt>
                <c:pt idx="16">
                  <c:v>-88.50215413557287</c:v>
                </c:pt>
                <c:pt idx="17">
                  <c:v>-88.92594011697163</c:v>
                </c:pt>
                <c:pt idx="18">
                  <c:v>-89.33000783873739</c:v>
                </c:pt>
                <c:pt idx="19">
                  <c:v>-89.7161109426451</c:v>
                </c:pt>
              </c:numCache>
            </c:numRef>
          </c:yVal>
          <c:smooth val="1"/>
        </c:ser>
        <c:ser>
          <c:idx val="1"/>
          <c:order val="3"/>
          <c:tx>
            <c:v>Pémise = 2W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Feuil1!$AI$2:$AI$21</c:f>
              <c:numCache>
                <c:formatCode>General</c:formatCode>
                <c:ptCount val="20"/>
                <c:pt idx="0">
                  <c:v>-73.32275404885249</c:v>
                </c:pt>
                <c:pt idx="1">
                  <c:v>-75.2609543090136</c:v>
                </c:pt>
                <c:pt idx="2">
                  <c:v>-76.8445792299661</c:v>
                </c:pt>
                <c:pt idx="3">
                  <c:v>-78.18351502257838</c:v>
                </c:pt>
                <c:pt idx="4">
                  <c:v>-79.3433539621321</c:v>
                </c:pt>
                <c:pt idx="5">
                  <c:v>-80.36640441107974</c:v>
                </c:pt>
                <c:pt idx="6">
                  <c:v>-81.28155422229323</c:v>
                </c:pt>
                <c:pt idx="7">
                  <c:v>-82.10940792545776</c:v>
                </c:pt>
                <c:pt idx="8">
                  <c:v>-82.86517914324574</c:v>
                </c:pt>
                <c:pt idx="9">
                  <c:v>-83.56042126842999</c:v>
                </c:pt>
                <c:pt idx="10">
                  <c:v>-84.204114935858</c:v>
                </c:pt>
                <c:pt idx="11">
                  <c:v>-84.80337940340686</c:v>
                </c:pt>
                <c:pt idx="12">
                  <c:v>-85.36395387541174</c:v>
                </c:pt>
                <c:pt idx="13">
                  <c:v>-85.89053264985873</c:v>
                </c:pt>
                <c:pt idx="14">
                  <c:v>-86.38700432435937</c:v>
                </c:pt>
                <c:pt idx="15">
                  <c:v>-86.85662624134982</c:v>
                </c:pt>
                <c:pt idx="16">
                  <c:v>-87.30215413557286</c:v>
                </c:pt>
                <c:pt idx="17">
                  <c:v>-87.72594011697163</c:v>
                </c:pt>
                <c:pt idx="18">
                  <c:v>-88.13000783873738</c:v>
                </c:pt>
                <c:pt idx="19">
                  <c:v>-88.5161109426451</c:v>
                </c:pt>
              </c:numCache>
            </c:numRef>
          </c:yVal>
          <c:smooth val="1"/>
        </c:ser>
        <c:ser>
          <c:idx val="3"/>
          <c:order val="4"/>
          <c:tx>
            <c:v>Planché de Bruit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Feuil1!$AO$2:$AO$21</c:f>
              <c:numCache>
                <c:formatCode>General</c:formatCode>
                <c:ptCount val="20"/>
                <c:pt idx="0">
                  <c:v>-106.0</c:v>
                </c:pt>
                <c:pt idx="1">
                  <c:v>-106.0</c:v>
                </c:pt>
                <c:pt idx="2">
                  <c:v>-106.0</c:v>
                </c:pt>
                <c:pt idx="3">
                  <c:v>-106.0</c:v>
                </c:pt>
                <c:pt idx="4">
                  <c:v>-106.0</c:v>
                </c:pt>
                <c:pt idx="5">
                  <c:v>-106.0</c:v>
                </c:pt>
                <c:pt idx="6">
                  <c:v>-106.0</c:v>
                </c:pt>
                <c:pt idx="7">
                  <c:v>-106.0</c:v>
                </c:pt>
                <c:pt idx="8">
                  <c:v>-106.0</c:v>
                </c:pt>
                <c:pt idx="9">
                  <c:v>-106.0</c:v>
                </c:pt>
                <c:pt idx="10">
                  <c:v>-106.0</c:v>
                </c:pt>
                <c:pt idx="11">
                  <c:v>-106.0</c:v>
                </c:pt>
                <c:pt idx="12">
                  <c:v>-106.0</c:v>
                </c:pt>
                <c:pt idx="13">
                  <c:v>-106.0</c:v>
                </c:pt>
                <c:pt idx="14">
                  <c:v>-106.0</c:v>
                </c:pt>
                <c:pt idx="15">
                  <c:v>-106.0</c:v>
                </c:pt>
                <c:pt idx="16">
                  <c:v>-106.0</c:v>
                </c:pt>
                <c:pt idx="17">
                  <c:v>-106.0</c:v>
                </c:pt>
                <c:pt idx="18">
                  <c:v>-106.0</c:v>
                </c:pt>
                <c:pt idx="19">
                  <c:v>-106.0</c:v>
                </c:pt>
              </c:numCache>
            </c:numRef>
          </c:yVal>
          <c:smooth val="1"/>
        </c:ser>
        <c:ser>
          <c:idx val="5"/>
          <c:order val="5"/>
          <c:tx>
            <c:v>Psmin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Feuil1!$E$2:$E$21</c:f>
              <c:numCache>
                <c:formatCode>General</c:formatCode>
                <c:ptCount val="20"/>
                <c:pt idx="0">
                  <c:v>90.0</c:v>
                </c:pt>
                <c:pt idx="1">
                  <c:v>51.80746887244477</c:v>
                </c:pt>
                <c:pt idx="2">
                  <c:v>39.8384399769991</c:v>
                </c:pt>
                <c:pt idx="3">
                  <c:v>32.31666739929605</c:v>
                </c:pt>
                <c:pt idx="4">
                  <c:v>26.94435818047575</c:v>
                </c:pt>
                <c:pt idx="5">
                  <c:v>22.83140580114388</c:v>
                </c:pt>
                <c:pt idx="6">
                  <c:v>19.53453650715606</c:v>
                </c:pt>
                <c:pt idx="7">
                  <c:v>16.80183759342818</c:v>
                </c:pt>
                <c:pt idx="8">
                  <c:v>14.47751218592992</c:v>
                </c:pt>
                <c:pt idx="9">
                  <c:v>12.45924976114277</c:v>
                </c:pt>
                <c:pt idx="10">
                  <c:v>10.67674944884182</c:v>
                </c:pt>
                <c:pt idx="11">
                  <c:v>9.079948638986353</c:v>
                </c:pt>
                <c:pt idx="12">
                  <c:v>7.632146323658405</c:v>
                </c:pt>
                <c:pt idx="13">
                  <c:v>6.305778701802367</c:v>
                </c:pt>
                <c:pt idx="14">
                  <c:v>5.079715792733478</c:v>
                </c:pt>
                <c:pt idx="15">
                  <c:v>3.937471529762853</c:v>
                </c:pt>
                <c:pt idx="16">
                  <c:v>2.865983982598865</c:v>
                </c:pt>
                <c:pt idx="17">
                  <c:v>1.854763218534033</c:v>
                </c:pt>
                <c:pt idx="18">
                  <c:v>0.895282986570128</c:v>
                </c:pt>
                <c:pt idx="19">
                  <c:v>-0.0194618820023334</c:v>
                </c:pt>
              </c:numCache>
            </c:numRef>
          </c:xVal>
          <c:yVal>
            <c:numRef>
              <c:f>Feuil1!$AQ$2:$AQ$21</c:f>
              <c:numCache>
                <c:formatCode>General</c:formatCode>
                <c:ptCount val="20"/>
                <c:pt idx="0">
                  <c:v>-102.0</c:v>
                </c:pt>
                <c:pt idx="1">
                  <c:v>-102.0</c:v>
                </c:pt>
                <c:pt idx="2">
                  <c:v>-102.0</c:v>
                </c:pt>
                <c:pt idx="3">
                  <c:v>-102.0</c:v>
                </c:pt>
                <c:pt idx="4">
                  <c:v>-102.0</c:v>
                </c:pt>
                <c:pt idx="5">
                  <c:v>-102.0</c:v>
                </c:pt>
                <c:pt idx="6">
                  <c:v>-102.0</c:v>
                </c:pt>
                <c:pt idx="7">
                  <c:v>-102.0</c:v>
                </c:pt>
                <c:pt idx="8">
                  <c:v>-102.0</c:v>
                </c:pt>
                <c:pt idx="9">
                  <c:v>-102.0</c:v>
                </c:pt>
                <c:pt idx="10">
                  <c:v>-102.0</c:v>
                </c:pt>
                <c:pt idx="11">
                  <c:v>-102.0</c:v>
                </c:pt>
                <c:pt idx="12">
                  <c:v>-102.0</c:v>
                </c:pt>
                <c:pt idx="13">
                  <c:v>-102.0</c:v>
                </c:pt>
                <c:pt idx="14">
                  <c:v>-102.0</c:v>
                </c:pt>
                <c:pt idx="15">
                  <c:v>-102.0</c:v>
                </c:pt>
                <c:pt idx="16">
                  <c:v>-102.0</c:v>
                </c:pt>
                <c:pt idx="17">
                  <c:v>-102.0</c:v>
                </c:pt>
                <c:pt idx="18">
                  <c:v>-102.0</c:v>
                </c:pt>
                <c:pt idx="19">
                  <c:v>-102.0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50192"/>
        <c:axId val="-2082344288"/>
      </c:scatterChart>
      <c:valAx>
        <c:axId val="-20823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d'élévation (degré)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2344288"/>
        <c:crosses val="autoZero"/>
        <c:crossBetween val="midCat"/>
      </c:valAx>
      <c:valAx>
        <c:axId val="-2082344288"/>
        <c:scaling>
          <c:orientation val="minMax"/>
          <c:max val="-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reçue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23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21</xdr:row>
      <xdr:rowOff>190500</xdr:rowOff>
    </xdr:from>
    <xdr:to>
      <xdr:col>16</xdr:col>
      <xdr:colOff>419100</xdr:colOff>
      <xdr:row>48</xdr:row>
      <xdr:rowOff>50800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77</xdr:row>
      <xdr:rowOff>95250</xdr:rowOff>
    </xdr:from>
    <xdr:to>
      <xdr:col>9</xdr:col>
      <xdr:colOff>12700</xdr:colOff>
      <xdr:row>96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21</xdr:row>
      <xdr:rowOff>177800</xdr:rowOff>
    </xdr:from>
    <xdr:to>
      <xdr:col>8</xdr:col>
      <xdr:colOff>717550</xdr:colOff>
      <xdr:row>44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165100</xdr:colOff>
      <xdr:row>35</xdr:row>
      <xdr:rowOff>114300</xdr:rowOff>
    </xdr:from>
    <xdr:to>
      <xdr:col>33</xdr:col>
      <xdr:colOff>679450</xdr:colOff>
      <xdr:row>57</xdr:row>
      <xdr:rowOff>171450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6"/>
  <sheetViews>
    <sheetView tabSelected="1" topLeftCell="AE1" workbookViewId="0">
      <selection activeCell="AU1" sqref="AU1"/>
    </sheetView>
  </sheetViews>
  <sheetFormatPr baseColWidth="10" defaultRowHeight="16" x14ac:dyDescent="0.2"/>
  <cols>
    <col min="10" max="10" width="20.33203125" customWidth="1"/>
    <col min="11" max="11" width="21.1640625" customWidth="1"/>
    <col min="12" max="12" width="34" customWidth="1"/>
    <col min="14" max="14" width="15.83203125" customWidth="1"/>
    <col min="15" max="15" width="12.1640625" customWidth="1"/>
    <col min="18" max="18" width="16.5" customWidth="1"/>
    <col min="23" max="23" width="35.6640625" customWidth="1"/>
    <col min="26" max="26" width="43" customWidth="1"/>
    <col min="30" max="30" width="28.33203125" customWidth="1"/>
    <col min="32" max="32" width="15.83203125" customWidth="1"/>
    <col min="38" max="38" width="15.5" customWidth="1"/>
    <col min="39" max="39" width="11.33203125" customWidth="1"/>
    <col min="40" max="40" width="5.83203125" customWidth="1"/>
    <col min="41" max="41" width="7.83203125" customWidth="1"/>
    <col min="42" max="42" width="8.1640625" customWidth="1"/>
    <col min="43" max="43" width="8.6640625" customWidth="1"/>
    <col min="44" max="44" width="8" customWidth="1"/>
    <col min="45" max="45" width="9" customWidth="1"/>
    <col min="50" max="50" width="12" bestFit="1" customWidth="1"/>
  </cols>
  <sheetData>
    <row r="1" spans="1:47" x14ac:dyDescent="0.2">
      <c r="D1" t="s">
        <v>4</v>
      </c>
      <c r="E1" t="s">
        <v>5</v>
      </c>
      <c r="F1" t="s">
        <v>9</v>
      </c>
      <c r="H1" t="s">
        <v>8</v>
      </c>
      <c r="J1" t="s">
        <v>10</v>
      </c>
      <c r="K1" t="s">
        <v>36</v>
      </c>
      <c r="L1" t="s">
        <v>35</v>
      </c>
      <c r="N1" t="s">
        <v>13</v>
      </c>
      <c r="R1" t="s">
        <v>11</v>
      </c>
      <c r="S1" t="s">
        <v>12</v>
      </c>
      <c r="W1" t="s">
        <v>42</v>
      </c>
      <c r="AD1" t="s">
        <v>31</v>
      </c>
      <c r="AE1">
        <f>-10+30</f>
        <v>20</v>
      </c>
      <c r="AF1">
        <f>AE1+7</f>
        <v>27</v>
      </c>
      <c r="AG1">
        <f>AF1+3</f>
        <v>30</v>
      </c>
      <c r="AH1">
        <f>AG1+1.8</f>
        <v>31.8</v>
      </c>
      <c r="AI1">
        <f>AH1+1.2</f>
        <v>33</v>
      </c>
      <c r="AJ1">
        <f t="shared" ref="AJ1" si="0">AI1+1</f>
        <v>34</v>
      </c>
      <c r="AK1">
        <f>AJ1+1</f>
        <v>35</v>
      </c>
      <c r="AU1" t="s">
        <v>44</v>
      </c>
    </row>
    <row r="2" spans="1:47" x14ac:dyDescent="0.2">
      <c r="A2" t="s">
        <v>0</v>
      </c>
      <c r="B2">
        <f>400*10^3</f>
        <v>400000</v>
      </c>
      <c r="C2" t="s">
        <v>3</v>
      </c>
      <c r="D2">
        <f t="shared" ref="D2:D21" si="1">ACOS( (B$3^2+F2^2-(B$3+B$2)^2) / (2*B$3*F2) ) - (PI()/2)</f>
        <v>1.5707963267948966</v>
      </c>
      <c r="E2">
        <f>D2*180/PI()</f>
        <v>90</v>
      </c>
      <c r="F2">
        <f>400*10^3</f>
        <v>400000</v>
      </c>
      <c r="H2">
        <f>20*LOG10((4*PI()*F2*B$7)/B$8)</f>
        <v>137.22275404885249</v>
      </c>
      <c r="J2">
        <v>3</v>
      </c>
      <c r="K2">
        <f>2+0.5+1</f>
        <v>3.5</v>
      </c>
      <c r="L2">
        <f>0.5+0.1</f>
        <v>0.6</v>
      </c>
      <c r="N2">
        <f>H2+J2+K2+L2</f>
        <v>144.32275404885249</v>
      </c>
      <c r="P2">
        <f>N2+2.5</f>
        <v>146.82275404885249</v>
      </c>
      <c r="R2">
        <v>14</v>
      </c>
      <c r="S2">
        <v>24</v>
      </c>
      <c r="W2">
        <f t="shared" ref="W2:W21" si="2">R2+S2-N2</f>
        <v>-106.32275404885249</v>
      </c>
      <c r="AD2" s="7" t="s">
        <v>32</v>
      </c>
      <c r="AE2">
        <f>W2+AE$1</f>
        <v>-86.322754048852488</v>
      </c>
      <c r="AF2">
        <f>AF$1+W2</f>
        <v>-79.322754048852488</v>
      </c>
      <c r="AG2">
        <f>AG$1+W2</f>
        <v>-76.322754048852488</v>
      </c>
      <c r="AH2">
        <f>AH$1+W2</f>
        <v>-74.522754048852491</v>
      </c>
      <c r="AI2">
        <f>AI$1+W2</f>
        <v>-73.322754048852488</v>
      </c>
      <c r="AJ2">
        <f>AJ$1+W2</f>
        <v>-72.322754048852488</v>
      </c>
      <c r="AK2">
        <f>AK$1+W2</f>
        <v>-71.322754048852488</v>
      </c>
      <c r="AO2">
        <v>-106</v>
      </c>
      <c r="AQ2">
        <f>AO2+4</f>
        <v>-102</v>
      </c>
      <c r="AU2">
        <f>AG$1+W2+106</f>
        <v>29.677245951147512</v>
      </c>
    </row>
    <row r="3" spans="1:47" x14ac:dyDescent="0.2">
      <c r="A3" t="s">
        <v>1</v>
      </c>
      <c r="B3">
        <f>6400*10^3</f>
        <v>6400000</v>
      </c>
      <c r="D3">
        <f t="shared" si="1"/>
        <v>0.90421090894863543</v>
      </c>
      <c r="E3">
        <f t="shared" ref="E3:E21" si="3">D3*180/PI()</f>
        <v>51.807468872444773</v>
      </c>
      <c r="F3">
        <f>F2+100*10^3</f>
        <v>500000</v>
      </c>
      <c r="H3">
        <f t="shared" ref="H3:H21" si="4">20*LOG10((4*PI()*F3*B$7)/B$8)</f>
        <v>139.16095430901362</v>
      </c>
      <c r="J3">
        <v>3</v>
      </c>
      <c r="K3">
        <f t="shared" ref="K3:K21" si="5">2+0.5+1</f>
        <v>3.5</v>
      </c>
      <c r="L3">
        <f t="shared" ref="L3:L20" si="6">0.5+0.1</f>
        <v>0.6</v>
      </c>
      <c r="N3">
        <f t="shared" ref="N3:N21" si="7">H3+J3+K3+L3</f>
        <v>146.26095430901361</v>
      </c>
      <c r="P3">
        <f t="shared" ref="P3:P21" si="8">N3+2.5</f>
        <v>148.76095430901361</v>
      </c>
      <c r="R3">
        <v>14</v>
      </c>
      <c r="S3">
        <v>24</v>
      </c>
      <c r="W3">
        <f t="shared" si="2"/>
        <v>-108.26095430901361</v>
      </c>
      <c r="AD3" s="8"/>
      <c r="AE3">
        <f>W3+AE$1</f>
        <v>-88.260954309013613</v>
      </c>
      <c r="AF3">
        <f t="shared" ref="AF3:AF21" si="9">AF$1+W3</f>
        <v>-81.260954309013613</v>
      </c>
      <c r="AG3">
        <f t="shared" ref="AG3:AG21" si="10">AG$1+W3</f>
        <v>-78.260954309013613</v>
      </c>
      <c r="AH3">
        <f t="shared" ref="AH3:AH21" si="11">AH$1+W3</f>
        <v>-76.460954309013616</v>
      </c>
      <c r="AI3">
        <f t="shared" ref="AI3:AI21" si="12">AI$1+W3</f>
        <v>-75.260954309013613</v>
      </c>
      <c r="AJ3">
        <f t="shared" ref="AJ3:AJ21" si="13">AJ$1+W3</f>
        <v>-74.260954309013613</v>
      </c>
      <c r="AK3">
        <f t="shared" ref="AK3:AK21" si="14">AK$1+W3</f>
        <v>-73.260954309013613</v>
      </c>
      <c r="AO3">
        <v>-106</v>
      </c>
      <c r="AQ3">
        <f t="shared" ref="AQ3:AQ21" si="15">AO3+4</f>
        <v>-102</v>
      </c>
      <c r="AU3">
        <f t="shared" ref="AU3:AU21" si="16">AG$1+W3+106</f>
        <v>27.739045690986387</v>
      </c>
    </row>
    <row r="4" spans="1:47" x14ac:dyDescent="0.2">
      <c r="A4" t="s">
        <v>2</v>
      </c>
      <c r="B4">
        <f>SQRT( (B3+B2)^2 - B3^2)</f>
        <v>2297825.0586152114</v>
      </c>
      <c r="D4">
        <f t="shared" si="1"/>
        <v>0.6953119464567683</v>
      </c>
      <c r="E4">
        <f t="shared" si="3"/>
        <v>39.838439976999098</v>
      </c>
      <c r="F4">
        <f t="shared" ref="F4:F21" si="17">F3+100*10^3</f>
        <v>600000</v>
      </c>
      <c r="H4">
        <f t="shared" si="4"/>
        <v>140.74457922996612</v>
      </c>
      <c r="J4">
        <v>3</v>
      </c>
      <c r="K4">
        <f t="shared" si="5"/>
        <v>3.5</v>
      </c>
      <c r="L4">
        <f t="shared" si="6"/>
        <v>0.6</v>
      </c>
      <c r="N4">
        <f t="shared" si="7"/>
        <v>147.84457922996612</v>
      </c>
      <c r="P4">
        <f t="shared" si="8"/>
        <v>150.34457922996612</v>
      </c>
      <c r="R4">
        <v>14</v>
      </c>
      <c r="S4">
        <v>24</v>
      </c>
      <c r="W4">
        <f t="shared" si="2"/>
        <v>-109.84457922996612</v>
      </c>
      <c r="AD4" s="8"/>
      <c r="AE4">
        <f t="shared" ref="AE4:AE21" si="18">W4+AE$1</f>
        <v>-89.844579229966115</v>
      </c>
      <c r="AF4">
        <f t="shared" si="9"/>
        <v>-82.844579229966115</v>
      </c>
      <c r="AG4">
        <f t="shared" si="10"/>
        <v>-79.844579229966115</v>
      </c>
      <c r="AH4">
        <f t="shared" si="11"/>
        <v>-78.044579229966118</v>
      </c>
      <c r="AI4">
        <f t="shared" si="12"/>
        <v>-76.844579229966115</v>
      </c>
      <c r="AJ4">
        <f t="shared" si="13"/>
        <v>-75.844579229966115</v>
      </c>
      <c r="AK4">
        <f t="shared" si="14"/>
        <v>-74.844579229966115</v>
      </c>
      <c r="AO4">
        <v>-106</v>
      </c>
      <c r="AQ4">
        <f t="shared" si="15"/>
        <v>-102</v>
      </c>
      <c r="AU4">
        <f t="shared" si="16"/>
        <v>26.155420770033885</v>
      </c>
    </row>
    <row r="5" spans="1:47" x14ac:dyDescent="0.2">
      <c r="D5">
        <f t="shared" si="1"/>
        <v>0.56403224938962904</v>
      </c>
      <c r="E5">
        <f t="shared" si="3"/>
        <v>32.316667399296051</v>
      </c>
      <c r="F5">
        <f t="shared" si="17"/>
        <v>700000</v>
      </c>
      <c r="H5">
        <f t="shared" si="4"/>
        <v>142.08351502257838</v>
      </c>
      <c r="J5">
        <v>3</v>
      </c>
      <c r="K5">
        <f t="shared" si="5"/>
        <v>3.5</v>
      </c>
      <c r="L5">
        <f t="shared" si="6"/>
        <v>0.6</v>
      </c>
      <c r="N5">
        <f t="shared" si="7"/>
        <v>149.18351502257838</v>
      </c>
      <c r="P5">
        <f t="shared" si="8"/>
        <v>151.68351502257838</v>
      </c>
      <c r="R5">
        <v>14</v>
      </c>
      <c r="S5">
        <v>24</v>
      </c>
      <c r="W5">
        <f t="shared" si="2"/>
        <v>-111.18351502257838</v>
      </c>
      <c r="AD5" s="8"/>
      <c r="AE5">
        <f t="shared" si="18"/>
        <v>-91.183515022578376</v>
      </c>
      <c r="AF5">
        <f t="shared" si="9"/>
        <v>-84.183515022578376</v>
      </c>
      <c r="AG5">
        <f t="shared" si="10"/>
        <v>-81.183515022578376</v>
      </c>
      <c r="AH5">
        <f t="shared" si="11"/>
        <v>-79.383515022578379</v>
      </c>
      <c r="AI5">
        <f t="shared" si="12"/>
        <v>-78.183515022578376</v>
      </c>
      <c r="AJ5">
        <f t="shared" si="13"/>
        <v>-77.183515022578376</v>
      </c>
      <c r="AK5">
        <f t="shared" si="14"/>
        <v>-76.183515022578376</v>
      </c>
      <c r="AO5">
        <v>-106</v>
      </c>
      <c r="AQ5">
        <f t="shared" si="15"/>
        <v>-102</v>
      </c>
      <c r="AU5">
        <f t="shared" si="16"/>
        <v>24.816484977421624</v>
      </c>
    </row>
    <row r="6" spans="1:47" x14ac:dyDescent="0.2">
      <c r="D6">
        <f t="shared" si="1"/>
        <v>0.47026776508597035</v>
      </c>
      <c r="E6">
        <f t="shared" si="3"/>
        <v>26.944358180475753</v>
      </c>
      <c r="F6">
        <f t="shared" si="17"/>
        <v>800000</v>
      </c>
      <c r="H6">
        <f t="shared" si="4"/>
        <v>143.24335396213212</v>
      </c>
      <c r="J6">
        <v>3</v>
      </c>
      <c r="K6">
        <f t="shared" si="5"/>
        <v>3.5</v>
      </c>
      <c r="L6">
        <f t="shared" si="6"/>
        <v>0.6</v>
      </c>
      <c r="N6">
        <f t="shared" si="7"/>
        <v>150.34335396213211</v>
      </c>
      <c r="P6">
        <f t="shared" si="8"/>
        <v>152.84335396213211</v>
      </c>
      <c r="R6">
        <v>14</v>
      </c>
      <c r="S6">
        <v>24</v>
      </c>
      <c r="W6">
        <f t="shared" si="2"/>
        <v>-112.34335396213211</v>
      </c>
      <c r="AD6" s="8"/>
      <c r="AE6">
        <f t="shared" si="18"/>
        <v>-92.343353962132113</v>
      </c>
      <c r="AF6">
        <f t="shared" si="9"/>
        <v>-85.343353962132113</v>
      </c>
      <c r="AG6">
        <f t="shared" si="10"/>
        <v>-82.343353962132113</v>
      </c>
      <c r="AH6">
        <f t="shared" si="11"/>
        <v>-80.543353962132116</v>
      </c>
      <c r="AI6">
        <f t="shared" si="12"/>
        <v>-79.343353962132113</v>
      </c>
      <c r="AJ6">
        <f t="shared" si="13"/>
        <v>-78.343353962132113</v>
      </c>
      <c r="AK6">
        <f t="shared" si="14"/>
        <v>-77.343353962132113</v>
      </c>
      <c r="AO6">
        <v>-106</v>
      </c>
      <c r="AQ6">
        <f t="shared" si="15"/>
        <v>-102</v>
      </c>
      <c r="AU6">
        <f t="shared" si="16"/>
        <v>23.656646037867887</v>
      </c>
    </row>
    <row r="7" spans="1:47" x14ac:dyDescent="0.2">
      <c r="A7" t="s">
        <v>6</v>
      </c>
      <c r="B7">
        <f>433.5*10^6</f>
        <v>433500000</v>
      </c>
      <c r="D7">
        <f t="shared" si="1"/>
        <v>0.39848320408889437</v>
      </c>
      <c r="E7">
        <f t="shared" si="3"/>
        <v>22.831405801143877</v>
      </c>
      <c r="F7">
        <f t="shared" si="17"/>
        <v>900000</v>
      </c>
      <c r="H7">
        <f t="shared" si="4"/>
        <v>144.26640441107975</v>
      </c>
      <c r="J7">
        <v>3</v>
      </c>
      <c r="K7">
        <f t="shared" si="5"/>
        <v>3.5</v>
      </c>
      <c r="L7">
        <f t="shared" si="6"/>
        <v>0.6</v>
      </c>
      <c r="N7">
        <f t="shared" si="7"/>
        <v>151.36640441107974</v>
      </c>
      <c r="P7">
        <f t="shared" si="8"/>
        <v>153.86640441107974</v>
      </c>
      <c r="R7">
        <v>14</v>
      </c>
      <c r="S7">
        <v>24</v>
      </c>
      <c r="W7">
        <f t="shared" si="2"/>
        <v>-113.36640441107974</v>
      </c>
      <c r="AD7" s="8"/>
      <c r="AE7">
        <f t="shared" si="18"/>
        <v>-93.366404411079742</v>
      </c>
      <c r="AF7">
        <f t="shared" si="9"/>
        <v>-86.366404411079742</v>
      </c>
      <c r="AG7">
        <f t="shared" si="10"/>
        <v>-83.366404411079742</v>
      </c>
      <c r="AH7">
        <f t="shared" si="11"/>
        <v>-81.566404411079745</v>
      </c>
      <c r="AI7">
        <f t="shared" si="12"/>
        <v>-80.366404411079742</v>
      </c>
      <c r="AJ7">
        <f t="shared" si="13"/>
        <v>-79.366404411079742</v>
      </c>
      <c r="AK7">
        <f t="shared" si="14"/>
        <v>-78.366404411079742</v>
      </c>
      <c r="AO7">
        <v>-106</v>
      </c>
      <c r="AQ7">
        <f t="shared" si="15"/>
        <v>-102</v>
      </c>
      <c r="AU7">
        <f t="shared" si="16"/>
        <v>22.633595588920258</v>
      </c>
    </row>
    <row r="8" spans="1:47" x14ac:dyDescent="0.2">
      <c r="A8" t="s">
        <v>7</v>
      </c>
      <c r="B8">
        <f>3*10^8</f>
        <v>300000000</v>
      </c>
      <c r="D8">
        <f t="shared" si="1"/>
        <v>0.34094197990090613</v>
      </c>
      <c r="E8">
        <f t="shared" si="3"/>
        <v>19.534536507156062</v>
      </c>
      <c r="F8">
        <f t="shared" si="17"/>
        <v>1000000</v>
      </c>
      <c r="H8">
        <f t="shared" si="4"/>
        <v>145.18155422229324</v>
      </c>
      <c r="J8">
        <v>3</v>
      </c>
      <c r="K8">
        <f t="shared" si="5"/>
        <v>3.5</v>
      </c>
      <c r="L8">
        <f t="shared" si="6"/>
        <v>0.6</v>
      </c>
      <c r="N8">
        <f t="shared" si="7"/>
        <v>152.28155422229324</v>
      </c>
      <c r="P8">
        <f t="shared" si="8"/>
        <v>154.78155422229324</v>
      </c>
      <c r="R8">
        <v>14</v>
      </c>
      <c r="S8">
        <v>24</v>
      </c>
      <c r="W8">
        <f t="shared" si="2"/>
        <v>-114.28155422229324</v>
      </c>
      <c r="AD8" s="8"/>
      <c r="AE8">
        <f t="shared" si="18"/>
        <v>-94.281554222293238</v>
      </c>
      <c r="AF8">
        <f t="shared" si="9"/>
        <v>-87.281554222293238</v>
      </c>
      <c r="AG8">
        <f t="shared" si="10"/>
        <v>-84.281554222293238</v>
      </c>
      <c r="AH8">
        <f t="shared" si="11"/>
        <v>-82.481554222293241</v>
      </c>
      <c r="AI8">
        <f t="shared" si="12"/>
        <v>-81.281554222293238</v>
      </c>
      <c r="AJ8">
        <f t="shared" si="13"/>
        <v>-80.281554222293238</v>
      </c>
      <c r="AK8">
        <f t="shared" si="14"/>
        <v>-79.281554222293238</v>
      </c>
      <c r="AN8" t="s">
        <v>27</v>
      </c>
      <c r="AO8">
        <v>-106</v>
      </c>
      <c r="AP8" t="s">
        <v>37</v>
      </c>
      <c r="AQ8">
        <f t="shared" si="15"/>
        <v>-102</v>
      </c>
      <c r="AU8">
        <f t="shared" si="16"/>
        <v>21.718445777706762</v>
      </c>
    </row>
    <row r="9" spans="1:47" x14ac:dyDescent="0.2">
      <c r="D9">
        <f t="shared" si="1"/>
        <v>0.29324738639068215</v>
      </c>
      <c r="E9">
        <f t="shared" si="3"/>
        <v>16.801837593428182</v>
      </c>
      <c r="F9">
        <f t="shared" si="17"/>
        <v>1100000</v>
      </c>
      <c r="H9">
        <f t="shared" si="4"/>
        <v>146.00940792545777</v>
      </c>
      <c r="J9">
        <v>3</v>
      </c>
      <c r="K9">
        <f t="shared" si="5"/>
        <v>3.5</v>
      </c>
      <c r="L9">
        <f t="shared" si="6"/>
        <v>0.6</v>
      </c>
      <c r="N9">
        <f t="shared" si="7"/>
        <v>153.10940792545776</v>
      </c>
      <c r="P9">
        <f t="shared" si="8"/>
        <v>155.60940792545776</v>
      </c>
      <c r="R9">
        <v>14</v>
      </c>
      <c r="S9">
        <v>24</v>
      </c>
      <c r="W9">
        <f t="shared" si="2"/>
        <v>-115.10940792545776</v>
      </c>
      <c r="AD9" s="8"/>
      <c r="AE9">
        <f t="shared" si="18"/>
        <v>-95.109407925457759</v>
      </c>
      <c r="AF9">
        <f t="shared" si="9"/>
        <v>-88.109407925457759</v>
      </c>
      <c r="AG9">
        <f t="shared" si="10"/>
        <v>-85.109407925457759</v>
      </c>
      <c r="AH9">
        <f t="shared" si="11"/>
        <v>-83.309407925457762</v>
      </c>
      <c r="AI9">
        <f t="shared" si="12"/>
        <v>-82.109407925457759</v>
      </c>
      <c r="AJ9">
        <f t="shared" si="13"/>
        <v>-81.109407925457759</v>
      </c>
      <c r="AK9">
        <f t="shared" si="14"/>
        <v>-80.109407925457759</v>
      </c>
      <c r="AN9">
        <f>AVERAGE(AE2:AH12)</f>
        <v>-85.558385316264292</v>
      </c>
      <c r="AO9">
        <v>-106</v>
      </c>
      <c r="AP9">
        <f>AVERAGE(AE2:AH12)</f>
        <v>-85.558385316264292</v>
      </c>
      <c r="AQ9">
        <f t="shared" si="15"/>
        <v>-102</v>
      </c>
      <c r="AU9">
        <f t="shared" si="16"/>
        <v>20.890592074542241</v>
      </c>
    </row>
    <row r="10" spans="1:47" x14ac:dyDescent="0.2">
      <c r="D10">
        <f t="shared" si="1"/>
        <v>0.25268025514207859</v>
      </c>
      <c r="E10">
        <f t="shared" si="3"/>
        <v>14.477512185929921</v>
      </c>
      <c r="F10">
        <f t="shared" si="17"/>
        <v>1200000</v>
      </c>
      <c r="H10">
        <f t="shared" si="4"/>
        <v>146.76517914324575</v>
      </c>
      <c r="J10">
        <v>3</v>
      </c>
      <c r="K10">
        <f t="shared" si="5"/>
        <v>3.5</v>
      </c>
      <c r="L10">
        <f t="shared" si="6"/>
        <v>0.6</v>
      </c>
      <c r="N10">
        <f t="shared" si="7"/>
        <v>153.86517914324574</v>
      </c>
      <c r="P10">
        <f t="shared" si="8"/>
        <v>156.36517914324574</v>
      </c>
      <c r="R10">
        <v>14</v>
      </c>
      <c r="S10">
        <v>24</v>
      </c>
      <c r="W10">
        <f t="shared" si="2"/>
        <v>-115.86517914324574</v>
      </c>
      <c r="AD10" s="8"/>
      <c r="AE10">
        <f t="shared" si="18"/>
        <v>-95.86517914324574</v>
      </c>
      <c r="AF10">
        <f t="shared" si="9"/>
        <v>-88.86517914324574</v>
      </c>
      <c r="AG10">
        <f t="shared" si="10"/>
        <v>-85.86517914324574</v>
      </c>
      <c r="AH10">
        <f t="shared" si="11"/>
        <v>-84.065179143245743</v>
      </c>
      <c r="AI10">
        <f t="shared" si="12"/>
        <v>-82.86517914324574</v>
      </c>
      <c r="AJ10">
        <f t="shared" si="13"/>
        <v>-81.86517914324574</v>
      </c>
      <c r="AK10">
        <f t="shared" si="14"/>
        <v>-80.86517914324574</v>
      </c>
      <c r="AO10">
        <v>-106</v>
      </c>
      <c r="AQ10">
        <f t="shared" si="15"/>
        <v>-102</v>
      </c>
      <c r="AU10">
        <f t="shared" si="16"/>
        <v>20.13482085675426</v>
      </c>
    </row>
    <row r="11" spans="1:47" x14ac:dyDescent="0.2">
      <c r="D11">
        <f t="shared" si="1"/>
        <v>0.21745493066025845</v>
      </c>
      <c r="E11">
        <f t="shared" si="3"/>
        <v>12.459249761142773</v>
      </c>
      <c r="F11">
        <f t="shared" si="17"/>
        <v>1300000</v>
      </c>
      <c r="H11">
        <f t="shared" si="4"/>
        <v>147.46042126843</v>
      </c>
      <c r="J11">
        <v>3</v>
      </c>
      <c r="K11">
        <f t="shared" si="5"/>
        <v>3.5</v>
      </c>
      <c r="L11">
        <f t="shared" si="6"/>
        <v>0.6</v>
      </c>
      <c r="N11">
        <f t="shared" si="7"/>
        <v>154.56042126842999</v>
      </c>
      <c r="P11">
        <f t="shared" si="8"/>
        <v>157.06042126842999</v>
      </c>
      <c r="R11">
        <v>14</v>
      </c>
      <c r="S11">
        <v>24</v>
      </c>
      <c r="W11">
        <f t="shared" si="2"/>
        <v>-116.56042126842999</v>
      </c>
      <c r="AD11" s="8"/>
      <c r="AE11">
        <f t="shared" si="18"/>
        <v>-96.560421268429991</v>
      </c>
      <c r="AF11">
        <f t="shared" si="9"/>
        <v>-89.560421268429991</v>
      </c>
      <c r="AG11">
        <f t="shared" si="10"/>
        <v>-86.560421268429991</v>
      </c>
      <c r="AH11">
        <f t="shared" si="11"/>
        <v>-84.760421268429994</v>
      </c>
      <c r="AI11">
        <f t="shared" si="12"/>
        <v>-83.560421268429991</v>
      </c>
      <c r="AJ11">
        <f t="shared" si="13"/>
        <v>-82.560421268429991</v>
      </c>
      <c r="AK11">
        <f t="shared" si="14"/>
        <v>-81.560421268429991</v>
      </c>
      <c r="AO11">
        <v>-106</v>
      </c>
      <c r="AQ11">
        <f t="shared" si="15"/>
        <v>-102</v>
      </c>
      <c r="AU11">
        <f t="shared" si="16"/>
        <v>19.439578731570009</v>
      </c>
    </row>
    <row r="12" spans="1:47" x14ac:dyDescent="0.2">
      <c r="D12">
        <f t="shared" si="1"/>
        <v>0.18634443129277956</v>
      </c>
      <c r="E12">
        <f t="shared" si="3"/>
        <v>10.676749448841816</v>
      </c>
      <c r="F12">
        <f t="shared" si="17"/>
        <v>1400000</v>
      </c>
      <c r="H12">
        <f t="shared" si="4"/>
        <v>148.10411493585801</v>
      </c>
      <c r="J12">
        <v>3</v>
      </c>
      <c r="K12">
        <f t="shared" si="5"/>
        <v>3.5</v>
      </c>
      <c r="L12">
        <f t="shared" si="6"/>
        <v>0.6</v>
      </c>
      <c r="N12">
        <f t="shared" si="7"/>
        <v>155.204114935858</v>
      </c>
      <c r="P12">
        <f t="shared" si="8"/>
        <v>157.704114935858</v>
      </c>
      <c r="R12">
        <v>14</v>
      </c>
      <c r="S12">
        <v>24</v>
      </c>
      <c r="W12">
        <f t="shared" si="2"/>
        <v>-117.204114935858</v>
      </c>
      <c r="AD12" s="8"/>
      <c r="AE12">
        <f t="shared" si="18"/>
        <v>-97.204114935858001</v>
      </c>
      <c r="AF12">
        <f t="shared" si="9"/>
        <v>-90.204114935858001</v>
      </c>
      <c r="AG12">
        <f t="shared" si="10"/>
        <v>-87.204114935858001</v>
      </c>
      <c r="AH12">
        <f t="shared" si="11"/>
        <v>-85.404114935858004</v>
      </c>
      <c r="AI12">
        <f t="shared" si="12"/>
        <v>-84.204114935858001</v>
      </c>
      <c r="AJ12">
        <f t="shared" si="13"/>
        <v>-83.204114935858001</v>
      </c>
      <c r="AK12">
        <f t="shared" si="14"/>
        <v>-82.204114935858001</v>
      </c>
      <c r="AO12">
        <v>-106</v>
      </c>
      <c r="AQ12">
        <f t="shared" si="15"/>
        <v>-102</v>
      </c>
      <c r="AU12">
        <f t="shared" si="16"/>
        <v>18.795885064141999</v>
      </c>
    </row>
    <row r="13" spans="1:47" x14ac:dyDescent="0.2">
      <c r="D13">
        <f t="shared" si="1"/>
        <v>0.15847499966228984</v>
      </c>
      <c r="E13">
        <f t="shared" si="3"/>
        <v>9.0799486389863535</v>
      </c>
      <c r="F13">
        <f t="shared" si="17"/>
        <v>1500000</v>
      </c>
      <c r="H13">
        <f t="shared" si="4"/>
        <v>148.70337940340687</v>
      </c>
      <c r="J13">
        <v>3</v>
      </c>
      <c r="K13">
        <f t="shared" si="5"/>
        <v>3.5</v>
      </c>
      <c r="L13">
        <f t="shared" si="6"/>
        <v>0.6</v>
      </c>
      <c r="N13">
        <f t="shared" si="7"/>
        <v>155.80337940340686</v>
      </c>
      <c r="P13">
        <f t="shared" si="8"/>
        <v>158.30337940340686</v>
      </c>
      <c r="R13">
        <v>14</v>
      </c>
      <c r="S13">
        <v>24</v>
      </c>
      <c r="W13">
        <f t="shared" si="2"/>
        <v>-117.80337940340686</v>
      </c>
      <c r="AD13" s="8"/>
      <c r="AE13">
        <f t="shared" si="18"/>
        <v>-97.803379403406865</v>
      </c>
      <c r="AF13">
        <f t="shared" si="9"/>
        <v>-90.803379403406865</v>
      </c>
      <c r="AG13">
        <f t="shared" si="10"/>
        <v>-87.803379403406865</v>
      </c>
      <c r="AH13">
        <f t="shared" si="11"/>
        <v>-86.003379403406868</v>
      </c>
      <c r="AI13">
        <f t="shared" si="12"/>
        <v>-84.803379403406865</v>
      </c>
      <c r="AJ13">
        <f t="shared" si="13"/>
        <v>-83.803379403406865</v>
      </c>
      <c r="AK13">
        <f t="shared" si="14"/>
        <v>-82.803379403406865</v>
      </c>
      <c r="AO13">
        <v>-106</v>
      </c>
      <c r="AQ13">
        <f t="shared" si="15"/>
        <v>-102</v>
      </c>
      <c r="AU13">
        <f t="shared" si="16"/>
        <v>18.196620596593135</v>
      </c>
    </row>
    <row r="14" spans="1:47" x14ac:dyDescent="0.2">
      <c r="D14">
        <f t="shared" si="1"/>
        <v>0.13320608234181996</v>
      </c>
      <c r="E14">
        <f t="shared" si="3"/>
        <v>7.6321463236584055</v>
      </c>
      <c r="F14">
        <f t="shared" si="17"/>
        <v>1600000</v>
      </c>
      <c r="H14">
        <f t="shared" si="4"/>
        <v>149.26395387541174</v>
      </c>
      <c r="J14">
        <v>3</v>
      </c>
      <c r="K14">
        <f t="shared" si="5"/>
        <v>3.5</v>
      </c>
      <c r="L14">
        <f t="shared" si="6"/>
        <v>0.6</v>
      </c>
      <c r="N14">
        <f t="shared" si="7"/>
        <v>156.36395387541174</v>
      </c>
      <c r="P14">
        <f t="shared" si="8"/>
        <v>158.86395387541174</v>
      </c>
      <c r="R14">
        <v>14</v>
      </c>
      <c r="S14">
        <v>24</v>
      </c>
      <c r="W14">
        <f t="shared" si="2"/>
        <v>-118.36395387541174</v>
      </c>
      <c r="AD14" s="8"/>
      <c r="AE14">
        <f t="shared" si="18"/>
        <v>-98.363953875411738</v>
      </c>
      <c r="AF14">
        <f t="shared" si="9"/>
        <v>-91.363953875411738</v>
      </c>
      <c r="AG14">
        <f t="shared" si="10"/>
        <v>-88.363953875411738</v>
      </c>
      <c r="AH14">
        <f t="shared" si="11"/>
        <v>-86.563953875411741</v>
      </c>
      <c r="AI14">
        <f t="shared" si="12"/>
        <v>-85.363953875411738</v>
      </c>
      <c r="AJ14">
        <f t="shared" si="13"/>
        <v>-84.363953875411738</v>
      </c>
      <c r="AK14">
        <f t="shared" si="14"/>
        <v>-83.363953875411738</v>
      </c>
      <c r="AO14">
        <v>-106</v>
      </c>
      <c r="AQ14">
        <f t="shared" si="15"/>
        <v>-102</v>
      </c>
      <c r="AU14">
        <f t="shared" si="16"/>
        <v>17.636046124588262</v>
      </c>
    </row>
    <row r="15" spans="1:47" x14ac:dyDescent="0.2">
      <c r="D15">
        <f t="shared" si="1"/>
        <v>0.11005660024858499</v>
      </c>
      <c r="E15">
        <f t="shared" si="3"/>
        <v>6.3057787018023674</v>
      </c>
      <c r="F15">
        <f t="shared" si="17"/>
        <v>1700000</v>
      </c>
      <c r="H15">
        <f t="shared" si="4"/>
        <v>149.79053264985873</v>
      </c>
      <c r="J15">
        <v>3</v>
      </c>
      <c r="K15">
        <f t="shared" si="5"/>
        <v>3.5</v>
      </c>
      <c r="L15">
        <f t="shared" si="6"/>
        <v>0.6</v>
      </c>
      <c r="N15">
        <f t="shared" si="7"/>
        <v>156.89053264985873</v>
      </c>
      <c r="P15">
        <f t="shared" si="8"/>
        <v>159.39053264985873</v>
      </c>
      <c r="R15">
        <v>14</v>
      </c>
      <c r="S15">
        <v>24</v>
      </c>
      <c r="W15">
        <f t="shared" si="2"/>
        <v>-118.89053264985873</v>
      </c>
      <c r="AD15" s="8"/>
      <c r="AE15">
        <f t="shared" si="18"/>
        <v>-98.890532649858727</v>
      </c>
      <c r="AF15">
        <f t="shared" si="9"/>
        <v>-91.890532649858727</v>
      </c>
      <c r="AG15">
        <f t="shared" si="10"/>
        <v>-88.890532649858727</v>
      </c>
      <c r="AH15">
        <f t="shared" si="11"/>
        <v>-87.09053264985873</v>
      </c>
      <c r="AI15">
        <f t="shared" si="12"/>
        <v>-85.890532649858727</v>
      </c>
      <c r="AJ15">
        <f t="shared" si="13"/>
        <v>-84.890532649858727</v>
      </c>
      <c r="AK15">
        <f t="shared" si="14"/>
        <v>-83.890532649858727</v>
      </c>
      <c r="AO15">
        <v>-106</v>
      </c>
      <c r="AQ15">
        <f t="shared" si="15"/>
        <v>-102</v>
      </c>
      <c r="AU15">
        <f t="shared" si="16"/>
        <v>17.109467350141273</v>
      </c>
    </row>
    <row r="16" spans="1:47" x14ac:dyDescent="0.2">
      <c r="D16">
        <f t="shared" si="1"/>
        <v>8.8657765648753051E-2</v>
      </c>
      <c r="E16">
        <f t="shared" si="3"/>
        <v>5.0797157927334782</v>
      </c>
      <c r="F16">
        <f t="shared" si="17"/>
        <v>1800000</v>
      </c>
      <c r="H16">
        <f t="shared" si="4"/>
        <v>150.28700432435937</v>
      </c>
      <c r="J16">
        <v>3</v>
      </c>
      <c r="K16">
        <f t="shared" si="5"/>
        <v>3.5</v>
      </c>
      <c r="L16">
        <f t="shared" si="6"/>
        <v>0.6</v>
      </c>
      <c r="N16">
        <f t="shared" si="7"/>
        <v>157.38700432435937</v>
      </c>
      <c r="P16">
        <f t="shared" si="8"/>
        <v>159.88700432435937</v>
      </c>
      <c r="R16">
        <v>14</v>
      </c>
      <c r="S16">
        <v>24</v>
      </c>
      <c r="W16">
        <f t="shared" si="2"/>
        <v>-119.38700432435937</v>
      </c>
      <c r="AD16" s="8"/>
      <c r="AE16">
        <f t="shared" si="18"/>
        <v>-99.387004324359367</v>
      </c>
      <c r="AF16">
        <f t="shared" si="9"/>
        <v>-92.387004324359367</v>
      </c>
      <c r="AG16">
        <f t="shared" si="10"/>
        <v>-89.387004324359367</v>
      </c>
      <c r="AH16">
        <f t="shared" si="11"/>
        <v>-87.58700432435937</v>
      </c>
      <c r="AI16">
        <f t="shared" si="12"/>
        <v>-86.387004324359367</v>
      </c>
      <c r="AJ16">
        <f t="shared" si="13"/>
        <v>-85.387004324359367</v>
      </c>
      <c r="AK16">
        <f t="shared" si="14"/>
        <v>-84.387004324359367</v>
      </c>
      <c r="AO16">
        <v>-106</v>
      </c>
      <c r="AQ16">
        <f t="shared" si="15"/>
        <v>-102</v>
      </c>
      <c r="AU16">
        <f t="shared" si="16"/>
        <v>16.612995675640633</v>
      </c>
    </row>
    <row r="17" spans="4:50" x14ac:dyDescent="0.2">
      <c r="D17">
        <f t="shared" si="1"/>
        <v>6.8721842397899691E-2</v>
      </c>
      <c r="E17">
        <f t="shared" si="3"/>
        <v>3.9374715297628535</v>
      </c>
      <c r="F17">
        <f t="shared" si="17"/>
        <v>1900000</v>
      </c>
      <c r="H17">
        <f t="shared" si="4"/>
        <v>150.75662624134984</v>
      </c>
      <c r="J17">
        <v>3</v>
      </c>
      <c r="K17">
        <f t="shared" si="5"/>
        <v>3.5</v>
      </c>
      <c r="L17">
        <f t="shared" si="6"/>
        <v>0.6</v>
      </c>
      <c r="N17">
        <f t="shared" si="7"/>
        <v>157.85662624134983</v>
      </c>
      <c r="P17">
        <f t="shared" si="8"/>
        <v>160.35662624134983</v>
      </c>
      <c r="R17">
        <v>14</v>
      </c>
      <c r="S17">
        <v>24</v>
      </c>
      <c r="W17">
        <f t="shared" si="2"/>
        <v>-119.85662624134983</v>
      </c>
      <c r="AD17" s="8"/>
      <c r="AE17">
        <f t="shared" si="18"/>
        <v>-99.856626241349829</v>
      </c>
      <c r="AF17">
        <f t="shared" si="9"/>
        <v>-92.856626241349829</v>
      </c>
      <c r="AG17">
        <f t="shared" si="10"/>
        <v>-89.856626241349829</v>
      </c>
      <c r="AH17">
        <f t="shared" si="11"/>
        <v>-88.056626241349832</v>
      </c>
      <c r="AI17">
        <f t="shared" si="12"/>
        <v>-86.856626241349829</v>
      </c>
      <c r="AJ17">
        <f t="shared" si="13"/>
        <v>-85.856626241349829</v>
      </c>
      <c r="AK17">
        <f t="shared" si="14"/>
        <v>-84.856626241349829</v>
      </c>
      <c r="AO17">
        <v>-106</v>
      </c>
      <c r="AQ17">
        <f t="shared" si="15"/>
        <v>-102</v>
      </c>
      <c r="AU17">
        <f t="shared" si="16"/>
        <v>16.143373758650171</v>
      </c>
    </row>
    <row r="18" spans="4:50" x14ac:dyDescent="0.2">
      <c r="D18">
        <f t="shared" si="1"/>
        <v>5.0020856805770064E-2</v>
      </c>
      <c r="E18">
        <f t="shared" si="3"/>
        <v>2.8659839825988653</v>
      </c>
      <c r="F18">
        <f t="shared" si="17"/>
        <v>2000000</v>
      </c>
      <c r="H18">
        <f t="shared" si="4"/>
        <v>151.20215413557287</v>
      </c>
      <c r="J18">
        <v>3</v>
      </c>
      <c r="K18">
        <f t="shared" si="5"/>
        <v>3.5</v>
      </c>
      <c r="L18">
        <f t="shared" si="6"/>
        <v>0.6</v>
      </c>
      <c r="N18">
        <f t="shared" si="7"/>
        <v>158.30215413557286</v>
      </c>
      <c r="P18">
        <f t="shared" si="8"/>
        <v>160.80215413557286</v>
      </c>
      <c r="R18">
        <v>14</v>
      </c>
      <c r="S18">
        <v>24</v>
      </c>
      <c r="W18">
        <f t="shared" si="2"/>
        <v>-120.30215413557286</v>
      </c>
      <c r="AD18" s="8"/>
      <c r="AE18">
        <f t="shared" si="18"/>
        <v>-100.30215413557286</v>
      </c>
      <c r="AF18">
        <f t="shared" si="9"/>
        <v>-93.302154135572863</v>
      </c>
      <c r="AG18">
        <f t="shared" si="10"/>
        <v>-90.302154135572863</v>
      </c>
      <c r="AH18">
        <f t="shared" si="11"/>
        <v>-88.502154135572866</v>
      </c>
      <c r="AI18">
        <f t="shared" si="12"/>
        <v>-87.302154135572863</v>
      </c>
      <c r="AJ18">
        <f t="shared" si="13"/>
        <v>-86.302154135572863</v>
      </c>
      <c r="AK18">
        <f t="shared" si="14"/>
        <v>-85.302154135572863</v>
      </c>
      <c r="AO18">
        <v>-106</v>
      </c>
      <c r="AQ18">
        <f t="shared" si="15"/>
        <v>-102</v>
      </c>
      <c r="AU18">
        <f t="shared" si="16"/>
        <v>15.697845864427137</v>
      </c>
    </row>
    <row r="19" spans="4:50" x14ac:dyDescent="0.2">
      <c r="D19">
        <f t="shared" si="1"/>
        <v>3.2371725008305985E-2</v>
      </c>
      <c r="E19">
        <f t="shared" si="3"/>
        <v>1.8547632185340328</v>
      </c>
      <c r="F19">
        <f t="shared" si="17"/>
        <v>2100000</v>
      </c>
      <c r="H19">
        <f t="shared" si="4"/>
        <v>151.62594011697163</v>
      </c>
      <c r="J19">
        <v>3</v>
      </c>
      <c r="K19">
        <f t="shared" si="5"/>
        <v>3.5</v>
      </c>
      <c r="L19">
        <f t="shared" si="6"/>
        <v>0.6</v>
      </c>
      <c r="N19">
        <f t="shared" si="7"/>
        <v>158.72594011697163</v>
      </c>
      <c r="P19">
        <f t="shared" si="8"/>
        <v>161.22594011697163</v>
      </c>
      <c r="R19">
        <v>14</v>
      </c>
      <c r="S19">
        <v>24</v>
      </c>
      <c r="W19">
        <f t="shared" si="2"/>
        <v>-120.72594011697163</v>
      </c>
      <c r="AD19" s="8"/>
      <c r="AE19">
        <f t="shared" si="18"/>
        <v>-100.72594011697163</v>
      </c>
      <c r="AF19">
        <f t="shared" si="9"/>
        <v>-93.725940116971628</v>
      </c>
      <c r="AG19">
        <f t="shared" si="10"/>
        <v>-90.725940116971628</v>
      </c>
      <c r="AH19">
        <f t="shared" si="11"/>
        <v>-88.925940116971631</v>
      </c>
      <c r="AI19">
        <f t="shared" si="12"/>
        <v>-87.725940116971628</v>
      </c>
      <c r="AJ19">
        <f t="shared" si="13"/>
        <v>-86.725940116971628</v>
      </c>
      <c r="AK19">
        <f t="shared" si="14"/>
        <v>-85.725940116971628</v>
      </c>
      <c r="AO19">
        <v>-106</v>
      </c>
      <c r="AQ19">
        <f t="shared" si="15"/>
        <v>-102</v>
      </c>
      <c r="AU19">
        <f t="shared" si="16"/>
        <v>15.274059883028372</v>
      </c>
    </row>
    <row r="20" spans="4:50" x14ac:dyDescent="0.2">
      <c r="D20">
        <f t="shared" si="1"/>
        <v>1.5625635852736908E-2</v>
      </c>
      <c r="E20">
        <f t="shared" si="3"/>
        <v>0.89528298657012795</v>
      </c>
      <c r="F20">
        <f t="shared" si="17"/>
        <v>2200000</v>
      </c>
      <c r="H20">
        <f t="shared" si="4"/>
        <v>152.03000783873739</v>
      </c>
      <c r="J20">
        <v>3</v>
      </c>
      <c r="K20">
        <f t="shared" si="5"/>
        <v>3.5</v>
      </c>
      <c r="L20">
        <f t="shared" si="6"/>
        <v>0.6</v>
      </c>
      <c r="N20">
        <f t="shared" si="7"/>
        <v>159.13000783873738</v>
      </c>
      <c r="P20">
        <f t="shared" si="8"/>
        <v>161.63000783873738</v>
      </c>
      <c r="R20">
        <v>14</v>
      </c>
      <c r="S20">
        <v>24</v>
      </c>
      <c r="W20">
        <f t="shared" si="2"/>
        <v>-121.13000783873738</v>
      </c>
      <c r="AD20" s="8"/>
      <c r="AE20">
        <f t="shared" si="18"/>
        <v>-101.13000783873738</v>
      </c>
      <c r="AF20">
        <f t="shared" si="9"/>
        <v>-94.130007838737384</v>
      </c>
      <c r="AG20">
        <f t="shared" si="10"/>
        <v>-91.130007838737384</v>
      </c>
      <c r="AH20">
        <f t="shared" si="11"/>
        <v>-89.330007838737387</v>
      </c>
      <c r="AI20">
        <f t="shared" si="12"/>
        <v>-88.130007838737384</v>
      </c>
      <c r="AJ20">
        <f t="shared" si="13"/>
        <v>-87.130007838737384</v>
      </c>
      <c r="AK20">
        <f t="shared" si="14"/>
        <v>-86.130007838737384</v>
      </c>
      <c r="AO20">
        <v>-106</v>
      </c>
      <c r="AQ20">
        <f t="shared" si="15"/>
        <v>-102</v>
      </c>
      <c r="AU20">
        <f t="shared" si="16"/>
        <v>14.869992161262616</v>
      </c>
    </row>
    <row r="21" spans="4:50" x14ac:dyDescent="0.2">
      <c r="D21">
        <f t="shared" si="1"/>
        <v>-3.396739195753451E-4</v>
      </c>
      <c r="E21">
        <f t="shared" si="3"/>
        <v>-1.9461882002333432E-2</v>
      </c>
      <c r="F21">
        <f t="shared" si="17"/>
        <v>2300000</v>
      </c>
      <c r="H21">
        <f t="shared" si="4"/>
        <v>152.4161109426451</v>
      </c>
      <c r="J21">
        <v>3</v>
      </c>
      <c r="K21">
        <f t="shared" si="5"/>
        <v>3.5</v>
      </c>
      <c r="L21">
        <f>0.5+0.1</f>
        <v>0.6</v>
      </c>
      <c r="N21">
        <f t="shared" si="7"/>
        <v>159.5161109426451</v>
      </c>
      <c r="P21">
        <f t="shared" si="8"/>
        <v>162.0161109426451</v>
      </c>
      <c r="R21">
        <v>14</v>
      </c>
      <c r="S21">
        <v>24</v>
      </c>
      <c r="W21">
        <f t="shared" si="2"/>
        <v>-121.5161109426451</v>
      </c>
      <c r="AD21" s="8"/>
      <c r="AE21">
        <f t="shared" si="18"/>
        <v>-101.5161109426451</v>
      </c>
      <c r="AF21">
        <f t="shared" si="9"/>
        <v>-94.516110942645099</v>
      </c>
      <c r="AG21">
        <f t="shared" si="10"/>
        <v>-91.516110942645099</v>
      </c>
      <c r="AH21">
        <f t="shared" si="11"/>
        <v>-89.716110942645102</v>
      </c>
      <c r="AI21">
        <f t="shared" si="12"/>
        <v>-88.516110942645099</v>
      </c>
      <c r="AJ21">
        <f t="shared" si="13"/>
        <v>-87.516110942645099</v>
      </c>
      <c r="AK21">
        <f t="shared" si="14"/>
        <v>-86.516110942645099</v>
      </c>
      <c r="AO21">
        <v>-106</v>
      </c>
      <c r="AQ21">
        <f t="shared" si="15"/>
        <v>-102</v>
      </c>
      <c r="AU21">
        <f t="shared" si="16"/>
        <v>14.483889057354901</v>
      </c>
    </row>
    <row r="25" spans="4:50" x14ac:dyDescent="0.2">
      <c r="AM25" s="11"/>
      <c r="AN25" s="11"/>
      <c r="AO25" s="9" t="s">
        <v>14</v>
      </c>
      <c r="AP25" s="9"/>
      <c r="AQ25" s="9"/>
      <c r="AR25" s="9"/>
      <c r="AS25" s="9"/>
      <c r="AT25" s="11"/>
    </row>
    <row r="26" spans="4:50" x14ac:dyDescent="0.2">
      <c r="AD26" t="s">
        <v>15</v>
      </c>
      <c r="AE26" s="1" t="s">
        <v>23</v>
      </c>
      <c r="AF26">
        <f>0.5*10^5</f>
        <v>50000</v>
      </c>
      <c r="AH26" s="1" t="s">
        <v>28</v>
      </c>
      <c r="AI26">
        <v>600</v>
      </c>
      <c r="AM26" s="11"/>
      <c r="AN26" s="11"/>
      <c r="AO26" s="6">
        <f>AE1-30</f>
        <v>-10</v>
      </c>
      <c r="AP26" s="6">
        <f t="shared" ref="AP26:AS26" si="19">AF1-30</f>
        <v>-3</v>
      </c>
      <c r="AQ26" s="6">
        <f t="shared" si="19"/>
        <v>0</v>
      </c>
      <c r="AR26" s="6">
        <f t="shared" si="19"/>
        <v>1.8000000000000007</v>
      </c>
      <c r="AS26" s="6">
        <f t="shared" si="19"/>
        <v>3</v>
      </c>
      <c r="AT26" s="11"/>
    </row>
    <row r="27" spans="4:50" x14ac:dyDescent="0.2">
      <c r="AD27" t="s">
        <v>16</v>
      </c>
      <c r="AE27" s="1" t="s">
        <v>24</v>
      </c>
      <c r="AF27">
        <f>10*LOG10((1.38*10^(-23))*AI26*AF26)</f>
        <v>-153.829996588791</v>
      </c>
      <c r="AG27" t="s">
        <v>34</v>
      </c>
      <c r="AH27" s="1" t="s">
        <v>29</v>
      </c>
      <c r="AI27">
        <v>9600</v>
      </c>
      <c r="AM27" s="10" t="s">
        <v>43</v>
      </c>
      <c r="AN27" s="5">
        <f>D2*180/PI()</f>
        <v>90</v>
      </c>
      <c r="AO27" s="4">
        <f>AE2-($AI$43)+10*(LOG10($AF$26)-LOG10($AI$27))</f>
        <v>26.844233664112014</v>
      </c>
      <c r="AP27" s="4">
        <f t="shared" ref="AO27:AS42" si="20">AF2-($AI$43)+10*(LOG10($AF$26)-LOG10($AI$27))</f>
        <v>33.844233664112018</v>
      </c>
      <c r="AQ27" s="4">
        <f t="shared" si="20"/>
        <v>36.844233664112018</v>
      </c>
      <c r="AR27" s="4">
        <f t="shared" si="20"/>
        <v>38.644233664112015</v>
      </c>
      <c r="AS27" s="4">
        <f t="shared" si="20"/>
        <v>39.844233664112018</v>
      </c>
      <c r="AT27" s="7" t="s">
        <v>30</v>
      </c>
      <c r="AX27" s="3">
        <f>(1/2)*ERFC(SQRT((10^(AQ27/10)/1)))</f>
        <v>0</v>
      </c>
    </row>
    <row r="28" spans="4:50" x14ac:dyDescent="0.2">
      <c r="AD28" t="s">
        <v>17</v>
      </c>
      <c r="AF28">
        <f>AF27+30</f>
        <v>-123.829996588791</v>
      </c>
      <c r="AM28" s="10"/>
      <c r="AN28" s="5">
        <f t="shared" ref="AN28:AN46" si="21">D3*180/PI()</f>
        <v>51.807468872444773</v>
      </c>
      <c r="AO28" s="4">
        <f t="shared" si="20"/>
        <v>24.906033403950889</v>
      </c>
      <c r="AP28" s="4">
        <f t="shared" si="20"/>
        <v>31.906033403950889</v>
      </c>
      <c r="AQ28" s="4">
        <f t="shared" si="20"/>
        <v>34.906033403950893</v>
      </c>
      <c r="AR28" s="4">
        <f t="shared" si="20"/>
        <v>36.70603340395089</v>
      </c>
      <c r="AS28" s="4">
        <f t="shared" si="20"/>
        <v>37.906033403950893</v>
      </c>
      <c r="AT28" s="8"/>
      <c r="AX28" s="3">
        <f t="shared" ref="AX28:AX46" si="22">(1/2)*ERFC(SQRT((10^(AQ28/10)/1)))</f>
        <v>0</v>
      </c>
    </row>
    <row r="29" spans="4:50" x14ac:dyDescent="0.2">
      <c r="AD29" t="s">
        <v>18</v>
      </c>
      <c r="AG29" t="s">
        <v>25</v>
      </c>
      <c r="AH29">
        <f>10^(AF30/10)</f>
        <v>0.72587232683329783</v>
      </c>
      <c r="AM29" s="10"/>
      <c r="AN29" s="5">
        <f t="shared" si="21"/>
        <v>39.838439976999098</v>
      </c>
      <c r="AO29" s="4">
        <f t="shared" si="20"/>
        <v>23.322408482998387</v>
      </c>
      <c r="AP29" s="4">
        <f t="shared" si="20"/>
        <v>30.322408482998387</v>
      </c>
      <c r="AQ29" s="4">
        <f t="shared" si="20"/>
        <v>33.322408482998391</v>
      </c>
      <c r="AR29" s="4">
        <f t="shared" si="20"/>
        <v>35.122408482998388</v>
      </c>
      <c r="AS29" s="4">
        <f t="shared" si="20"/>
        <v>36.322408482998391</v>
      </c>
      <c r="AT29" s="8"/>
      <c r="AX29" s="3">
        <f t="shared" si="22"/>
        <v>0</v>
      </c>
    </row>
    <row r="30" spans="4:50" x14ac:dyDescent="0.2">
      <c r="AD30" t="s">
        <v>19</v>
      </c>
      <c r="AE30" s="1" t="s">
        <v>26</v>
      </c>
      <c r="AF30">
        <f>AN9-(AI43+29)+10*(LOG10(AF26)-LOG10(AI27))</f>
        <v>-1.3913976032997892</v>
      </c>
      <c r="AH30">
        <f>SQRT(AH29)</f>
        <v>0.85198141225809487</v>
      </c>
      <c r="AM30" s="10"/>
      <c r="AN30" s="5">
        <f t="shared" si="21"/>
        <v>32.316667399296051</v>
      </c>
      <c r="AO30" s="4">
        <f t="shared" si="20"/>
        <v>21.983472690386126</v>
      </c>
      <c r="AP30" s="4">
        <f t="shared" si="20"/>
        <v>28.983472690386126</v>
      </c>
      <c r="AQ30" s="4">
        <f t="shared" si="20"/>
        <v>31.983472690386126</v>
      </c>
      <c r="AR30" s="4">
        <f t="shared" si="20"/>
        <v>33.783472690386127</v>
      </c>
      <c r="AS30" s="4">
        <f t="shared" si="20"/>
        <v>34.983472690386129</v>
      </c>
      <c r="AT30" s="8"/>
      <c r="AX30" s="3">
        <f t="shared" si="22"/>
        <v>0</v>
      </c>
    </row>
    <row r="31" spans="4:50" x14ac:dyDescent="0.2">
      <c r="AD31" t="s">
        <v>20</v>
      </c>
      <c r="AM31" s="10"/>
      <c r="AN31" s="5">
        <f t="shared" si="21"/>
        <v>26.944358180475753</v>
      </c>
      <c r="AO31" s="4">
        <f t="shared" si="20"/>
        <v>20.823633750832389</v>
      </c>
      <c r="AP31" s="4">
        <f t="shared" si="20"/>
        <v>27.823633750832389</v>
      </c>
      <c r="AQ31" s="4">
        <f t="shared" si="20"/>
        <v>30.823633750832389</v>
      </c>
      <c r="AR31" s="4">
        <f t="shared" si="20"/>
        <v>32.62363375083239</v>
      </c>
      <c r="AS31" s="4">
        <f t="shared" si="20"/>
        <v>33.823633750832393</v>
      </c>
      <c r="AT31" s="8"/>
      <c r="AX31" s="3">
        <f t="shared" si="22"/>
        <v>0</v>
      </c>
    </row>
    <row r="32" spans="4:50" x14ac:dyDescent="0.2">
      <c r="AD32" t="s">
        <v>21</v>
      </c>
      <c r="AJ32">
        <f>10^((AN9-AI43)/10)/9600</f>
        <v>1.1531617680174015E-2</v>
      </c>
      <c r="AK32">
        <f>10*LOG10(AJ32)</f>
        <v>-19.381097646659974</v>
      </c>
      <c r="AM32" s="10"/>
      <c r="AN32" s="5">
        <f t="shared" si="21"/>
        <v>22.831405801143877</v>
      </c>
      <c r="AO32" s="4">
        <f t="shared" si="20"/>
        <v>19.80058330188476</v>
      </c>
      <c r="AP32" s="4">
        <f t="shared" si="20"/>
        <v>26.80058330188476</v>
      </c>
      <c r="AQ32" s="4">
        <f t="shared" si="20"/>
        <v>29.80058330188476</v>
      </c>
      <c r="AR32" s="4">
        <f t="shared" si="20"/>
        <v>31.600583301884758</v>
      </c>
      <c r="AS32" s="4">
        <f t="shared" si="20"/>
        <v>32.800583301884764</v>
      </c>
      <c r="AT32" s="8"/>
      <c r="AX32" s="3">
        <f t="shared" si="22"/>
        <v>0</v>
      </c>
    </row>
    <row r="33" spans="30:50" x14ac:dyDescent="0.2">
      <c r="AM33" s="10"/>
      <c r="AN33" s="5">
        <f t="shared" si="21"/>
        <v>19.534536507156062</v>
      </c>
      <c r="AO33" s="4">
        <f t="shared" si="20"/>
        <v>18.885433490671264</v>
      </c>
      <c r="AP33" s="4">
        <f t="shared" si="20"/>
        <v>25.885433490671264</v>
      </c>
      <c r="AQ33" s="4">
        <f t="shared" si="20"/>
        <v>28.885433490671264</v>
      </c>
      <c r="AR33" s="4">
        <f t="shared" si="20"/>
        <v>30.685433490671262</v>
      </c>
      <c r="AS33" s="4">
        <f t="shared" si="20"/>
        <v>31.885433490671264</v>
      </c>
      <c r="AT33" s="8"/>
      <c r="AX33" s="3">
        <f t="shared" si="22"/>
        <v>0</v>
      </c>
    </row>
    <row r="34" spans="30:50" x14ac:dyDescent="0.2">
      <c r="AD34" t="s">
        <v>22</v>
      </c>
      <c r="AF34" s="2">
        <f>1/2*ERFC(AK36)</f>
        <v>4.6099143167549169E-253</v>
      </c>
      <c r="AM34" s="10"/>
      <c r="AN34" s="5">
        <f t="shared" si="21"/>
        <v>16.801837593428182</v>
      </c>
      <c r="AO34" s="4">
        <f t="shared" si="20"/>
        <v>18.057579787506743</v>
      </c>
      <c r="AP34" s="4">
        <f t="shared" si="20"/>
        <v>25.057579787506743</v>
      </c>
      <c r="AQ34" s="4">
        <f t="shared" si="20"/>
        <v>28.057579787506743</v>
      </c>
      <c r="AR34" s="4">
        <f t="shared" si="20"/>
        <v>29.85757978750674</v>
      </c>
      <c r="AS34" s="4">
        <f t="shared" si="20"/>
        <v>31.057579787506743</v>
      </c>
      <c r="AT34" s="8"/>
      <c r="AX34" s="3">
        <f t="shared" si="22"/>
        <v>2.3369772094926878E-280</v>
      </c>
    </row>
    <row r="35" spans="30:50" x14ac:dyDescent="0.2">
      <c r="AM35" s="10"/>
      <c r="AN35" s="5">
        <f t="shared" si="21"/>
        <v>14.477512185929921</v>
      </c>
      <c r="AO35" s="4">
        <f t="shared" si="20"/>
        <v>17.301808569718762</v>
      </c>
      <c r="AP35" s="4">
        <f t="shared" si="20"/>
        <v>24.301808569718762</v>
      </c>
      <c r="AQ35" s="4">
        <f t="shared" si="20"/>
        <v>27.301808569718762</v>
      </c>
      <c r="AR35" s="4">
        <f t="shared" si="20"/>
        <v>29.101808569718759</v>
      </c>
      <c r="AS35" s="4">
        <f t="shared" si="20"/>
        <v>30.301808569718762</v>
      </c>
      <c r="AT35" s="8"/>
      <c r="AX35" s="3">
        <f t="shared" si="22"/>
        <v>5.7254477524735837E-236</v>
      </c>
    </row>
    <row r="36" spans="30:50" x14ac:dyDescent="0.2">
      <c r="AI36" t="s">
        <v>26</v>
      </c>
      <c r="AJ36">
        <f>AP9-(AI43)-10*LOG10(AI27/AF26)</f>
        <v>27.608602396700213</v>
      </c>
      <c r="AK36">
        <f>SQRT((10^(AJ36/10)/1))</f>
        <v>24.012098700627995</v>
      </c>
      <c r="AL36" t="s">
        <v>40</v>
      </c>
      <c r="AM36" s="10"/>
      <c r="AN36" s="5">
        <f t="shared" si="21"/>
        <v>12.459249761142773</v>
      </c>
      <c r="AO36" s="4">
        <f t="shared" si="20"/>
        <v>16.606566444534511</v>
      </c>
      <c r="AP36" s="4">
        <f t="shared" si="20"/>
        <v>23.606566444534511</v>
      </c>
      <c r="AQ36" s="4">
        <f t="shared" si="20"/>
        <v>26.606566444534511</v>
      </c>
      <c r="AR36" s="4">
        <f t="shared" si="20"/>
        <v>28.406566444534509</v>
      </c>
      <c r="AS36" s="4">
        <f t="shared" si="20"/>
        <v>29.606566444534511</v>
      </c>
      <c r="AT36" s="8"/>
      <c r="AX36" s="3">
        <f t="shared" si="22"/>
        <v>2.0339662745044399E-201</v>
      </c>
    </row>
    <row r="37" spans="30:50" x14ac:dyDescent="0.2">
      <c r="AI37" t="s">
        <v>38</v>
      </c>
      <c r="AJ37">
        <v>14</v>
      </c>
      <c r="AM37" s="10"/>
      <c r="AN37" s="5">
        <f t="shared" si="21"/>
        <v>10.676749448841816</v>
      </c>
      <c r="AO37" s="4">
        <f t="shared" si="20"/>
        <v>15.962872777106501</v>
      </c>
      <c r="AP37" s="4">
        <f t="shared" si="20"/>
        <v>22.962872777106501</v>
      </c>
      <c r="AQ37" s="4">
        <f t="shared" si="20"/>
        <v>25.962872777106501</v>
      </c>
      <c r="AR37" s="4">
        <f t="shared" si="20"/>
        <v>27.762872777106498</v>
      </c>
      <c r="AS37" s="4">
        <f t="shared" si="20"/>
        <v>28.962872777106501</v>
      </c>
      <c r="AT37" s="8"/>
      <c r="AX37" s="3">
        <f t="shared" si="22"/>
        <v>5.3421627225496583E-174</v>
      </c>
    </row>
    <row r="38" spans="30:50" x14ac:dyDescent="0.2">
      <c r="AI38" t="s">
        <v>39</v>
      </c>
      <c r="AJ38">
        <f>AJ36-AJ37</f>
        <v>13.608602396700213</v>
      </c>
      <c r="AM38" s="10"/>
      <c r="AN38" s="5">
        <f t="shared" si="21"/>
        <v>9.0799486389863535</v>
      </c>
      <c r="AO38" s="4">
        <f t="shared" si="20"/>
        <v>15.363608309557637</v>
      </c>
      <c r="AP38" s="4">
        <f t="shared" si="20"/>
        <v>22.363608309557637</v>
      </c>
      <c r="AQ38" s="4">
        <f t="shared" si="20"/>
        <v>25.363608309557637</v>
      </c>
      <c r="AR38" s="4">
        <f t="shared" si="20"/>
        <v>27.163608309557635</v>
      </c>
      <c r="AS38" s="4">
        <f t="shared" si="20"/>
        <v>28.363608309557637</v>
      </c>
      <c r="AT38" s="8"/>
      <c r="AX38" s="3">
        <f t="shared" si="22"/>
        <v>7.1161740316029412E-152</v>
      </c>
    </row>
    <row r="39" spans="30:50" x14ac:dyDescent="0.2">
      <c r="AM39" s="10"/>
      <c r="AN39" s="5">
        <f t="shared" si="21"/>
        <v>7.6321463236584055</v>
      </c>
      <c r="AO39" s="4">
        <f t="shared" si="20"/>
        <v>14.803033837552764</v>
      </c>
      <c r="AP39" s="4">
        <f t="shared" si="20"/>
        <v>21.803033837552764</v>
      </c>
      <c r="AQ39" s="4">
        <f>AG14-($AI$43)+10*(LOG10($AF$26)-LOG10($AI$27))</f>
        <v>24.803033837552764</v>
      </c>
      <c r="AR39" s="4">
        <f t="shared" si="20"/>
        <v>26.603033837552761</v>
      </c>
      <c r="AS39" s="4">
        <f t="shared" si="20"/>
        <v>27.803033837552764</v>
      </c>
      <c r="AT39" s="8"/>
      <c r="AX39" s="3">
        <f t="shared" si="22"/>
        <v>9.1841415241620948E-134</v>
      </c>
    </row>
    <row r="40" spans="30:50" x14ac:dyDescent="0.2">
      <c r="AM40" s="10"/>
      <c r="AN40" s="5">
        <f t="shared" si="21"/>
        <v>6.3057787018023674</v>
      </c>
      <c r="AO40" s="4">
        <f t="shared" si="20"/>
        <v>14.276455063105775</v>
      </c>
      <c r="AP40" s="4">
        <f t="shared" si="20"/>
        <v>21.276455063105775</v>
      </c>
      <c r="AQ40" s="4">
        <f t="shared" si="20"/>
        <v>24.276455063105775</v>
      </c>
      <c r="AR40" s="4">
        <f t="shared" si="20"/>
        <v>26.076455063105772</v>
      </c>
      <c r="AS40" s="4">
        <f t="shared" si="20"/>
        <v>27.276455063105775</v>
      </c>
      <c r="AT40" s="8"/>
      <c r="AX40" s="3">
        <f t="shared" si="22"/>
        <v>9.4601717949060931E-119</v>
      </c>
    </row>
    <row r="41" spans="30:50" x14ac:dyDescent="0.2">
      <c r="AI41" t="s">
        <v>33</v>
      </c>
      <c r="AM41" s="10"/>
      <c r="AN41" s="5">
        <f t="shared" si="21"/>
        <v>5.0797157927334782</v>
      </c>
      <c r="AO41" s="4">
        <f t="shared" si="20"/>
        <v>13.779983388605135</v>
      </c>
      <c r="AP41" s="4">
        <f t="shared" si="20"/>
        <v>20.779983388605135</v>
      </c>
      <c r="AQ41" s="4">
        <f t="shared" si="20"/>
        <v>23.779983388605135</v>
      </c>
      <c r="AR41" s="4">
        <f t="shared" si="20"/>
        <v>25.579983388605132</v>
      </c>
      <c r="AS41" s="4">
        <f t="shared" si="20"/>
        <v>26.779983388605135</v>
      </c>
      <c r="AT41" s="8"/>
      <c r="AX41" s="3">
        <f t="shared" si="22"/>
        <v>3.6271160997995427E-106</v>
      </c>
    </row>
    <row r="42" spans="30:50" x14ac:dyDescent="0.2">
      <c r="AM42" s="10"/>
      <c r="AN42" s="5">
        <f t="shared" si="21"/>
        <v>3.9374715297628535</v>
      </c>
      <c r="AO42" s="4">
        <f t="shared" si="20"/>
        <v>13.310361471614673</v>
      </c>
      <c r="AP42" s="4">
        <f t="shared" si="20"/>
        <v>20.310361471614673</v>
      </c>
      <c r="AQ42" s="4">
        <f t="shared" si="20"/>
        <v>23.310361471614673</v>
      </c>
      <c r="AR42" s="4">
        <f t="shared" si="20"/>
        <v>25.11036147161467</v>
      </c>
      <c r="AS42" s="4">
        <f t="shared" si="20"/>
        <v>26.310361471614673</v>
      </c>
      <c r="AT42" s="8"/>
      <c r="AX42" s="3">
        <f t="shared" si="22"/>
        <v>1.6276723329013476E-95</v>
      </c>
    </row>
    <row r="43" spans="30:50" x14ac:dyDescent="0.2">
      <c r="AI43">
        <v>-106</v>
      </c>
      <c r="AJ43" t="s">
        <v>41</v>
      </c>
      <c r="AM43" s="10"/>
      <c r="AN43" s="5">
        <f t="shared" si="21"/>
        <v>2.8659839825988653</v>
      </c>
      <c r="AO43" s="4">
        <f t="shared" ref="AO43:AO46" si="23">AE18-($AI$43)+10*(LOG10($AF$26)-LOG10($AI$27))</f>
        <v>12.864833577391639</v>
      </c>
      <c r="AP43" s="4">
        <f t="shared" ref="AP43:AP46" si="24">AF18-($AI$43)+10*(LOG10($AF$26)-LOG10($AI$27))</f>
        <v>19.864833577391639</v>
      </c>
      <c r="AQ43" s="4">
        <f t="shared" ref="AQ43:AQ46" si="25">AG18-($AI$43)+10*(LOG10($AF$26)-LOG10($AI$27))</f>
        <v>22.864833577391639</v>
      </c>
      <c r="AR43" s="4">
        <f t="shared" ref="AR43:AR46" si="26">AH18-($AI$43)+10*(LOG10($AF$26)-LOG10($AI$27))</f>
        <v>24.664833577391637</v>
      </c>
      <c r="AS43" s="4">
        <f t="shared" ref="AS43:AS46" si="27">AI18-($AI$43)+10*(LOG10($AF$26)-LOG10($AI$27))</f>
        <v>25.864833577391639</v>
      </c>
      <c r="AT43" s="8"/>
      <c r="AX43" s="3">
        <f t="shared" si="22"/>
        <v>2.0336899235038825E-86</v>
      </c>
    </row>
    <row r="44" spans="30:50" x14ac:dyDescent="0.2">
      <c r="AM44" s="10"/>
      <c r="AN44" s="5">
        <f t="shared" si="21"/>
        <v>1.8547632185340328</v>
      </c>
      <c r="AO44" s="4">
        <f t="shared" si="23"/>
        <v>12.441047595992874</v>
      </c>
      <c r="AP44" s="4">
        <f t="shared" si="24"/>
        <v>19.441047595992874</v>
      </c>
      <c r="AQ44" s="4">
        <f t="shared" si="25"/>
        <v>22.441047595992874</v>
      </c>
      <c r="AR44" s="4">
        <f t="shared" si="26"/>
        <v>24.241047595992871</v>
      </c>
      <c r="AS44" s="4">
        <f t="shared" si="27"/>
        <v>25.441047595992874</v>
      </c>
      <c r="AT44" s="8"/>
      <c r="AX44" s="3">
        <f t="shared" si="22"/>
        <v>1.3761805140305052E-78</v>
      </c>
    </row>
    <row r="45" spans="30:50" x14ac:dyDescent="0.2">
      <c r="AM45" s="10"/>
      <c r="AN45" s="5">
        <f t="shared" si="21"/>
        <v>0.89528298657012795</v>
      </c>
      <c r="AO45" s="4">
        <f t="shared" si="23"/>
        <v>12.036979874227118</v>
      </c>
      <c r="AP45" s="4">
        <f t="shared" si="24"/>
        <v>19.036979874227118</v>
      </c>
      <c r="AQ45" s="4">
        <f t="shared" si="25"/>
        <v>22.036979874227118</v>
      </c>
      <c r="AR45" s="4">
        <f t="shared" si="26"/>
        <v>23.836979874227115</v>
      </c>
      <c r="AS45" s="4">
        <f t="shared" si="27"/>
        <v>25.036979874227118</v>
      </c>
      <c r="AT45" s="8"/>
      <c r="AX45" s="3">
        <f t="shared" si="22"/>
        <v>8.4638388847771601E-72</v>
      </c>
    </row>
    <row r="46" spans="30:50" x14ac:dyDescent="0.2">
      <c r="AM46" s="10"/>
      <c r="AN46" s="5">
        <f t="shared" si="21"/>
        <v>-1.9461882002333432E-2</v>
      </c>
      <c r="AO46" s="4">
        <f t="shared" si="23"/>
        <v>11.650876770319403</v>
      </c>
      <c r="AP46" s="4">
        <f t="shared" si="24"/>
        <v>18.650876770319403</v>
      </c>
      <c r="AQ46" s="4">
        <f t="shared" si="25"/>
        <v>21.650876770319403</v>
      </c>
      <c r="AR46" s="4">
        <f t="shared" si="26"/>
        <v>23.4508767703194</v>
      </c>
      <c r="AS46" s="4">
        <f t="shared" si="27"/>
        <v>24.650876770319403</v>
      </c>
      <c r="AT46" s="8"/>
      <c r="AX46" s="3">
        <f t="shared" si="22"/>
        <v>7.1122963307669836E-66</v>
      </c>
    </row>
  </sheetData>
  <mergeCells count="6">
    <mergeCell ref="AD2:AD21"/>
    <mergeCell ref="AT27:AT46"/>
    <mergeCell ref="AO25:AS25"/>
    <mergeCell ref="AM27:AM46"/>
    <mergeCell ref="AM25:AN26"/>
    <mergeCell ref="AT25:AT26"/>
  </mergeCells>
  <conditionalFormatting sqref="AO27:AS46 AU27:AU46">
    <cfRule type="cellIs" dxfId="0" priority="1" operator="greaterThan">
      <formula>$AJ$37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DELFOSSE</dc:creator>
  <cp:lastModifiedBy>Alexandre DELFOSSE</cp:lastModifiedBy>
  <dcterms:created xsi:type="dcterms:W3CDTF">2018-01-18T07:56:01Z</dcterms:created>
  <dcterms:modified xsi:type="dcterms:W3CDTF">2018-05-12T14:37:40Z</dcterms:modified>
</cp:coreProperties>
</file>