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Values " sheetId="1" r:id="rId4"/>
    <sheet state="visible" name="Evaluation" sheetId="2" r:id="rId5"/>
    <sheet state="visible" name="Method 3" sheetId="3" r:id="rId6"/>
    <sheet state="visible" name="AHL Evaluation" sheetId="4" r:id="rId7"/>
    <sheet state="visible" name="Height" sheetId="5" r:id="rId8"/>
    <sheet state="visible" name="Salary" sheetId="6" r:id="rId9"/>
    <sheet state="visible" name="NHL Career V2" sheetId="7" r:id="rId10"/>
    <sheet state="visible" name="NHL Career" sheetId="8" r:id="rId11"/>
    <sheet state="visible" name="2023-24" sheetId="9" r:id="rId12"/>
    <sheet state="visible" name="2022-23" sheetId="10" r:id="rId13"/>
    <sheet state="visible" name="2021-22" sheetId="11" r:id="rId14"/>
    <sheet state="visible" name="2020-21" sheetId="12" r:id="rId15"/>
    <sheet state="visible" name="M + T Totals" sheetId="13" r:id="rId16"/>
    <sheet state="visible" name="NHL Movement" sheetId="14" r:id="rId17"/>
    <sheet state="visible" name="NHL Tracking" sheetId="15" r:id="rId18"/>
    <sheet state="visible" name="AHL Movement" sheetId="16" r:id="rId19"/>
    <sheet state="visible" name="AHL Tracking" sheetId="17" r:id="rId20"/>
    <sheet state="visible" name="Chart1" sheetId="18" r:id="rId21"/>
    <sheet state="visible" name="Chart2" sheetId="19" r:id="rId22"/>
  </sheets>
  <definedNames>
    <definedName name="Bobrovsky">'2023-24'!$T$2:$W$2</definedName>
  </definedNames>
  <calcPr/>
</workbook>
</file>

<file path=xl/sharedStrings.xml><?xml version="1.0" encoding="utf-8"?>
<sst xmlns="http://schemas.openxmlformats.org/spreadsheetml/2006/main" count="910" uniqueCount="253">
  <si>
    <t>Starter</t>
  </si>
  <si>
    <t>#1 Rank</t>
  </si>
  <si>
    <t>#2 Rank</t>
  </si>
  <si>
    <t>#3 Rank</t>
  </si>
  <si>
    <t>Method 1</t>
  </si>
  <si>
    <t>Method 2</t>
  </si>
  <si>
    <t>Method 3 (Combined)</t>
  </si>
  <si>
    <t>4 year GSAx</t>
  </si>
  <si>
    <t>2 year GSAx</t>
  </si>
  <si>
    <t>Bobrovsky</t>
  </si>
  <si>
    <t>Skinner</t>
  </si>
  <si>
    <t>Oettinger</t>
  </si>
  <si>
    <t xml:space="preserve">Shesterkin </t>
  </si>
  <si>
    <t>Swayman</t>
  </si>
  <si>
    <t>Georgiev</t>
  </si>
  <si>
    <t>Saros</t>
  </si>
  <si>
    <t>Hellebuyck</t>
  </si>
  <si>
    <t>X</t>
  </si>
  <si>
    <t>Y</t>
  </si>
  <si>
    <t>R-Squared</t>
  </si>
  <si>
    <t>Correlation</t>
  </si>
  <si>
    <t>Samsonov</t>
  </si>
  <si>
    <t>Vasilevskiy</t>
  </si>
  <si>
    <t>Lindgren</t>
  </si>
  <si>
    <t>Method 3</t>
  </si>
  <si>
    <t>Thompson</t>
  </si>
  <si>
    <t>Talbot</t>
  </si>
  <si>
    <t>Hill</t>
  </si>
  <si>
    <t>Binnington</t>
  </si>
  <si>
    <t>Sorokin</t>
  </si>
  <si>
    <t xml:space="preserve">Mrazek </t>
  </si>
  <si>
    <t>Korpisalo</t>
  </si>
  <si>
    <t>Luukonen</t>
  </si>
  <si>
    <t>Demko</t>
  </si>
  <si>
    <t>Daccord</t>
  </si>
  <si>
    <t>Errson</t>
  </si>
  <si>
    <t>Jarry</t>
  </si>
  <si>
    <t>Ingram</t>
  </si>
  <si>
    <t>Markstrom</t>
  </si>
  <si>
    <t>Gibson</t>
  </si>
  <si>
    <t>Gustavsson</t>
  </si>
  <si>
    <t>Lyon</t>
  </si>
  <si>
    <t>Blackwood</t>
  </si>
  <si>
    <t>Dostal</t>
  </si>
  <si>
    <t>Kochetkov</t>
  </si>
  <si>
    <t>Montembault</t>
  </si>
  <si>
    <t>Ullmark</t>
  </si>
  <si>
    <t>Merzlikens</t>
  </si>
  <si>
    <t>Fluery</t>
  </si>
  <si>
    <t>Nedeljkovic</t>
  </si>
  <si>
    <t xml:space="preserve">Vejmelka </t>
  </si>
  <si>
    <t>Kahkonen</t>
  </si>
  <si>
    <t>Grubauer</t>
  </si>
  <si>
    <t>Allen</t>
  </si>
  <si>
    <t>Kuemper</t>
  </si>
  <si>
    <t>Wedgewood</t>
  </si>
  <si>
    <t>Rank #1</t>
  </si>
  <si>
    <t>Rank #2</t>
  </si>
  <si>
    <t>Ranked #2*</t>
  </si>
  <si>
    <t>Method 2*</t>
  </si>
  <si>
    <t>Change</t>
  </si>
  <si>
    <t>Abs Change</t>
  </si>
  <si>
    <t>method 2 v1 is now completley new</t>
  </si>
  <si>
    <t>3 Ranked</t>
  </si>
  <si>
    <t>Method 3 Rank</t>
  </si>
  <si>
    <t>Method 1 Raw</t>
  </si>
  <si>
    <t>Method 2 Raw</t>
  </si>
  <si>
    <t>Method 3 Combined</t>
  </si>
  <si>
    <t>Rank</t>
  </si>
  <si>
    <t>Method 2 Normalized</t>
  </si>
  <si>
    <r>
      <rPr>
        <rFont val="&quot;Helvetica Neue&quot;, Helvetica, Arial, sans-serif"/>
        <color rgb="FF337AB7"/>
        <sz val="11.0"/>
      </rPr>
      <t>MATTHEW VILLALTA</t>
    </r>
  </si>
  <si>
    <r>
      <rPr>
        <rFont val="&quot;Helvetica Neue&quot;, Helvetica, Arial, sans-serif"/>
        <color rgb="FF337AB7"/>
        <sz val="11.0"/>
      </rPr>
      <t>JAKUB DOBES</t>
    </r>
  </si>
  <si>
    <r>
      <rPr>
        <rFont val="&quot;Helvetica Neue&quot;, Helvetica, Arial, sans-serif"/>
        <color rgb="FF337AB7"/>
        <sz val="11.0"/>
      </rPr>
      <t>JET GREAVES</t>
    </r>
  </si>
  <si>
    <r>
      <rPr>
        <rFont val="&quot;Helvetica Neue&quot;, Helvetica, Arial, sans-serif"/>
        <color rgb="FF337AB7"/>
        <sz val="11.0"/>
      </rPr>
      <t>JOEL BLOMQVIST</t>
    </r>
  </si>
  <si>
    <r>
      <rPr>
        <rFont val="&quot;Helvetica Neue&quot;, Helvetica, Arial, sans-serif"/>
        <color rgb="FF337AB7"/>
        <sz val="11.0"/>
      </rPr>
      <t>SPENCER KNIGHT</t>
    </r>
  </si>
  <si>
    <r>
      <rPr>
        <rFont val="&quot;Helvetica Neue&quot;, Helvetica, Arial, sans-serif"/>
        <color rgb="FF337AB7"/>
        <sz val="11.0"/>
      </rPr>
      <t>JESPER WALLSTEDT</t>
    </r>
  </si>
  <si>
    <r>
      <rPr>
        <rFont val="&quot;Helvetica Neue&quot;, Helvetica, Arial, sans-serif"/>
        <color rgb="FF337AB7"/>
        <sz val="11.0"/>
      </rPr>
      <t>YAROSLAV ASKAROV</t>
    </r>
  </si>
  <si>
    <t>x</t>
  </si>
  <si>
    <r>
      <rPr>
        <rFont val="&quot;Helvetica Neue&quot;, Helvetica, Arial, sans-serif"/>
        <color rgb="FF337AB7"/>
        <sz val="11.0"/>
      </rPr>
      <t>ADAM SCHEEL</t>
    </r>
  </si>
  <si>
    <r>
      <rPr>
        <rFont val="&quot;Helvetica Neue&quot;, Helvetica, Arial, sans-serif"/>
        <color rgb="FF337AB7"/>
        <sz val="11.0"/>
      </rPr>
      <t>BRANDON BUSSI</t>
    </r>
  </si>
  <si>
    <r>
      <rPr>
        <rFont val="&quot;Helvetica Neue&quot;, Helvetica, Arial, sans-serif"/>
        <color rgb="FF337AB7"/>
        <sz val="11.0"/>
      </rPr>
      <t>DENNIS HILDEBY</t>
    </r>
  </si>
  <si>
    <r>
      <rPr>
        <rFont val="&quot;Helvetica Neue&quot;, Helvetica, Arial, sans-serif"/>
        <color rgb="FF337AB7"/>
        <sz val="11.0"/>
      </rPr>
      <t>SEBASTIAN COSSA</t>
    </r>
  </si>
  <si>
    <r>
      <rPr>
        <rFont val="&quot;Helvetica Neue&quot;, Helvetica, Arial, sans-serif"/>
        <color rgb="FF337AB7"/>
        <sz val="11.0"/>
      </rPr>
      <t>CHRIS DRIEDGER</t>
    </r>
  </si>
  <si>
    <r>
      <rPr>
        <rFont val="&quot;Helvetica Neue&quot;, Helvetica, Arial, sans-serif"/>
        <color rgb="FF337AB7"/>
        <sz val="11.0"/>
      </rPr>
      <t>ERIK PORTILLO</t>
    </r>
  </si>
  <si>
    <r>
      <rPr>
        <rFont val="&quot;Helvetica Neue&quot;, Helvetica, Arial, sans-serif"/>
        <color rgb="FF337AB7"/>
        <sz val="11.0"/>
      </rPr>
      <t>DYLAN GARAND</t>
    </r>
  </si>
  <si>
    <r>
      <rPr>
        <rFont val="&quot;Helvetica Neue&quot;, Helvetica, Arial, sans-serif"/>
        <color rgb="FF337AB7"/>
        <sz val="11.0"/>
      </rPr>
      <t>DREW COMMESSO</t>
    </r>
  </si>
  <si>
    <r>
      <rPr>
        <rFont val="&quot;Helvetica Neue&quot;, Helvetica, Arial, sans-serif"/>
        <color rgb="FF337AB7"/>
        <sz val="11.0"/>
      </rPr>
      <t>REMI POIRIER</t>
    </r>
  </si>
  <si>
    <r>
      <rPr>
        <rFont val="&quot;Helvetica Neue&quot;, Helvetica, Arial, sans-serif"/>
        <color rgb="FF337AB7"/>
        <sz val="11.0"/>
      </rPr>
      <t>OLIVIER RODRIGUE</t>
    </r>
  </si>
  <si>
    <r>
      <rPr>
        <rFont val="&quot;Helvetica Neue&quot;, Helvetica, Arial, sans-serif"/>
        <color rgb="FF337AB7"/>
        <sz val="11.0"/>
      </rPr>
      <t>CLAY STEVENSON</t>
    </r>
  </si>
  <si>
    <r>
      <rPr>
        <rFont val="&quot;Helvetica Neue&quot;, Helvetica, Arial, sans-serif"/>
        <color rgb="FF337AB7"/>
        <sz val="11.0"/>
      </rPr>
      <t>DUSTIN WOLF</t>
    </r>
  </si>
  <si>
    <r>
      <rPr>
        <rFont val="&quot;Helvetica Neue&quot;, Helvetica, Arial, sans-serif"/>
        <color rgb="FF337AB7"/>
        <sz val="11.0"/>
      </rPr>
      <t>JAKUB SKAREK</t>
    </r>
  </si>
  <si>
    <r>
      <rPr>
        <rFont val="&quot;Helvetica Neue&quot;, Helvetica, Arial, sans-serif"/>
        <color rgb="FF337AB7"/>
        <sz val="11.0"/>
      </rPr>
      <t>NIKITA TOLOPILO</t>
    </r>
  </si>
  <si>
    <r>
      <rPr>
        <rFont val="&quot;Helvetica Neue&quot;, Helvetica, Arial, sans-serif"/>
        <color rgb="FF337AB7"/>
        <sz val="11.0"/>
      </rPr>
      <t>MALCOLM SUBBAN</t>
    </r>
  </si>
  <si>
    <r>
      <rPr>
        <rFont val="&quot;Helvetica Neue&quot;, Helvetica, Arial, sans-serif"/>
        <color rgb="FF337AB7"/>
        <sz val="11.0"/>
      </rPr>
      <t>HUNTER SHEPARD</t>
    </r>
  </si>
  <si>
    <r>
      <rPr>
        <rFont val="&quot;Helvetica Neue&quot;, Helvetica, Arial, sans-serif"/>
        <color rgb="FF337AB7"/>
        <sz val="11.0"/>
      </rPr>
      <t>ARTURS SILOVS</t>
    </r>
  </si>
  <si>
    <r>
      <rPr>
        <rFont val="&quot;Helvetica Neue&quot;, Helvetica, Arial, sans-serif"/>
        <color rgb="FF337AB7"/>
        <sz val="11.0"/>
      </rPr>
      <t>THOMAS MILIC</t>
    </r>
  </si>
  <si>
    <r>
      <rPr>
        <rFont val="&quot;Helvetica Neue&quot;, Helvetica, Arial, sans-serif"/>
        <color rgb="FF337AB7"/>
        <sz val="11.0"/>
      </rPr>
      <t>JACK CAMPBELL</t>
    </r>
  </si>
  <si>
    <r>
      <rPr>
        <rFont val="&quot;Helvetica Neue&quot;, Helvetica, Arial, sans-serif"/>
        <color rgb="FF337AB7"/>
        <sz val="11.0"/>
      </rPr>
      <t>MADS SOGAARD</t>
    </r>
  </si>
  <si>
    <r>
      <rPr>
        <rFont val="&quot;Helvetica Neue&quot;, Helvetica, Arial, sans-serif"/>
        <color rgb="FF337AB7"/>
        <sz val="11.0"/>
      </rPr>
      <t>MICHAEL HUTCHINSON</t>
    </r>
  </si>
  <si>
    <r>
      <rPr>
        <rFont val="&quot;Helvetica Neue&quot;, Helvetica, Arial, sans-serif"/>
        <color rgb="FF337AB7"/>
        <sz val="11.0"/>
      </rPr>
      <t>COLLIN DELIA</t>
    </r>
  </si>
  <si>
    <r>
      <rPr>
        <rFont val="&quot;Helvetica Neue&quot;, Helvetica, Arial, sans-serif"/>
        <color rgb="FF337AB7"/>
        <sz val="11.0"/>
      </rPr>
      <t>CALLE CLANG</t>
    </r>
  </si>
  <si>
    <r>
      <rPr>
        <rFont val="&quot;Helvetica Neue&quot;, Helvetica, Arial, sans-serif"/>
        <color rgb="FF337AB7"/>
        <sz val="11.0"/>
      </rPr>
      <t>JAXSON STAUBER</t>
    </r>
  </si>
  <si>
    <r>
      <rPr>
        <rFont val="&quot;Helvetica Neue&quot;, Helvetica, Arial, sans-serif"/>
        <color rgb="FF337AB7"/>
        <sz val="11.0"/>
      </rPr>
      <t>MATTHEW MURRAY</t>
    </r>
  </si>
  <si>
    <r>
      <rPr>
        <rFont val="&quot;Helvetica Neue&quot;, Helvetica, Arial, sans-serif"/>
        <color rgb="FF337AB7"/>
        <sz val="11.0"/>
      </rPr>
      <t>MAGNUS CHRONA</t>
    </r>
  </si>
  <si>
    <r>
      <rPr>
        <rFont val="&quot;Helvetica Neue&quot;, Helvetica, Arial, sans-serif"/>
        <color rgb="FF337AB7"/>
        <sz val="11.0"/>
      </rPr>
      <t>MICHAEL DIPIETRO</t>
    </r>
  </si>
  <si>
    <r>
      <rPr>
        <rFont val="&quot;Helvetica Neue&quot;, Helvetica, Arial, sans-serif"/>
        <color rgb="FF337AB7"/>
        <sz val="11.0"/>
      </rPr>
      <t>TROY GROSENICK</t>
    </r>
  </si>
  <si>
    <r>
      <rPr>
        <rFont val="&quot;Helvetica Neue&quot;, Helvetica, Arial, sans-serif"/>
        <color rgb="FF337AB7"/>
        <sz val="11.0"/>
      </rPr>
      <t>HUGO ALNEFELT</t>
    </r>
  </si>
  <si>
    <r>
      <rPr>
        <rFont val="&quot;Helvetica Neue&quot;, Helvetica, Arial, sans-serif"/>
        <color rgb="FF337AB7"/>
        <sz val="11.0"/>
      </rPr>
      <t>TOMAS SUCHANEK</t>
    </r>
  </si>
  <si>
    <r>
      <rPr>
        <rFont val="&quot;Helvetica Neue&quot;, Helvetica, Arial, sans-serif"/>
        <color rgb="FF337AB7"/>
        <sz val="11.0"/>
      </rPr>
      <t>MATT TOMKINS</t>
    </r>
  </si>
  <si>
    <r>
      <rPr>
        <rFont val="&quot;Helvetica Neue&quot;, Helvetica, Arial, sans-serif"/>
        <color rgb="FF337AB7"/>
        <sz val="11.0"/>
      </rPr>
      <t>VADIM ZHERENKO</t>
    </r>
  </si>
  <si>
    <r>
      <rPr>
        <rFont val="&quot;Helvetica Neue&quot;, Helvetica, Arial, sans-serif"/>
        <color rgb="FF337AB7"/>
        <sz val="11.0"/>
      </rPr>
      <t>GEORGI ROMANOV</t>
    </r>
  </si>
  <si>
    <t>Height (in)</t>
  </si>
  <si>
    <t>72 in is 6'0"</t>
  </si>
  <si>
    <t>Standardized</t>
  </si>
  <si>
    <t>Remaining Salary Cap Hit (M)</t>
  </si>
  <si>
    <t>*currently 5.67</t>
  </si>
  <si>
    <t>*ending</t>
  </si>
  <si>
    <t>*ending / rookie</t>
  </si>
  <si>
    <t>Reg GP</t>
  </si>
  <si>
    <t>2020-21 GSAx</t>
  </si>
  <si>
    <t>2022-21 GSAx</t>
  </si>
  <si>
    <t>2022-23 GSAx</t>
  </si>
  <si>
    <t>2023-24 GSAx</t>
  </si>
  <si>
    <t>Weighted Av</t>
  </si>
  <si>
    <t>Data GSAx (Weighted by Season)</t>
  </si>
  <si>
    <t>Career Sv%</t>
  </si>
  <si>
    <t>Montembeault</t>
  </si>
  <si>
    <t>2020-21 WAR</t>
  </si>
  <si>
    <t>2022-21 WAR</t>
  </si>
  <si>
    <t>2022-23 WAR</t>
  </si>
  <si>
    <t>2023-24 WAR</t>
  </si>
  <si>
    <t>Weighted Av GSAx</t>
  </si>
  <si>
    <t>Reg S%</t>
  </si>
  <si>
    <t>Z</t>
  </si>
  <si>
    <t>GAA</t>
  </si>
  <si>
    <t>Work Load</t>
  </si>
  <si>
    <t>Adj. WL / GP</t>
  </si>
  <si>
    <t>Total 2020-24</t>
  </si>
  <si>
    <t>Weighted</t>
  </si>
  <si>
    <t>Norm 2020-24</t>
  </si>
  <si>
    <t>Norm Weighted</t>
  </si>
  <si>
    <t>2020-21</t>
  </si>
  <si>
    <t>2021-22</t>
  </si>
  <si>
    <t>2022-23</t>
  </si>
  <si>
    <t>2023-24</t>
  </si>
  <si>
    <t>R</t>
  </si>
  <si>
    <t>Slope</t>
  </si>
  <si>
    <t>Y-Int</t>
  </si>
  <si>
    <t>xYear4</t>
  </si>
  <si>
    <t>Residual</t>
  </si>
  <si>
    <t>Abs Residual</t>
  </si>
  <si>
    <t>4 were deleted</t>
  </si>
  <si>
    <t>Final Normalized</t>
  </si>
  <si>
    <t>Movement Total</t>
  </si>
  <si>
    <t>Tracking Total</t>
  </si>
  <si>
    <t>Movement + Tracking Total</t>
  </si>
  <si>
    <t>POP</t>
  </si>
  <si>
    <t>Z Score</t>
  </si>
  <si>
    <t>Coverage</t>
  </si>
  <si>
    <t>Combined</t>
  </si>
  <si>
    <t>Norm Movement Score</t>
  </si>
  <si>
    <t>2023-24 dFSv%</t>
  </si>
  <si>
    <t>2023-24 GSAA</t>
  </si>
  <si>
    <t>2022-23 dFSv%</t>
  </si>
  <si>
    <t>2022-23 GSAA</t>
  </si>
  <si>
    <t>2021-22 dFSv%</t>
  </si>
  <si>
    <t>2021-22 GSAA</t>
  </si>
  <si>
    <t>2020-21 dFSv%</t>
  </si>
  <si>
    <t>2020-21 GSAA</t>
  </si>
  <si>
    <t>Norm Tracking Score</t>
  </si>
  <si>
    <t xml:space="preserve"> </t>
  </si>
  <si>
    <r>
      <rPr>
        <rFont val="&quot;Helvetica Neue&quot;, Helvetica, Arial, sans-serif"/>
        <color rgb="FF337AB7"/>
        <sz val="11.0"/>
      </rPr>
      <t>MATTHEW VILLALTA</t>
    </r>
  </si>
  <si>
    <r>
      <rPr>
        <rFont val="&quot;Helvetica Neue&quot;, Helvetica, Arial, sans-serif"/>
        <color rgb="FF337AB7"/>
        <sz val="11.0"/>
      </rPr>
      <t>JAKUB DOBES</t>
    </r>
  </si>
  <si>
    <r>
      <rPr>
        <rFont val="&quot;Helvetica Neue&quot;, Helvetica, Arial, sans-serif"/>
        <color rgb="FF337AB7"/>
        <sz val="11.0"/>
      </rPr>
      <t>JET GREAVES</t>
    </r>
  </si>
  <si>
    <r>
      <rPr>
        <rFont val="&quot;Helvetica Neue&quot;, Helvetica, Arial, sans-serif"/>
        <color rgb="FF337AB7"/>
        <sz val="11.0"/>
      </rPr>
      <t>JOEL BLOMQVIST</t>
    </r>
  </si>
  <si>
    <r>
      <rPr>
        <rFont val="&quot;Helvetica Neue&quot;, Helvetica, Arial, sans-serif"/>
        <color rgb="FF337AB7"/>
        <sz val="11.0"/>
      </rPr>
      <t>SPENCER KNIGHT</t>
    </r>
  </si>
  <si>
    <r>
      <rPr>
        <rFont val="&quot;Helvetica Neue&quot;, Helvetica, Arial, sans-serif"/>
        <color rgb="FF337AB7"/>
        <sz val="11.0"/>
      </rPr>
      <t>JESPER WALLSTEDT</t>
    </r>
  </si>
  <si>
    <r>
      <rPr>
        <rFont val="&quot;Helvetica Neue&quot;, Helvetica, Arial, sans-serif"/>
        <color rgb="FF337AB7"/>
        <sz val="11.0"/>
      </rPr>
      <t>YAROSLAV ASKAROV</t>
    </r>
  </si>
  <si>
    <r>
      <rPr>
        <rFont val="&quot;Helvetica Neue&quot;, Helvetica, Arial, sans-serif"/>
        <color rgb="FF337AB7"/>
        <sz val="11.0"/>
      </rPr>
      <t>ADAM SCHEEL</t>
    </r>
  </si>
  <si>
    <r>
      <rPr>
        <rFont val="&quot;Helvetica Neue&quot;, Helvetica, Arial, sans-serif"/>
        <color rgb="FF337AB7"/>
        <sz val="11.0"/>
      </rPr>
      <t>BRANDON BUSSI</t>
    </r>
  </si>
  <si>
    <r>
      <rPr>
        <rFont val="&quot;Helvetica Neue&quot;, Helvetica, Arial, sans-serif"/>
        <color rgb="FF337AB7"/>
        <sz val="11.0"/>
      </rPr>
      <t>DENNIS HILDEBY</t>
    </r>
  </si>
  <si>
    <r>
      <rPr>
        <rFont val="&quot;Helvetica Neue&quot;, Helvetica, Arial, sans-serif"/>
        <color rgb="FF337AB7"/>
        <sz val="11.0"/>
      </rPr>
      <t>SEBASTIAN COSSA</t>
    </r>
  </si>
  <si>
    <r>
      <rPr>
        <rFont val="&quot;Helvetica Neue&quot;, Helvetica, Arial, sans-serif"/>
        <color rgb="FF337AB7"/>
        <sz val="11.0"/>
      </rPr>
      <t>CHRIS DRIEDGER</t>
    </r>
  </si>
  <si>
    <r>
      <rPr>
        <rFont val="&quot;Helvetica Neue&quot;, Helvetica, Arial, sans-serif"/>
        <color rgb="FF337AB7"/>
        <sz val="11.0"/>
      </rPr>
      <t>ERIK PORTILLO</t>
    </r>
  </si>
  <si>
    <r>
      <rPr>
        <rFont val="&quot;Helvetica Neue&quot;, Helvetica, Arial, sans-serif"/>
        <color rgb="FF337AB7"/>
        <sz val="11.0"/>
      </rPr>
      <t>DYLAN GARAND</t>
    </r>
  </si>
  <si>
    <r>
      <rPr>
        <rFont val="&quot;Helvetica Neue&quot;, Helvetica, Arial, sans-serif"/>
        <color rgb="FF337AB7"/>
        <sz val="11.0"/>
      </rPr>
      <t>DREW COMMESSO</t>
    </r>
  </si>
  <si>
    <r>
      <rPr>
        <rFont val="&quot;Helvetica Neue&quot;, Helvetica, Arial, sans-serif"/>
        <color rgb="FF337AB7"/>
        <sz val="11.0"/>
      </rPr>
      <t>REMI POIRIER</t>
    </r>
  </si>
  <si>
    <r>
      <rPr>
        <rFont val="&quot;Helvetica Neue&quot;, Helvetica, Arial, sans-serif"/>
        <color rgb="FF337AB7"/>
        <sz val="11.0"/>
      </rPr>
      <t>OLIVIER RODRIGUE</t>
    </r>
  </si>
  <si>
    <r>
      <rPr>
        <rFont val="&quot;Helvetica Neue&quot;, Helvetica, Arial, sans-serif"/>
        <color rgb="FF337AB7"/>
        <sz val="11.0"/>
      </rPr>
      <t>CLAY STEVENSON</t>
    </r>
  </si>
  <si>
    <r>
      <rPr>
        <rFont val="&quot;Helvetica Neue&quot;, Helvetica, Arial, sans-serif"/>
        <color rgb="FF337AB7"/>
        <sz val="11.0"/>
      </rPr>
      <t>DUSTIN WOLF</t>
    </r>
  </si>
  <si>
    <r>
      <rPr>
        <rFont val="&quot;Helvetica Neue&quot;, Helvetica, Arial, sans-serif"/>
        <color rgb="FF337AB7"/>
        <sz val="11.0"/>
      </rPr>
      <t>JAKUB SKAREK</t>
    </r>
  </si>
  <si>
    <r>
      <rPr>
        <rFont val="&quot;Helvetica Neue&quot;, Helvetica, Arial, sans-serif"/>
        <color rgb="FF337AB7"/>
        <sz val="11.0"/>
      </rPr>
      <t>NIKITA TOLOPILO</t>
    </r>
  </si>
  <si>
    <r>
      <rPr>
        <rFont val="&quot;Helvetica Neue&quot;, Helvetica, Arial, sans-serif"/>
        <color rgb="FF337AB7"/>
        <sz val="11.0"/>
      </rPr>
      <t>MALCOLM SUBBAN</t>
    </r>
  </si>
  <si>
    <r>
      <rPr>
        <rFont val="&quot;Helvetica Neue&quot;, Helvetica, Arial, sans-serif"/>
        <color rgb="FF337AB7"/>
        <sz val="11.0"/>
      </rPr>
      <t>HUNTER SHEPARD</t>
    </r>
  </si>
  <si>
    <r>
      <rPr>
        <rFont val="&quot;Helvetica Neue&quot;, Helvetica, Arial, sans-serif"/>
        <color rgb="FF337AB7"/>
        <sz val="11.0"/>
      </rPr>
      <t>ARTURS SILOVS</t>
    </r>
  </si>
  <si>
    <r>
      <rPr>
        <rFont val="&quot;Helvetica Neue&quot;, Helvetica, Arial, sans-serif"/>
        <color rgb="FF337AB7"/>
        <sz val="11.0"/>
      </rPr>
      <t>THOMAS MILIC</t>
    </r>
  </si>
  <si>
    <r>
      <rPr>
        <rFont val="&quot;Helvetica Neue&quot;, Helvetica, Arial, sans-serif"/>
        <color rgb="FF337AB7"/>
        <sz val="11.0"/>
      </rPr>
      <t>JACK CAMPBELL</t>
    </r>
  </si>
  <si>
    <r>
      <rPr>
        <rFont val="&quot;Helvetica Neue&quot;, Helvetica, Arial, sans-serif"/>
        <color rgb="FF337AB7"/>
        <sz val="11.0"/>
      </rPr>
      <t>MADS SOGAARD</t>
    </r>
  </si>
  <si>
    <r>
      <rPr>
        <rFont val="&quot;Helvetica Neue&quot;, Helvetica, Arial, sans-serif"/>
        <color rgb="FF337AB7"/>
        <sz val="11.0"/>
      </rPr>
      <t>MICHAEL HUTCHINSON</t>
    </r>
  </si>
  <si>
    <r>
      <rPr>
        <rFont val="&quot;Helvetica Neue&quot;, Helvetica, Arial, sans-serif"/>
        <color rgb="FF337AB7"/>
        <sz val="11.0"/>
      </rPr>
      <t>COLLIN DELIA</t>
    </r>
  </si>
  <si>
    <r>
      <rPr>
        <rFont val="&quot;Helvetica Neue&quot;, Helvetica, Arial, sans-serif"/>
        <color rgb="FF337AB7"/>
        <sz val="11.0"/>
      </rPr>
      <t>CALLE CLANG</t>
    </r>
  </si>
  <si>
    <r>
      <rPr>
        <rFont val="&quot;Helvetica Neue&quot;, Helvetica, Arial, sans-serif"/>
        <color rgb="FF337AB7"/>
        <sz val="11.0"/>
      </rPr>
      <t>JAXSON STAUBER</t>
    </r>
  </si>
  <si>
    <r>
      <rPr>
        <rFont val="&quot;Helvetica Neue&quot;, Helvetica, Arial, sans-serif"/>
        <color rgb="FF337AB7"/>
        <sz val="11.0"/>
      </rPr>
      <t>MATTHEW MURRAY</t>
    </r>
  </si>
  <si>
    <r>
      <rPr>
        <rFont val="&quot;Helvetica Neue&quot;, Helvetica, Arial, sans-serif"/>
        <color rgb="FF337AB7"/>
        <sz val="11.0"/>
      </rPr>
      <t>MAGNUS CHRONA</t>
    </r>
  </si>
  <si>
    <r>
      <rPr>
        <rFont val="&quot;Helvetica Neue&quot;, Helvetica, Arial, sans-serif"/>
        <color rgb="FF337AB7"/>
        <sz val="11.0"/>
      </rPr>
      <t>MICHAEL DIPIETRO</t>
    </r>
  </si>
  <si>
    <r>
      <rPr>
        <rFont val="&quot;Helvetica Neue&quot;, Helvetica, Arial, sans-serif"/>
        <color rgb="FF337AB7"/>
        <sz val="11.0"/>
      </rPr>
      <t>TROY GROSENICK</t>
    </r>
  </si>
  <si>
    <r>
      <rPr>
        <rFont val="&quot;Helvetica Neue&quot;, Helvetica, Arial, sans-serif"/>
        <color rgb="FF337AB7"/>
        <sz val="11.0"/>
      </rPr>
      <t>HUGO ALNEFELT</t>
    </r>
  </si>
  <si>
    <r>
      <rPr>
        <rFont val="&quot;Helvetica Neue&quot;, Helvetica, Arial, sans-serif"/>
        <color rgb="FF337AB7"/>
        <sz val="11.0"/>
      </rPr>
      <t>TOMAS SUCHANEK</t>
    </r>
  </si>
  <si>
    <r>
      <rPr>
        <rFont val="&quot;Helvetica Neue&quot;, Helvetica, Arial, sans-serif"/>
        <color rgb="FF337AB7"/>
        <sz val="11.0"/>
      </rPr>
      <t>MATT TOMKINS</t>
    </r>
  </si>
  <si>
    <r>
      <rPr>
        <rFont val="&quot;Helvetica Neue&quot;, Helvetica, Arial, sans-serif"/>
        <color rgb="FF337AB7"/>
        <sz val="11.0"/>
      </rPr>
      <t>VADIM ZHERENKO</t>
    </r>
  </si>
  <si>
    <r>
      <rPr>
        <rFont val="&quot;Helvetica Neue&quot;, Helvetica, Arial, sans-serif"/>
        <color rgb="FF337AB7"/>
        <sz val="11.0"/>
      </rPr>
      <t>GEORGI ROMANOV</t>
    </r>
  </si>
  <si>
    <t>dFSv%</t>
  </si>
  <si>
    <t>GSAA</t>
  </si>
  <si>
    <r>
      <rPr>
        <rFont val="&quot;Helvetica Neue&quot;, Helvetica, Arial, sans-serif"/>
        <color rgb="FF337AB7"/>
        <sz val="11.0"/>
      </rPr>
      <t>MATTHEW VILLALTA</t>
    </r>
  </si>
  <si>
    <r>
      <rPr>
        <rFont val="&quot;Helvetica Neue&quot;, Helvetica, Arial, sans-serif"/>
        <color rgb="FF337AB7"/>
        <sz val="11.0"/>
      </rPr>
      <t>JAKUB DOBES</t>
    </r>
  </si>
  <si>
    <r>
      <rPr>
        <rFont val="&quot;Helvetica Neue&quot;, Helvetica, Arial, sans-serif"/>
        <color rgb="FF337AB7"/>
        <sz val="11.0"/>
      </rPr>
      <t>JET GREAVES</t>
    </r>
  </si>
  <si>
    <r>
      <rPr>
        <rFont val="&quot;Helvetica Neue&quot;, Helvetica, Arial, sans-serif"/>
        <color rgb="FF337AB7"/>
        <sz val="11.0"/>
      </rPr>
      <t>JOEL BLOMQVIST</t>
    </r>
  </si>
  <si>
    <r>
      <rPr>
        <rFont val="&quot;Helvetica Neue&quot;, Helvetica, Arial, sans-serif"/>
        <color rgb="FF337AB7"/>
        <sz val="11.0"/>
      </rPr>
      <t>SPENCER KNIGHT</t>
    </r>
  </si>
  <si>
    <r>
      <rPr>
        <rFont val="&quot;Helvetica Neue&quot;, Helvetica, Arial, sans-serif"/>
        <color rgb="FF337AB7"/>
        <sz val="11.0"/>
      </rPr>
      <t>JESPER WALLSTEDT</t>
    </r>
  </si>
  <si>
    <r>
      <rPr>
        <rFont val="&quot;Helvetica Neue&quot;, Helvetica, Arial, sans-serif"/>
        <color rgb="FF337AB7"/>
        <sz val="11.0"/>
      </rPr>
      <t>YAROSLAV ASKAROV</t>
    </r>
  </si>
  <si>
    <r>
      <rPr>
        <rFont val="&quot;Helvetica Neue&quot;, Helvetica, Arial, sans-serif"/>
        <color rgb="FF337AB7"/>
        <sz val="11.0"/>
      </rPr>
      <t>ADAM SCHEEL</t>
    </r>
  </si>
  <si>
    <r>
      <rPr>
        <rFont val="&quot;Helvetica Neue&quot;, Helvetica, Arial, sans-serif"/>
        <color rgb="FF337AB7"/>
        <sz val="11.0"/>
      </rPr>
      <t>BRANDON BUSSI</t>
    </r>
  </si>
  <si>
    <r>
      <rPr>
        <rFont val="&quot;Helvetica Neue&quot;, Helvetica, Arial, sans-serif"/>
        <color rgb="FF337AB7"/>
        <sz val="11.0"/>
      </rPr>
      <t>DENNIS HILDEBY</t>
    </r>
  </si>
  <si>
    <r>
      <rPr>
        <rFont val="&quot;Helvetica Neue&quot;, Helvetica, Arial, sans-serif"/>
        <color rgb="FF337AB7"/>
        <sz val="11.0"/>
      </rPr>
      <t>SEBASTIAN COSSA</t>
    </r>
  </si>
  <si>
    <r>
      <rPr>
        <rFont val="&quot;Helvetica Neue&quot;, Helvetica, Arial, sans-serif"/>
        <color rgb="FF337AB7"/>
        <sz val="11.0"/>
      </rPr>
      <t>CHRIS DRIEDGER</t>
    </r>
  </si>
  <si>
    <r>
      <rPr>
        <rFont val="&quot;Helvetica Neue&quot;, Helvetica, Arial, sans-serif"/>
        <color rgb="FF337AB7"/>
        <sz val="11.0"/>
      </rPr>
      <t>ERIK PORTILLO</t>
    </r>
  </si>
  <si>
    <r>
      <rPr>
        <rFont val="&quot;Helvetica Neue&quot;, Helvetica, Arial, sans-serif"/>
        <color rgb="FF337AB7"/>
        <sz val="11.0"/>
      </rPr>
      <t>DYLAN GARAND</t>
    </r>
  </si>
  <si>
    <r>
      <rPr>
        <rFont val="&quot;Helvetica Neue&quot;, Helvetica, Arial, sans-serif"/>
        <color rgb="FF337AB7"/>
        <sz val="11.0"/>
      </rPr>
      <t>DREW COMMESSO</t>
    </r>
  </si>
  <si>
    <r>
      <rPr>
        <rFont val="&quot;Helvetica Neue&quot;, Helvetica, Arial, sans-serif"/>
        <color rgb="FF337AB7"/>
        <sz val="11.0"/>
      </rPr>
      <t>REMI POIRIER</t>
    </r>
  </si>
  <si>
    <r>
      <rPr>
        <rFont val="&quot;Helvetica Neue&quot;, Helvetica, Arial, sans-serif"/>
        <color rgb="FF337AB7"/>
        <sz val="11.0"/>
      </rPr>
      <t>OLIVIER RODRIGUE</t>
    </r>
  </si>
  <si>
    <r>
      <rPr>
        <rFont val="&quot;Helvetica Neue&quot;, Helvetica, Arial, sans-serif"/>
        <color rgb="FF337AB7"/>
        <sz val="11.0"/>
      </rPr>
      <t>CLAY STEVENSON</t>
    </r>
  </si>
  <si>
    <r>
      <rPr>
        <rFont val="&quot;Helvetica Neue&quot;, Helvetica, Arial, sans-serif"/>
        <color rgb="FF337AB7"/>
        <sz val="11.0"/>
      </rPr>
      <t>DUSTIN WOLF</t>
    </r>
  </si>
  <si>
    <r>
      <rPr>
        <rFont val="&quot;Helvetica Neue&quot;, Helvetica, Arial, sans-serif"/>
        <color rgb="FF337AB7"/>
        <sz val="11.0"/>
      </rPr>
      <t>JAKUB SKAREK</t>
    </r>
  </si>
  <si>
    <r>
      <rPr>
        <rFont val="&quot;Helvetica Neue&quot;, Helvetica, Arial, sans-serif"/>
        <color rgb="FF337AB7"/>
        <sz val="11.0"/>
      </rPr>
      <t>NIKITA TOLOPILO</t>
    </r>
  </si>
  <si>
    <r>
      <rPr>
        <rFont val="&quot;Helvetica Neue&quot;, Helvetica, Arial, sans-serif"/>
        <color rgb="FF337AB7"/>
        <sz val="11.0"/>
      </rPr>
      <t>MALCOLM SUBBAN</t>
    </r>
  </si>
  <si>
    <r>
      <rPr>
        <rFont val="&quot;Helvetica Neue&quot;, Helvetica, Arial, sans-serif"/>
        <color rgb="FF337AB7"/>
        <sz val="11.0"/>
      </rPr>
      <t>HUNTER SHEPARD</t>
    </r>
  </si>
  <si>
    <r>
      <rPr>
        <rFont val="&quot;Helvetica Neue&quot;, Helvetica, Arial, sans-serif"/>
        <color rgb="FF337AB7"/>
        <sz val="11.0"/>
      </rPr>
      <t>ARTURS SILOVS</t>
    </r>
  </si>
  <si>
    <r>
      <rPr>
        <rFont val="&quot;Helvetica Neue&quot;, Helvetica, Arial, sans-serif"/>
        <color rgb="FF337AB7"/>
        <sz val="11.0"/>
      </rPr>
      <t>THOMAS MILIC</t>
    </r>
  </si>
  <si>
    <r>
      <rPr>
        <rFont val="&quot;Helvetica Neue&quot;, Helvetica, Arial, sans-serif"/>
        <color rgb="FF337AB7"/>
        <sz val="11.0"/>
      </rPr>
      <t>JACK CAMPBELL</t>
    </r>
  </si>
  <si>
    <r>
      <rPr>
        <rFont val="&quot;Helvetica Neue&quot;, Helvetica, Arial, sans-serif"/>
        <color rgb="FF337AB7"/>
        <sz val="11.0"/>
      </rPr>
      <t>MADS SOGAARD</t>
    </r>
  </si>
  <si>
    <r>
      <rPr>
        <rFont val="&quot;Helvetica Neue&quot;, Helvetica, Arial, sans-serif"/>
        <color rgb="FF337AB7"/>
        <sz val="11.0"/>
      </rPr>
      <t>MICHAEL HUTCHINSON</t>
    </r>
  </si>
  <si>
    <r>
      <rPr>
        <rFont val="&quot;Helvetica Neue&quot;, Helvetica, Arial, sans-serif"/>
        <color rgb="FF337AB7"/>
        <sz val="11.0"/>
      </rPr>
      <t>COLLIN DELIA</t>
    </r>
  </si>
  <si>
    <r>
      <rPr>
        <rFont val="&quot;Helvetica Neue&quot;, Helvetica, Arial, sans-serif"/>
        <color rgb="FF337AB7"/>
        <sz val="11.0"/>
      </rPr>
      <t>CALLE CLANG</t>
    </r>
  </si>
  <si>
    <r>
      <rPr>
        <rFont val="&quot;Helvetica Neue&quot;, Helvetica, Arial, sans-serif"/>
        <color rgb="FF337AB7"/>
        <sz val="11.0"/>
      </rPr>
      <t>JAXSON STAUBER</t>
    </r>
  </si>
  <si>
    <r>
      <rPr>
        <rFont val="&quot;Helvetica Neue&quot;, Helvetica, Arial, sans-serif"/>
        <color rgb="FF337AB7"/>
        <sz val="11.0"/>
      </rPr>
      <t>MATTHEW MURRAY</t>
    </r>
  </si>
  <si>
    <r>
      <rPr>
        <rFont val="&quot;Helvetica Neue&quot;, Helvetica, Arial, sans-serif"/>
        <color rgb="FF337AB7"/>
        <sz val="11.0"/>
      </rPr>
      <t>MAGNUS CHRONA</t>
    </r>
  </si>
  <si>
    <r>
      <rPr>
        <rFont val="&quot;Helvetica Neue&quot;, Helvetica, Arial, sans-serif"/>
        <color rgb="FF337AB7"/>
        <sz val="11.0"/>
      </rPr>
      <t>MICHAEL DIPIETRO</t>
    </r>
  </si>
  <si>
    <r>
      <rPr>
        <rFont val="&quot;Helvetica Neue&quot;, Helvetica, Arial, sans-serif"/>
        <color rgb="FF337AB7"/>
        <sz val="11.0"/>
      </rPr>
      <t>TROY GROSENICK</t>
    </r>
  </si>
  <si>
    <r>
      <rPr>
        <rFont val="&quot;Helvetica Neue&quot;, Helvetica, Arial, sans-serif"/>
        <color rgb="FF337AB7"/>
        <sz val="11.0"/>
      </rPr>
      <t>HUGO ALNEFELT</t>
    </r>
  </si>
  <si>
    <r>
      <rPr>
        <rFont val="&quot;Helvetica Neue&quot;, Helvetica, Arial, sans-serif"/>
        <color rgb="FF337AB7"/>
        <sz val="11.0"/>
      </rPr>
      <t>TOMAS SUCHANEK</t>
    </r>
  </si>
  <si>
    <r>
      <rPr>
        <rFont val="&quot;Helvetica Neue&quot;, Helvetica, Arial, sans-serif"/>
        <color rgb="FF337AB7"/>
        <sz val="11.0"/>
      </rPr>
      <t>MATT TOMKINS</t>
    </r>
  </si>
  <si>
    <r>
      <rPr>
        <rFont val="&quot;Helvetica Neue&quot;, Helvetica, Arial, sans-serif"/>
        <color rgb="FF337AB7"/>
        <sz val="11.0"/>
      </rPr>
      <t>VADIM ZHERENKO</t>
    </r>
  </si>
  <si>
    <r>
      <rPr>
        <rFont val="&quot;Helvetica Neue&quot;, Helvetica, Arial, sans-serif"/>
        <color rgb="FF337AB7"/>
        <sz val="11.0"/>
      </rPr>
      <t>GEORGI ROMANOV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</si>
</sst>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#,##0.000"/>
    <numFmt numFmtId="166" formatCode="#,##0.0"/>
  </numFmts>
  <fonts count="12">
    <font>
      <sz val="10.0"/>
      <color rgb="FF000000"/>
      <name val="Arial"/>
      <scheme val="minor"/>
    </font>
    <font>
      <b/>
      <i/>
      <color theme="1"/>
      <name val="Arial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theme="1"/>
      <name val="Helvetica Neue"/>
    </font>
    <font>
      <sz val="10.0"/>
      <color rgb="FF000000"/>
      <name val="Arial"/>
    </font>
    <font>
      <sz val="11.0"/>
      <color rgb="FF333333"/>
      <name val="&quot;Helvetica Neue&quot;"/>
    </font>
    <font>
      <sz val="11.0"/>
      <color rgb="FF333333"/>
      <name val="Helvetica Neue"/>
    </font>
    <font>
      <sz val="11.0"/>
      <color rgb="FF000000"/>
      <name val="Helvetica Neue"/>
    </font>
    <font>
      <u/>
      <sz val="11.0"/>
      <color rgb="FF1155CC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3">
    <border/>
    <border>
      <right style="thin">
        <color rgb="FFDDDDDD"/>
      </right>
      <top style="thin">
        <color rgb="FFDDDDDD"/>
      </top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/>
    </xf>
    <xf borderId="0" fillId="0" fontId="4" numFmtId="4" xfId="0" applyAlignment="1" applyFont="1" applyNumberFormat="1">
      <alignment horizontal="right" vertical="bottom"/>
    </xf>
    <xf borderId="0" fillId="0" fontId="5" numFmtId="4" xfId="0" applyFont="1" applyNumberFormat="1"/>
    <xf borderId="0" fillId="3" fontId="4" numFmtId="4" xfId="0" applyAlignment="1" applyFill="1" applyFont="1" applyNumberFormat="1">
      <alignment horizontal="right" vertical="bottom"/>
    </xf>
    <xf borderId="0" fillId="2" fontId="4" numFmtId="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vertical="bottom"/>
    </xf>
    <xf borderId="0" fillId="4" fontId="4" numFmtId="0" xfId="0" applyAlignment="1" applyFill="1" applyFont="1">
      <alignment vertical="bottom"/>
    </xf>
    <xf borderId="0" fillId="4" fontId="4" numFmtId="0" xfId="0" applyAlignment="1" applyFont="1">
      <alignment horizontal="right" vertical="bottom"/>
    </xf>
    <xf borderId="0" fillId="4" fontId="4" numFmtId="164" xfId="0" applyAlignment="1" applyFont="1" applyNumberFormat="1">
      <alignment horizontal="right" vertical="bottom"/>
    </xf>
    <xf borderId="0" fillId="0" fontId="4" numFmtId="4" xfId="0" applyAlignment="1" applyFont="1" applyNumberFormat="1">
      <alignment vertical="bottom"/>
    </xf>
    <xf borderId="0" fillId="0" fontId="4" numFmtId="164" xfId="0" applyAlignment="1" applyFont="1" applyNumberFormat="1">
      <alignment horizontal="right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164" xfId="0" applyAlignment="1" applyFont="1" applyNumberFormat="1">
      <alignment horizontal="right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  <xf borderId="0" fillId="0" fontId="5" numFmtId="164" xfId="0" applyFont="1" applyNumberFormat="1"/>
    <xf borderId="0" fillId="0" fontId="4" numFmtId="0" xfId="0" applyAlignment="1" applyFont="1">
      <alignment horizontal="right" readingOrder="0" vertical="bottom"/>
    </xf>
    <xf borderId="0" fillId="2" fontId="5" numFmtId="0" xfId="0" applyAlignment="1" applyFont="1">
      <alignment horizontal="center"/>
    </xf>
    <xf borderId="0" fillId="2" fontId="5" numFmtId="4" xfId="0" applyFont="1" applyNumberFormat="1"/>
    <xf borderId="0" fillId="0" fontId="5" numFmtId="3" xfId="0" applyFont="1" applyNumberFormat="1"/>
    <xf borderId="0" fillId="0" fontId="5" numFmtId="0" xfId="0" applyFont="1"/>
    <xf borderId="0" fillId="0" fontId="2" numFmtId="0" xfId="0" applyFont="1"/>
    <xf borderId="1" fillId="0" fontId="6" numFmtId="0" xfId="0" applyAlignment="1" applyBorder="1" applyFont="1">
      <alignment horizontal="center" vertical="top"/>
    </xf>
    <xf borderId="1" fillId="4" fontId="6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0" fillId="2" fontId="5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3" xfId="0" applyAlignment="1" applyFont="1" applyNumberFormat="1">
      <alignment readingOrder="0" vertical="bottom"/>
    </xf>
    <xf borderId="0" fillId="0" fontId="3" numFmtId="3" xfId="0" applyAlignment="1" applyFont="1" applyNumberFormat="1">
      <alignment vertical="bottom"/>
    </xf>
    <xf borderId="0" fillId="0" fontId="3" numFmtId="165" xfId="0" applyAlignment="1" applyFont="1" applyNumberFormat="1">
      <alignment readingOrder="0" vertical="bottom"/>
    </xf>
    <xf borderId="0" fillId="0" fontId="3" numFmtId="0" xfId="0" applyAlignment="1" applyFont="1">
      <alignment readingOrder="0"/>
    </xf>
    <xf borderId="0" fillId="0" fontId="4" numFmtId="165" xfId="0" applyAlignment="1" applyFont="1" applyNumberFormat="1">
      <alignment horizontal="right" vertical="bottom"/>
    </xf>
    <xf borderId="0" fillId="0" fontId="4" numFmtId="4" xfId="0" applyAlignment="1" applyFont="1" applyNumberFormat="1">
      <alignment horizontal="right"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4" numFmtId="166" xfId="0" applyAlignment="1" applyFont="1" applyNumberFormat="1">
      <alignment horizontal="right" vertical="bottom"/>
    </xf>
    <xf borderId="0" fillId="2" fontId="4" numFmtId="165" xfId="0" applyAlignment="1" applyFont="1" applyNumberFormat="1">
      <alignment horizontal="right" vertical="bottom"/>
    </xf>
    <xf borderId="0" fillId="0" fontId="7" numFmtId="4" xfId="0" applyFont="1" applyNumberFormat="1"/>
    <xf borderId="0" fillId="0" fontId="5" numFmtId="165" xfId="0" applyFont="1" applyNumberFormat="1"/>
    <xf borderId="0" fillId="0" fontId="5" numFmtId="4" xfId="0" applyAlignment="1" applyFont="1" applyNumberFormat="1">
      <alignment readingOrder="0"/>
    </xf>
    <xf borderId="0" fillId="0" fontId="4" numFmtId="165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readingOrder="0"/>
    </xf>
    <xf borderId="0" fillId="0" fontId="5" numFmtId="3" xfId="0" applyAlignment="1" applyFont="1" applyNumberFormat="1">
      <alignment readingOrder="0"/>
    </xf>
    <xf borderId="0" fillId="0" fontId="4" numFmtId="3" xfId="0" applyAlignment="1" applyFont="1" applyNumberFormat="1">
      <alignment vertical="bottom"/>
    </xf>
    <xf borderId="0" fillId="0" fontId="4" numFmtId="4" xfId="0" applyAlignment="1" applyFont="1" applyNumberFormat="1">
      <alignment readingOrder="0" vertical="bottom"/>
    </xf>
    <xf borderId="0" fillId="0" fontId="4" numFmtId="3" xfId="0" applyAlignment="1" applyFont="1" applyNumberFormat="1">
      <alignment readingOrder="0" vertical="bottom"/>
    </xf>
    <xf borderId="0" fillId="0" fontId="4" numFmtId="166" xfId="0" applyAlignment="1" applyFont="1" applyNumberFormat="1">
      <alignment vertical="bottom"/>
    </xf>
    <xf borderId="0" fillId="0" fontId="4" numFmtId="165" xfId="0" applyAlignment="1" applyFont="1" applyNumberFormat="1">
      <alignment readingOrder="0" vertical="bottom"/>
    </xf>
    <xf borderId="0" fillId="2" fontId="4" numFmtId="165" xfId="0" applyAlignment="1" applyFont="1" applyNumberFormat="1">
      <alignment vertical="bottom"/>
    </xf>
    <xf borderId="0" fillId="2" fontId="4" numFmtId="4" xfId="0" applyAlignment="1" applyFont="1" applyNumberFormat="1">
      <alignment vertical="bottom"/>
    </xf>
    <xf borderId="0" fillId="2" fontId="4" numFmtId="3" xfId="0" applyAlignment="1" applyFont="1" applyNumberFormat="1">
      <alignment vertical="bottom"/>
    </xf>
    <xf borderId="0" fillId="2" fontId="5" numFmtId="0" xfId="0" applyFont="1"/>
    <xf borderId="0" fillId="2" fontId="4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horizontal="center" readingOrder="0" vertical="top"/>
    </xf>
    <xf borderId="1" fillId="0" fontId="6" numFmtId="0" xfId="0" applyAlignment="1" applyBorder="1" applyFont="1">
      <alignment horizontal="center" vertical="top"/>
    </xf>
    <xf borderId="1" fillId="0" fontId="8" numFmtId="0" xfId="0" applyAlignment="1" applyBorder="1" applyFont="1">
      <alignment horizontal="center" readingOrder="0" vertical="top"/>
    </xf>
    <xf borderId="1" fillId="0" fontId="9" numFmtId="4" xfId="0" applyAlignment="1" applyBorder="1" applyFont="1" applyNumberFormat="1">
      <alignment horizontal="center" vertical="top"/>
    </xf>
    <xf borderId="1" fillId="0" fontId="9" numFmtId="0" xfId="0" applyAlignment="1" applyBorder="1" applyFont="1">
      <alignment horizontal="center" vertical="top"/>
    </xf>
    <xf borderId="1" fillId="0" fontId="9" numFmtId="0" xfId="0" applyAlignment="1" applyBorder="1" applyFont="1">
      <alignment horizontal="center" readingOrder="0" vertical="top"/>
    </xf>
    <xf borderId="1" fillId="0" fontId="8" numFmtId="4" xfId="0" applyAlignment="1" applyBorder="1" applyFont="1" applyNumberFormat="1">
      <alignment horizontal="center" readingOrder="0" vertical="top"/>
    </xf>
    <xf borderId="2" fillId="0" fontId="8" numFmtId="0" xfId="0" applyAlignment="1" applyBorder="1" applyFont="1">
      <alignment horizontal="center" readingOrder="0" vertical="top"/>
    </xf>
    <xf borderId="0" fillId="0" fontId="5" numFmtId="0" xfId="0" applyAlignment="1" applyFont="1">
      <alignment horizontal="center" readingOrder="0"/>
    </xf>
    <xf borderId="1" fillId="0" fontId="9" numFmtId="0" xfId="0" applyAlignment="1" applyBorder="1" applyFont="1">
      <alignment horizontal="center" vertical="top"/>
    </xf>
    <xf borderId="1" fillId="0" fontId="4" numFmtId="0" xfId="0" applyAlignment="1" applyBorder="1" applyFont="1">
      <alignment vertical="top"/>
    </xf>
    <xf borderId="1" fillId="0" fontId="10" numFmtId="0" xfId="0" applyAlignment="1" applyBorder="1" applyFont="1">
      <alignment horizontal="center" vertical="top"/>
    </xf>
    <xf borderId="1" fillId="2" fontId="8" numFmtId="0" xfId="0" applyAlignment="1" applyBorder="1" applyFont="1">
      <alignment horizontal="center" readingOrder="0" vertical="top"/>
    </xf>
    <xf borderId="1" fillId="2" fontId="9" numFmtId="0" xfId="0" applyAlignment="1" applyBorder="1" applyFont="1">
      <alignment horizontal="center" vertical="top"/>
    </xf>
    <xf borderId="1" fillId="0" fontId="11" numFmtId="0" xfId="0" applyAlignment="1" applyBorder="1" applyFont="1">
      <alignment horizontal="center" vertical="top"/>
    </xf>
    <xf borderId="1" fillId="2" fontId="9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chartsheet" Target="chartsheets/sheet2.xml"/><Relationship Id="rId10" Type="http://schemas.openxmlformats.org/officeDocument/2006/relationships/worksheet" Target="worksheets/sheet7.xml"/><Relationship Id="rId21" Type="http://schemas.openxmlformats.org/officeDocument/2006/relationships/chartsheet" Target="chartsheets/sheet1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Power Z Score Over Time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'2023-24'!$T$10:$W$10</c:f>
              <c:numCache/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'2023-24'!$T$3:$W$3</c:f>
              <c:numCache/>
            </c:numRef>
          </c:val>
          <c:smooth val="0"/>
        </c:ser>
        <c:ser>
          <c:idx val="2"/>
          <c:order val="2"/>
          <c:spPr>
            <a:ln cmpd="sng" w="19050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'2023-24'!$T$4:$W$4</c:f>
              <c:numCache/>
            </c:numRef>
          </c:val>
          <c:smooth val="0"/>
        </c:ser>
        <c:ser>
          <c:idx val="3"/>
          <c:order val="3"/>
          <c:spPr>
            <a:ln cmpd="sng" w="19050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'2023-24'!$T$5:$W$5</c:f>
              <c:numCache/>
            </c:numRef>
          </c:val>
          <c:smooth val="0"/>
        </c:ser>
        <c:ser>
          <c:idx val="4"/>
          <c:order val="4"/>
          <c:spPr>
            <a:ln cmpd="sng" w="19050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'2023-24'!$T$6:$W$6</c:f>
              <c:numCache/>
            </c:numRef>
          </c:val>
          <c:smooth val="0"/>
        </c:ser>
        <c:ser>
          <c:idx val="5"/>
          <c:order val="5"/>
          <c:spPr>
            <a:ln cmpd="sng" w="19050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'2023-24'!$T$7:$W$7</c:f>
              <c:numCache/>
            </c:numRef>
          </c:val>
          <c:smooth val="0"/>
        </c:ser>
        <c:ser>
          <c:idx val="6"/>
          <c:order val="6"/>
          <c:spPr>
            <a:ln cmpd="sng" w="19050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'2023-24'!$T$8:$W$8</c:f>
              <c:numCache/>
            </c:numRef>
          </c:val>
          <c:smooth val="0"/>
        </c:ser>
        <c:ser>
          <c:idx val="7"/>
          <c:order val="7"/>
          <c:spPr>
            <a:ln cmpd="sng" w="19050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'2023-24'!$T$9:$W$9</c:f>
              <c:numCache/>
            </c:numRef>
          </c:val>
          <c:smooth val="0"/>
        </c:ser>
        <c:ser>
          <c:idx val="8"/>
          <c:order val="8"/>
          <c:spPr>
            <a:ln cmpd="sng" w="19050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'2023-24'!$T$10:$W$10</c:f>
              <c:numCache/>
            </c:numRef>
          </c:val>
          <c:smooth val="0"/>
        </c:ser>
        <c:ser>
          <c:idx val="9"/>
          <c:order val="9"/>
          <c:spPr>
            <a:ln cmpd="sng" w="19050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'2023-24'!$T$11:$W$11</c:f>
              <c:numCache/>
            </c:numRef>
          </c:val>
          <c:smooth val="0"/>
        </c:ser>
        <c:ser>
          <c:idx val="10"/>
          <c:order val="10"/>
          <c:spPr>
            <a:ln cmpd="sng" w="19050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'2023-24'!$T$12:$W$12</c:f>
              <c:numCache/>
            </c:numRef>
          </c:val>
          <c:smooth val="0"/>
        </c:ser>
        <c:ser>
          <c:idx val="11"/>
          <c:order val="11"/>
          <c:spPr>
            <a:ln cmpd="sng" w="19050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'2023-24'!$T$13:$W$13</c:f>
              <c:numCache/>
            </c:numRef>
          </c:val>
          <c:smooth val="0"/>
        </c:ser>
        <c:ser>
          <c:idx val="12"/>
          <c:order val="12"/>
          <c:spPr>
            <a:ln cmpd="sng" w="19050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'2023-24'!$T$14:$W$14</c:f>
              <c:numCache/>
            </c:numRef>
          </c:val>
          <c:smooth val="0"/>
        </c:ser>
        <c:ser>
          <c:idx val="13"/>
          <c:order val="13"/>
          <c:spPr>
            <a:ln cmpd="sng" w="19050">
              <a:solidFill>
                <a:srgbClr val="F7B4AE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'2023-24'!$T$15:$W$15</c:f>
              <c:numCache/>
            </c:numRef>
          </c:val>
          <c:smooth val="0"/>
        </c:ser>
        <c:ser>
          <c:idx val="14"/>
          <c:order val="14"/>
          <c:spPr>
            <a:ln cmpd="sng" w="19050">
              <a:solidFill>
                <a:srgbClr val="FDE49B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'2023-24'!$T$16:$W$16</c:f>
              <c:numCache/>
            </c:numRef>
          </c:val>
          <c:smooth val="0"/>
        </c:ser>
        <c:ser>
          <c:idx val="15"/>
          <c:order val="15"/>
          <c:spPr>
            <a:ln cmpd="sng" w="19050">
              <a:solidFill>
                <a:srgbClr val="AEDCBA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'2023-24'!$T$17:$W$17</c:f>
              <c:numCache/>
            </c:numRef>
          </c:val>
          <c:smooth val="0"/>
        </c:ser>
        <c:ser>
          <c:idx val="16"/>
          <c:order val="16"/>
          <c:spPr>
            <a:ln cmpd="sng" w="19050">
              <a:solidFill>
                <a:srgbClr val="FFC599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'2023-24'!$T$18:$W$18</c:f>
              <c:numCache/>
            </c:numRef>
          </c:val>
          <c:smooth val="0"/>
        </c:ser>
        <c:ser>
          <c:idx val="17"/>
          <c:order val="17"/>
          <c:spPr>
            <a:ln cmpd="sng" w="19050">
              <a:solidFill>
                <a:srgbClr val="B5E5E8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'2023-24'!$T$19:$W$19</c:f>
              <c:numCache/>
            </c:numRef>
          </c:val>
          <c:smooth val="0"/>
        </c:ser>
        <c:ser>
          <c:idx val="18"/>
          <c:order val="18"/>
          <c:spPr>
            <a:ln cmpd="sng" w="19050">
              <a:solidFill>
                <a:srgbClr val="ECF3FE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'2023-24'!$T$20:$W$20</c:f>
              <c:numCache/>
            </c:numRef>
          </c:val>
          <c:smooth val="0"/>
        </c:ser>
        <c:ser>
          <c:idx val="19"/>
          <c:order val="19"/>
          <c:spPr>
            <a:ln cmpd="sng" w="19050">
              <a:solidFill>
                <a:srgbClr val="FDECEB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'2023-24'!$T$21:$W$21</c:f>
              <c:numCache/>
            </c:numRef>
          </c:val>
          <c:smooth val="0"/>
        </c:ser>
        <c:ser>
          <c:idx val="20"/>
          <c:order val="20"/>
          <c:spPr>
            <a:ln cmpd="sng" w="19050">
              <a:solidFill>
                <a:srgbClr val="FFF8E6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'2023-24'!$T$22:$W$22</c:f>
              <c:numCache/>
            </c:numRef>
          </c:val>
          <c:smooth val="0"/>
        </c:ser>
        <c:ser>
          <c:idx val="21"/>
          <c:order val="21"/>
          <c:spPr>
            <a:ln cmpd="sng" w="19050">
              <a:solidFill>
                <a:srgbClr val="EBF6EE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'2023-24'!$T$23:$W$23</c:f>
              <c:numCache/>
            </c:numRef>
          </c:val>
          <c:smooth val="0"/>
        </c:ser>
        <c:ser>
          <c:idx val="22"/>
          <c:order val="22"/>
          <c:spPr>
            <a:ln cmpd="sng" w="19050">
              <a:solidFill>
                <a:srgbClr val="FFF0E6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'2023-24'!$T$24:$W$24</c:f>
              <c:numCache/>
            </c:numRef>
          </c:val>
          <c:smooth val="0"/>
        </c:ser>
        <c:ser>
          <c:idx val="23"/>
          <c:order val="23"/>
          <c:spPr>
            <a:ln cmpd="sng" w="19050">
              <a:solidFill>
                <a:srgbClr val="EDF8F9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'2023-24'!$T$25:$W$25</c:f>
              <c:numCache/>
            </c:numRef>
          </c:val>
          <c:smooth val="0"/>
        </c:ser>
        <c:ser>
          <c:idx val="24"/>
          <c:order val="24"/>
          <c:spPr>
            <a:ln cmpd="sng" w="19050">
              <a:solidFill>
                <a:srgbClr val="251701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'2023-24'!$T$26:$W$26</c:f>
              <c:numCache/>
            </c:numRef>
          </c:val>
          <c:smooth val="0"/>
        </c:ser>
        <c:ser>
          <c:idx val="25"/>
          <c:order val="25"/>
          <c:spPr>
            <a:ln cmpd="sng" w="19050">
              <a:solidFill>
                <a:srgbClr val="032527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'2023-24'!$T$27:$W$27</c:f>
              <c:numCache/>
            </c:numRef>
          </c:val>
          <c:smooth val="0"/>
        </c:ser>
        <c:ser>
          <c:idx val="26"/>
          <c:order val="26"/>
          <c:spPr>
            <a:ln cmpd="sng" w="19050">
              <a:solidFill>
                <a:srgbClr val="000C31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'2023-24'!$T$28:$W$28</c:f>
              <c:numCache/>
            </c:numRef>
          </c:val>
          <c:smooth val="0"/>
        </c:ser>
        <c:ser>
          <c:idx val="27"/>
          <c:order val="27"/>
          <c:spPr>
            <a:ln cmpd="sng" w="19050">
              <a:solidFill>
                <a:srgbClr val="281021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'2023-24'!$T$29:$W$29</c:f>
              <c:numCache/>
            </c:numRef>
          </c:val>
          <c:smooth val="0"/>
        </c:ser>
        <c:ser>
          <c:idx val="28"/>
          <c:order val="28"/>
          <c:spPr>
            <a:ln cmpd="sng" w="19050">
              <a:solidFill>
                <a:srgbClr val="FF1C32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'2023-24'!$T$30:$W$30</c:f>
              <c:numCache/>
            </c:numRef>
          </c:val>
          <c:smooth val="0"/>
        </c:ser>
        <c:ser>
          <c:idx val="29"/>
          <c:order val="29"/>
          <c:spPr>
            <a:ln cmpd="sng" w="19050">
              <a:solidFill>
                <a:srgbClr val="240C0A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'2023-24'!$T$31:$W$31</c:f>
              <c:numCache/>
            </c:numRef>
          </c:val>
          <c:smooth val="0"/>
        </c:ser>
        <c:ser>
          <c:idx val="30"/>
          <c:order val="30"/>
          <c:spPr>
            <a:ln cmpd="sng" w="19050">
              <a:solidFill>
                <a:srgbClr val="5E3C05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'2023-24'!$T$32:$W$32</c:f>
              <c:numCache/>
            </c:numRef>
          </c:val>
          <c:smooth val="0"/>
        </c:ser>
        <c:ser>
          <c:idx val="31"/>
          <c:order val="31"/>
          <c:spPr>
            <a:ln cmpd="sng" w="19050">
              <a:solidFill>
                <a:srgbClr val="0A5D64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'2023-24'!$T$33:$W$33</c:f>
              <c:numCache/>
            </c:numRef>
          </c:val>
          <c:smooth val="0"/>
        </c:ser>
        <c:ser>
          <c:idx val="32"/>
          <c:order val="32"/>
          <c:spPr>
            <a:ln cmpd="sng" w="19050">
              <a:solidFill>
                <a:srgbClr val="01217D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'2023-24'!$T$34:$W$34</c:f>
              <c:numCache/>
            </c:numRef>
          </c:val>
          <c:smooth val="0"/>
        </c:ser>
        <c:ser>
          <c:idx val="33"/>
          <c:order val="33"/>
          <c:spPr>
            <a:ln cmpd="sng" w="19050">
              <a:solidFill>
                <a:srgbClr val="652B55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'2023-24'!$T$35:$W$35</c:f>
              <c:numCache/>
            </c:numRef>
          </c:val>
          <c:smooth val="0"/>
        </c:ser>
        <c:ser>
          <c:idx val="34"/>
          <c:order val="34"/>
          <c:spPr>
            <a:ln cmpd="sng" w="19050">
              <a:solidFill>
                <a:srgbClr val="FF487E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'2023-24'!$T$36:$W$36</c:f>
              <c:numCache/>
            </c:numRef>
          </c:val>
          <c:smooth val="0"/>
        </c:ser>
        <c:ser>
          <c:idx val="35"/>
          <c:order val="35"/>
          <c:spPr>
            <a:ln cmpd="sng" w="19050">
              <a:solidFill>
                <a:srgbClr val="5C201C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'2023-24'!$T$37:$W$37</c:f>
              <c:numCache/>
            </c:numRef>
          </c:val>
          <c:smooth val="0"/>
        </c:ser>
        <c:ser>
          <c:idx val="36"/>
          <c:order val="36"/>
          <c:spPr>
            <a:ln cmpd="sng" w="19050">
              <a:solidFill>
                <a:srgbClr val="966108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'2023-24'!$T$38:$W$38</c:f>
              <c:numCache/>
            </c:numRef>
          </c:val>
          <c:smooth val="0"/>
        </c:ser>
        <c:ser>
          <c:idx val="37"/>
          <c:order val="37"/>
          <c:spPr>
            <a:ln cmpd="sng" w="19050">
              <a:solidFill>
                <a:srgbClr val="1095A1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'2023-24'!$T$39:$W$39</c:f>
              <c:numCache/>
            </c:numRef>
          </c:val>
          <c:smooth val="0"/>
        </c:ser>
        <c:ser>
          <c:idx val="38"/>
          <c:order val="38"/>
          <c:spPr>
            <a:ln cmpd="sng" w="19050">
              <a:solidFill>
                <a:srgbClr val="0235C8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'2023-24'!$T$40:$W$40</c:f>
              <c:numCache/>
            </c:numRef>
          </c:val>
          <c:smooth val="0"/>
        </c:ser>
        <c:ser>
          <c:idx val="39"/>
          <c:order val="39"/>
          <c:spPr>
            <a:ln cmpd="sng" w="19050">
              <a:solidFill>
                <a:srgbClr val="A14589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'2023-24'!$T$41:$W$41</c:f>
              <c:numCache/>
            </c:numRef>
          </c:val>
          <c:smooth val="0"/>
        </c:ser>
        <c:ser>
          <c:idx val="40"/>
          <c:order val="40"/>
          <c:spPr>
            <a:ln cmpd="sng" w="19050">
              <a:solidFill>
                <a:srgbClr val="FF74CA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'2023-24'!$T$42:$W$42</c:f>
              <c:numCache/>
            </c:numRef>
          </c:val>
          <c:smooth val="0"/>
        </c:ser>
        <c:ser>
          <c:idx val="41"/>
          <c:order val="41"/>
          <c:spPr>
            <a:ln cmpd="sng" w="19050">
              <a:solidFill>
                <a:srgbClr val="93342D"/>
              </a:solidFill>
            </a:ln>
          </c:spPr>
          <c:marker>
            <c:symbol val="none"/>
          </c:marker>
          <c:cat>
            <c:strRef>
              <c:f>'2023-24'!$T$1:$W$1</c:f>
            </c:strRef>
          </c:cat>
          <c:val>
            <c:numRef>
              <c:f>'2023-24'!$T$43:$W$43</c:f>
              <c:numCache/>
            </c:numRef>
          </c:val>
          <c:smooth val="0"/>
        </c:ser>
        <c:axId val="924280913"/>
        <c:axId val="58880384"/>
      </c:lineChart>
      <c:catAx>
        <c:axId val="9242809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880384"/>
      </c:catAx>
      <c:valAx>
        <c:axId val="588803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42809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Comparison in Normalized Average Z Score Per Season and Normalized Weighted Z Score Over Time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'2023-24'!$M$2:$N$2</c:f>
              <c:numCache/>
            </c:numRef>
          </c:val>
          <c:smooth val="1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'2023-24'!$M$3:$N$3</c:f>
              <c:numCache/>
            </c:numRef>
          </c:val>
          <c:smooth val="1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'2023-24'!$M$4:$N$4</c:f>
              <c:numCache/>
            </c:numRef>
          </c:val>
          <c:smooth val="1"/>
        </c:ser>
        <c:ser>
          <c:idx val="3"/>
          <c:order val="3"/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'2023-24'!$M$5:$N$5</c:f>
              <c:numCache/>
            </c:numRef>
          </c:val>
          <c:smooth val="1"/>
        </c:ser>
        <c:ser>
          <c:idx val="4"/>
          <c:order val="4"/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val>
            <c:numRef>
              <c:f>'2023-24'!$M$6:$N$6</c:f>
              <c:numCache/>
            </c:numRef>
          </c:val>
          <c:smooth val="1"/>
        </c:ser>
        <c:ser>
          <c:idx val="5"/>
          <c:order val="5"/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val>
            <c:numRef>
              <c:f>'2023-24'!$M$7:$N$7</c:f>
              <c:numCache/>
            </c:numRef>
          </c:val>
          <c:smooth val="1"/>
        </c:ser>
        <c:ser>
          <c:idx val="6"/>
          <c:order val="6"/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val>
            <c:numRef>
              <c:f>'2023-24'!$M$8:$N$8</c:f>
              <c:numCache/>
            </c:numRef>
          </c:val>
          <c:smooth val="1"/>
        </c:ser>
        <c:ser>
          <c:idx val="7"/>
          <c:order val="7"/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val>
            <c:numRef>
              <c:f>'2023-24'!$M$9:$N$9</c:f>
              <c:numCache/>
            </c:numRef>
          </c:val>
          <c:smooth val="1"/>
        </c:ser>
        <c:ser>
          <c:idx val="8"/>
          <c:order val="8"/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val>
            <c:numRef>
              <c:f>'2023-24'!$M$10:$N$10</c:f>
              <c:numCache/>
            </c:numRef>
          </c:val>
          <c:smooth val="1"/>
        </c:ser>
        <c:ser>
          <c:idx val="9"/>
          <c:order val="9"/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val>
            <c:numRef>
              <c:f>'2023-24'!$M$11:$N$11</c:f>
              <c:numCache/>
            </c:numRef>
          </c:val>
          <c:smooth val="1"/>
        </c:ser>
        <c:ser>
          <c:idx val="10"/>
          <c:order val="10"/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val>
            <c:numRef>
              <c:f>'2023-24'!$M$12:$N$12</c:f>
              <c:numCache/>
            </c:numRef>
          </c:val>
          <c:smooth val="1"/>
        </c:ser>
        <c:ser>
          <c:idx val="11"/>
          <c:order val="11"/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val>
            <c:numRef>
              <c:f>'2023-24'!$M$13:$N$13</c:f>
              <c:numCache/>
            </c:numRef>
          </c:val>
          <c:smooth val="1"/>
        </c:ser>
        <c:ser>
          <c:idx val="12"/>
          <c:order val="12"/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val>
            <c:numRef>
              <c:f>'2023-24'!$M$14:$N$14</c:f>
              <c:numCache/>
            </c:numRef>
          </c:val>
          <c:smooth val="1"/>
        </c:ser>
        <c:ser>
          <c:idx val="13"/>
          <c:order val="13"/>
          <c:spPr>
            <a:ln cmpd="sng">
              <a:solidFill>
                <a:srgbClr val="F7B4AE"/>
              </a:solidFill>
            </a:ln>
          </c:spPr>
          <c:marker>
            <c:symbol val="none"/>
          </c:marker>
          <c:val>
            <c:numRef>
              <c:f>'2023-24'!$M$15:$N$15</c:f>
              <c:numCache/>
            </c:numRef>
          </c:val>
          <c:smooth val="1"/>
        </c:ser>
        <c:ser>
          <c:idx val="14"/>
          <c:order val="14"/>
          <c:spPr>
            <a:ln cmpd="sng">
              <a:solidFill>
                <a:srgbClr val="FDE49B"/>
              </a:solidFill>
            </a:ln>
          </c:spPr>
          <c:marker>
            <c:symbol val="none"/>
          </c:marker>
          <c:val>
            <c:numRef>
              <c:f>'2023-24'!$M$16:$N$16</c:f>
              <c:numCache/>
            </c:numRef>
          </c:val>
          <c:smooth val="1"/>
        </c:ser>
        <c:ser>
          <c:idx val="15"/>
          <c:order val="15"/>
          <c:spPr>
            <a:ln cmpd="sng">
              <a:solidFill>
                <a:srgbClr val="AEDCBA"/>
              </a:solidFill>
            </a:ln>
          </c:spPr>
          <c:marker>
            <c:symbol val="none"/>
          </c:marker>
          <c:val>
            <c:numRef>
              <c:f>'2023-24'!$M$17:$N$17</c:f>
              <c:numCache/>
            </c:numRef>
          </c:val>
          <c:smooth val="1"/>
        </c:ser>
        <c:ser>
          <c:idx val="16"/>
          <c:order val="16"/>
          <c:spPr>
            <a:ln cmpd="sng">
              <a:solidFill>
                <a:srgbClr val="FFC599"/>
              </a:solidFill>
            </a:ln>
          </c:spPr>
          <c:marker>
            <c:symbol val="none"/>
          </c:marker>
          <c:val>
            <c:numRef>
              <c:f>'2023-24'!$M$18:$N$18</c:f>
              <c:numCache/>
            </c:numRef>
          </c:val>
          <c:smooth val="1"/>
        </c:ser>
        <c:ser>
          <c:idx val="17"/>
          <c:order val="17"/>
          <c:spPr>
            <a:ln cmpd="sng">
              <a:solidFill>
                <a:srgbClr val="B5E5E8"/>
              </a:solidFill>
            </a:ln>
          </c:spPr>
          <c:marker>
            <c:symbol val="none"/>
          </c:marker>
          <c:val>
            <c:numRef>
              <c:f>'2023-24'!$M$19:$N$19</c:f>
              <c:numCache/>
            </c:numRef>
          </c:val>
          <c:smooth val="1"/>
        </c:ser>
        <c:ser>
          <c:idx val="18"/>
          <c:order val="18"/>
          <c:spPr>
            <a:ln cmpd="sng">
              <a:solidFill>
                <a:srgbClr val="ECF3FE"/>
              </a:solidFill>
            </a:ln>
          </c:spPr>
          <c:marker>
            <c:symbol val="none"/>
          </c:marker>
          <c:val>
            <c:numRef>
              <c:f>'2023-24'!$M$20:$N$20</c:f>
              <c:numCache/>
            </c:numRef>
          </c:val>
          <c:smooth val="1"/>
        </c:ser>
        <c:ser>
          <c:idx val="19"/>
          <c:order val="19"/>
          <c:spPr>
            <a:ln cmpd="sng">
              <a:solidFill>
                <a:srgbClr val="FDECEB"/>
              </a:solidFill>
            </a:ln>
          </c:spPr>
          <c:marker>
            <c:symbol val="none"/>
          </c:marker>
          <c:val>
            <c:numRef>
              <c:f>'2023-24'!$M$21:$N$21</c:f>
              <c:numCache/>
            </c:numRef>
          </c:val>
          <c:smooth val="1"/>
        </c:ser>
        <c:ser>
          <c:idx val="20"/>
          <c:order val="20"/>
          <c:spPr>
            <a:ln cmpd="sng">
              <a:solidFill>
                <a:srgbClr val="FFF8E6"/>
              </a:solidFill>
            </a:ln>
          </c:spPr>
          <c:marker>
            <c:symbol val="none"/>
          </c:marker>
          <c:val>
            <c:numRef>
              <c:f>'2023-24'!$M$22:$N$22</c:f>
              <c:numCache/>
            </c:numRef>
          </c:val>
          <c:smooth val="1"/>
        </c:ser>
        <c:ser>
          <c:idx val="21"/>
          <c:order val="21"/>
          <c:spPr>
            <a:ln cmpd="sng">
              <a:solidFill>
                <a:srgbClr val="EBF6EE"/>
              </a:solidFill>
            </a:ln>
          </c:spPr>
          <c:marker>
            <c:symbol val="none"/>
          </c:marker>
          <c:val>
            <c:numRef>
              <c:f>'2023-24'!$M$23:$N$23</c:f>
              <c:numCache/>
            </c:numRef>
          </c:val>
          <c:smooth val="1"/>
        </c:ser>
        <c:ser>
          <c:idx val="22"/>
          <c:order val="22"/>
          <c:spPr>
            <a:ln cmpd="sng">
              <a:solidFill>
                <a:srgbClr val="FFF0E6"/>
              </a:solidFill>
            </a:ln>
          </c:spPr>
          <c:marker>
            <c:symbol val="none"/>
          </c:marker>
          <c:val>
            <c:numRef>
              <c:f>'2023-24'!$M$24:$N$24</c:f>
              <c:numCache/>
            </c:numRef>
          </c:val>
          <c:smooth val="1"/>
        </c:ser>
        <c:ser>
          <c:idx val="23"/>
          <c:order val="23"/>
          <c:spPr>
            <a:ln cmpd="sng">
              <a:solidFill>
                <a:srgbClr val="EDF8F9"/>
              </a:solidFill>
            </a:ln>
          </c:spPr>
          <c:marker>
            <c:symbol val="none"/>
          </c:marker>
          <c:val>
            <c:numRef>
              <c:f>'2023-24'!$M$25:$N$25</c:f>
              <c:numCache/>
            </c:numRef>
          </c:val>
          <c:smooth val="1"/>
        </c:ser>
        <c:ser>
          <c:idx val="24"/>
          <c:order val="24"/>
          <c:spPr>
            <a:ln cmpd="sng">
              <a:solidFill>
                <a:srgbClr val="251701"/>
              </a:solidFill>
            </a:ln>
          </c:spPr>
          <c:marker>
            <c:symbol val="none"/>
          </c:marker>
          <c:val>
            <c:numRef>
              <c:f>'2023-24'!$M$26:$N$26</c:f>
              <c:numCache/>
            </c:numRef>
          </c:val>
          <c:smooth val="1"/>
        </c:ser>
        <c:ser>
          <c:idx val="25"/>
          <c:order val="25"/>
          <c:spPr>
            <a:ln cmpd="sng">
              <a:solidFill>
                <a:srgbClr val="032527"/>
              </a:solidFill>
            </a:ln>
          </c:spPr>
          <c:marker>
            <c:symbol val="none"/>
          </c:marker>
          <c:val>
            <c:numRef>
              <c:f>'2023-24'!$M$27:$N$27</c:f>
              <c:numCache/>
            </c:numRef>
          </c:val>
          <c:smooth val="1"/>
        </c:ser>
        <c:ser>
          <c:idx val="26"/>
          <c:order val="26"/>
          <c:spPr>
            <a:ln cmpd="sng">
              <a:solidFill>
                <a:srgbClr val="000C31"/>
              </a:solidFill>
            </a:ln>
          </c:spPr>
          <c:marker>
            <c:symbol val="none"/>
          </c:marker>
          <c:val>
            <c:numRef>
              <c:f>'2023-24'!$M$28:$N$28</c:f>
              <c:numCache/>
            </c:numRef>
          </c:val>
          <c:smooth val="1"/>
        </c:ser>
        <c:ser>
          <c:idx val="27"/>
          <c:order val="27"/>
          <c:spPr>
            <a:ln cmpd="sng">
              <a:solidFill>
                <a:srgbClr val="281021"/>
              </a:solidFill>
            </a:ln>
          </c:spPr>
          <c:marker>
            <c:symbol val="none"/>
          </c:marker>
          <c:val>
            <c:numRef>
              <c:f>'2023-24'!$M$29:$N$29</c:f>
              <c:numCache/>
            </c:numRef>
          </c:val>
          <c:smooth val="1"/>
        </c:ser>
        <c:ser>
          <c:idx val="28"/>
          <c:order val="28"/>
          <c:spPr>
            <a:ln cmpd="sng">
              <a:solidFill>
                <a:srgbClr val="FF1C32"/>
              </a:solidFill>
            </a:ln>
          </c:spPr>
          <c:marker>
            <c:symbol val="none"/>
          </c:marker>
          <c:val>
            <c:numRef>
              <c:f>'2023-24'!$M$30:$N$30</c:f>
              <c:numCache/>
            </c:numRef>
          </c:val>
          <c:smooth val="1"/>
        </c:ser>
        <c:ser>
          <c:idx val="29"/>
          <c:order val="29"/>
          <c:spPr>
            <a:ln cmpd="sng">
              <a:solidFill>
                <a:srgbClr val="240C0A"/>
              </a:solidFill>
            </a:ln>
          </c:spPr>
          <c:marker>
            <c:symbol val="none"/>
          </c:marker>
          <c:val>
            <c:numRef>
              <c:f>'2023-24'!$M$31:$N$31</c:f>
              <c:numCache/>
            </c:numRef>
          </c:val>
          <c:smooth val="1"/>
        </c:ser>
        <c:ser>
          <c:idx val="30"/>
          <c:order val="30"/>
          <c:spPr>
            <a:ln cmpd="sng">
              <a:solidFill>
                <a:srgbClr val="5E3C05"/>
              </a:solidFill>
            </a:ln>
          </c:spPr>
          <c:marker>
            <c:symbol val="none"/>
          </c:marker>
          <c:val>
            <c:numRef>
              <c:f>'2023-24'!$M$32:$N$32</c:f>
              <c:numCache/>
            </c:numRef>
          </c:val>
          <c:smooth val="1"/>
        </c:ser>
        <c:ser>
          <c:idx val="31"/>
          <c:order val="31"/>
          <c:spPr>
            <a:ln cmpd="sng">
              <a:solidFill>
                <a:srgbClr val="0A5D64"/>
              </a:solidFill>
            </a:ln>
          </c:spPr>
          <c:marker>
            <c:symbol val="none"/>
          </c:marker>
          <c:val>
            <c:numRef>
              <c:f>'2023-24'!$M$33:$N$33</c:f>
              <c:numCache/>
            </c:numRef>
          </c:val>
          <c:smooth val="1"/>
        </c:ser>
        <c:ser>
          <c:idx val="32"/>
          <c:order val="32"/>
          <c:spPr>
            <a:ln cmpd="sng">
              <a:solidFill>
                <a:srgbClr val="01217D"/>
              </a:solidFill>
            </a:ln>
          </c:spPr>
          <c:marker>
            <c:symbol val="none"/>
          </c:marker>
          <c:val>
            <c:numRef>
              <c:f>'2023-24'!$M$34:$N$34</c:f>
              <c:numCache/>
            </c:numRef>
          </c:val>
          <c:smooth val="1"/>
        </c:ser>
        <c:ser>
          <c:idx val="33"/>
          <c:order val="33"/>
          <c:spPr>
            <a:ln cmpd="sng">
              <a:solidFill>
                <a:srgbClr val="652B55"/>
              </a:solidFill>
            </a:ln>
          </c:spPr>
          <c:marker>
            <c:symbol val="none"/>
          </c:marker>
          <c:val>
            <c:numRef>
              <c:f>'2023-24'!$M$35:$N$35</c:f>
              <c:numCache/>
            </c:numRef>
          </c:val>
          <c:smooth val="1"/>
        </c:ser>
        <c:ser>
          <c:idx val="34"/>
          <c:order val="34"/>
          <c:spPr>
            <a:ln cmpd="sng">
              <a:solidFill>
                <a:srgbClr val="FF487E"/>
              </a:solidFill>
            </a:ln>
          </c:spPr>
          <c:marker>
            <c:symbol val="none"/>
          </c:marker>
          <c:val>
            <c:numRef>
              <c:f>'2023-24'!$M$36:$N$36</c:f>
              <c:numCache/>
            </c:numRef>
          </c:val>
          <c:smooth val="1"/>
        </c:ser>
        <c:ser>
          <c:idx val="35"/>
          <c:order val="35"/>
          <c:spPr>
            <a:ln cmpd="sng">
              <a:solidFill>
                <a:srgbClr val="5C201C"/>
              </a:solidFill>
            </a:ln>
          </c:spPr>
          <c:marker>
            <c:symbol val="none"/>
          </c:marker>
          <c:val>
            <c:numRef>
              <c:f>'2023-24'!$M$37:$N$37</c:f>
              <c:numCache/>
            </c:numRef>
          </c:val>
          <c:smooth val="1"/>
        </c:ser>
        <c:ser>
          <c:idx val="36"/>
          <c:order val="36"/>
          <c:spPr>
            <a:ln cmpd="sng">
              <a:solidFill>
                <a:srgbClr val="966108"/>
              </a:solidFill>
            </a:ln>
          </c:spPr>
          <c:marker>
            <c:symbol val="none"/>
          </c:marker>
          <c:val>
            <c:numRef>
              <c:f>'2023-24'!$M$38:$N$38</c:f>
              <c:numCache/>
            </c:numRef>
          </c:val>
          <c:smooth val="1"/>
        </c:ser>
        <c:ser>
          <c:idx val="37"/>
          <c:order val="37"/>
          <c:spPr>
            <a:ln cmpd="sng">
              <a:solidFill>
                <a:srgbClr val="1095A1"/>
              </a:solidFill>
            </a:ln>
          </c:spPr>
          <c:marker>
            <c:symbol val="none"/>
          </c:marker>
          <c:val>
            <c:numRef>
              <c:f>'2023-24'!$M$39:$N$39</c:f>
              <c:numCache/>
            </c:numRef>
          </c:val>
          <c:smooth val="1"/>
        </c:ser>
        <c:ser>
          <c:idx val="38"/>
          <c:order val="38"/>
          <c:spPr>
            <a:ln cmpd="sng">
              <a:solidFill>
                <a:srgbClr val="0235C8"/>
              </a:solidFill>
            </a:ln>
          </c:spPr>
          <c:marker>
            <c:symbol val="none"/>
          </c:marker>
          <c:val>
            <c:numRef>
              <c:f>'2023-24'!$M$40:$N$40</c:f>
              <c:numCache/>
            </c:numRef>
          </c:val>
          <c:smooth val="1"/>
        </c:ser>
        <c:ser>
          <c:idx val="39"/>
          <c:order val="39"/>
          <c:spPr>
            <a:ln cmpd="sng">
              <a:solidFill>
                <a:srgbClr val="A14589"/>
              </a:solidFill>
            </a:ln>
          </c:spPr>
          <c:marker>
            <c:symbol val="none"/>
          </c:marker>
          <c:val>
            <c:numRef>
              <c:f>'2023-24'!$M$41:$N$41</c:f>
              <c:numCache/>
            </c:numRef>
          </c:val>
          <c:smooth val="1"/>
        </c:ser>
        <c:ser>
          <c:idx val="40"/>
          <c:order val="40"/>
          <c:spPr>
            <a:ln cmpd="sng">
              <a:solidFill>
                <a:srgbClr val="FF74CA"/>
              </a:solidFill>
            </a:ln>
          </c:spPr>
          <c:marker>
            <c:symbol val="none"/>
          </c:marker>
          <c:val>
            <c:numRef>
              <c:f>'2023-24'!$M$42:$N$42</c:f>
              <c:numCache/>
            </c:numRef>
          </c:val>
          <c:smooth val="1"/>
        </c:ser>
        <c:ser>
          <c:idx val="41"/>
          <c:order val="41"/>
          <c:spPr>
            <a:ln cmpd="sng">
              <a:solidFill>
                <a:srgbClr val="93342D"/>
              </a:solidFill>
            </a:ln>
          </c:spPr>
          <c:marker>
            <c:symbol val="none"/>
          </c:marker>
          <c:val>
            <c:numRef>
              <c:f>'2023-24'!$M$43:$N$43</c:f>
              <c:numCache/>
            </c:numRef>
          </c:val>
          <c:smooth val="1"/>
        </c:ser>
        <c:axId val="432122383"/>
        <c:axId val="332971394"/>
      </c:lineChart>
      <c:catAx>
        <c:axId val="432122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2971394"/>
      </c:catAx>
      <c:valAx>
        <c:axId val="3329713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21223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9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4" width="7.38"/>
    <col customWidth="1" min="11" max="11" width="5.75"/>
    <col customWidth="1" min="16" max="16" width="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5</v>
      </c>
      <c r="H1" s="2" t="s">
        <v>6</v>
      </c>
      <c r="J1" s="2" t="s">
        <v>7</v>
      </c>
      <c r="L1" s="3"/>
      <c r="M1" s="3"/>
      <c r="N1" s="3"/>
      <c r="Q1" s="4" t="s">
        <v>8</v>
      </c>
      <c r="W1" s="5"/>
    </row>
    <row r="2">
      <c r="A2" s="6" t="s">
        <v>9</v>
      </c>
      <c r="B2" s="7">
        <f t="shared" ref="B2:B43" si="1">RANK(F2,$F$2:$F$43)</f>
        <v>27</v>
      </c>
      <c r="C2" s="7">
        <f t="shared" ref="C2:C43" si="2">RANK(G2,$G$2:$G$43)</f>
        <v>12</v>
      </c>
      <c r="D2" s="7">
        <f t="shared" ref="D2:D43" si="3">RANK(H2,$H$2:$H$43)</f>
        <v>14</v>
      </c>
      <c r="E2" s="8"/>
      <c r="F2" s="9">
        <f>'2023-24'!N2</f>
        <v>0.3984427379</v>
      </c>
      <c r="G2" s="10">
        <f>'M + T Totals'!C2</f>
        <v>0.5859680052</v>
      </c>
      <c r="H2" s="9">
        <f>'Method 3'!C2</f>
        <v>0.6171462279</v>
      </c>
      <c r="J2" s="9">
        <v>7.287927461139897</v>
      </c>
      <c r="Q2" s="11">
        <v>5.492642487046632</v>
      </c>
      <c r="T2" s="9"/>
      <c r="U2" s="9"/>
      <c r="V2" s="9"/>
      <c r="W2" s="8"/>
    </row>
    <row r="3">
      <c r="A3" s="6" t="s">
        <v>10</v>
      </c>
      <c r="B3" s="7">
        <f t="shared" si="1"/>
        <v>12</v>
      </c>
      <c r="C3" s="7">
        <f t="shared" si="2"/>
        <v>30</v>
      </c>
      <c r="D3" s="7">
        <f t="shared" si="3"/>
        <v>22</v>
      </c>
      <c r="E3" s="8"/>
      <c r="F3" s="9">
        <f>'2023-24'!N3</f>
        <v>0.6259142327</v>
      </c>
      <c r="G3" s="10">
        <f>'M + T Totals'!C3</f>
        <v>0.3958022843</v>
      </c>
      <c r="H3" s="9">
        <f>'Method 3'!C3</f>
        <v>0.5012251781</v>
      </c>
      <c r="J3" s="9">
        <v>13.969344262295081</v>
      </c>
      <c r="L3" s="6"/>
      <c r="M3" s="6"/>
      <c r="N3" s="12"/>
      <c r="Q3" s="11">
        <v>13.86172131147541</v>
      </c>
      <c r="T3" s="9"/>
      <c r="U3" s="9"/>
      <c r="V3" s="9"/>
      <c r="W3" s="8"/>
    </row>
    <row r="4">
      <c r="A4" s="6" t="s">
        <v>11</v>
      </c>
      <c r="B4" s="7">
        <f t="shared" si="1"/>
        <v>8</v>
      </c>
      <c r="C4" s="7">
        <f t="shared" si="2"/>
        <v>22</v>
      </c>
      <c r="D4" s="7">
        <f t="shared" si="3"/>
        <v>15</v>
      </c>
      <c r="E4" s="8"/>
      <c r="F4" s="9">
        <f>'2023-24'!N4</f>
        <v>0.7388936432</v>
      </c>
      <c r="G4" s="10">
        <f>'M + T Totals'!C4</f>
        <v>0.4915156528</v>
      </c>
      <c r="H4" s="9">
        <f>'Method 3'!C4</f>
        <v>0.6119062535</v>
      </c>
      <c r="J4" s="9">
        <v>7.168704663212434</v>
      </c>
      <c r="L4" s="6"/>
      <c r="M4" s="13"/>
      <c r="Q4" s="11">
        <v>7.36341968911917</v>
      </c>
      <c r="T4" s="9"/>
      <c r="U4" s="9"/>
      <c r="V4" s="9"/>
      <c r="W4" s="8"/>
    </row>
    <row r="5">
      <c r="A5" s="6" t="s">
        <v>12</v>
      </c>
      <c r="B5" s="7">
        <f t="shared" si="1"/>
        <v>4</v>
      </c>
      <c r="C5" s="7">
        <f t="shared" si="2"/>
        <v>3</v>
      </c>
      <c r="D5" s="7">
        <f t="shared" si="3"/>
        <v>3</v>
      </c>
      <c r="E5" s="8"/>
      <c r="F5" s="9">
        <f>'2023-24'!N5</f>
        <v>0.8444131403</v>
      </c>
      <c r="G5" s="10">
        <f>'M + T Totals'!C5</f>
        <v>0.9512737249</v>
      </c>
      <c r="H5" s="9">
        <f>'Method 3'!C5</f>
        <v>0.9806482549</v>
      </c>
      <c r="J5" s="9">
        <v>23.41099502487562</v>
      </c>
      <c r="L5" s="13"/>
      <c r="M5" s="6"/>
      <c r="Q5" s="11">
        <v>12.783681592039802</v>
      </c>
      <c r="T5" s="9"/>
      <c r="U5" s="9"/>
      <c r="V5" s="9"/>
      <c r="W5" s="8"/>
    </row>
    <row r="6">
      <c r="A6" s="6" t="s">
        <v>13</v>
      </c>
      <c r="B6" s="7">
        <f t="shared" si="1"/>
        <v>3</v>
      </c>
      <c r="C6" s="7">
        <f t="shared" si="2"/>
        <v>5</v>
      </c>
      <c r="D6" s="7">
        <f t="shared" si="3"/>
        <v>1</v>
      </c>
      <c r="E6" s="8"/>
      <c r="F6" s="9">
        <f>'2023-24'!N6</f>
        <v>0.8869242685</v>
      </c>
      <c r="G6" s="10">
        <f>'M + T Totals'!C6</f>
        <v>0.8216850984</v>
      </c>
      <c r="H6" s="9">
        <f>'Method 3'!C6</f>
        <v>1</v>
      </c>
      <c r="J6" s="9">
        <v>12.507424242424241</v>
      </c>
      <c r="L6" s="13"/>
      <c r="M6" s="6"/>
      <c r="N6" s="14"/>
      <c r="Q6" s="11">
        <v>13.480227272727271</v>
      </c>
      <c r="T6" s="9"/>
      <c r="U6" s="9"/>
      <c r="V6" s="9"/>
      <c r="W6" s="8"/>
    </row>
    <row r="7">
      <c r="A7" s="6" t="s">
        <v>14</v>
      </c>
      <c r="B7" s="7">
        <f t="shared" si="1"/>
        <v>14</v>
      </c>
      <c r="C7" s="7">
        <f t="shared" si="2"/>
        <v>27</v>
      </c>
      <c r="D7" s="7">
        <f t="shared" si="3"/>
        <v>26</v>
      </c>
      <c r="E7" s="8"/>
      <c r="F7" s="9">
        <f>'2023-24'!N7</f>
        <v>0.5828452054</v>
      </c>
      <c r="G7" s="10">
        <f>'M + T Totals'!C7</f>
        <v>0.4450571913</v>
      </c>
      <c r="H7" s="9">
        <f>'Method 3'!C7</f>
        <v>0.4564742383</v>
      </c>
      <c r="J7" s="9">
        <v>4.660734463276836</v>
      </c>
      <c r="L7" s="13"/>
      <c r="M7" s="6"/>
      <c r="Q7" s="11">
        <v>5.981638418079096</v>
      </c>
      <c r="T7" s="9"/>
      <c r="U7" s="9"/>
      <c r="V7" s="9"/>
      <c r="W7" s="8"/>
    </row>
    <row r="8">
      <c r="A8" s="6" t="s">
        <v>15</v>
      </c>
      <c r="B8" s="7">
        <f t="shared" si="1"/>
        <v>6</v>
      </c>
      <c r="C8" s="7">
        <f t="shared" si="2"/>
        <v>1</v>
      </c>
      <c r="D8" s="7">
        <f t="shared" si="3"/>
        <v>4</v>
      </c>
      <c r="E8" s="8"/>
      <c r="F8" s="9">
        <f>'2023-24'!N8</f>
        <v>0.7730814411</v>
      </c>
      <c r="G8" s="10">
        <f>'M + T Totals'!C8</f>
        <v>1</v>
      </c>
      <c r="H8" s="9">
        <f>'Method 3'!C8</f>
        <v>0.9661648557</v>
      </c>
      <c r="J8" s="9">
        <v>19.546320346320343</v>
      </c>
      <c r="Q8" s="11">
        <v>14.683982683982684</v>
      </c>
      <c r="T8" s="9"/>
      <c r="U8" s="9"/>
      <c r="V8" s="9"/>
      <c r="W8" s="8"/>
    </row>
    <row r="9">
      <c r="A9" s="6" t="s">
        <v>16</v>
      </c>
      <c r="B9" s="7">
        <f t="shared" si="1"/>
        <v>11</v>
      </c>
      <c r="C9" s="7">
        <f t="shared" si="2"/>
        <v>7</v>
      </c>
      <c r="D9" s="7">
        <f t="shared" si="3"/>
        <v>7</v>
      </c>
      <c r="E9" s="8"/>
      <c r="F9" s="9">
        <f>'2023-24'!N9</f>
        <v>0.6272928747</v>
      </c>
      <c r="G9" s="10">
        <f>'M + T Totals'!C9</f>
        <v>0.7620415079</v>
      </c>
      <c r="H9" s="9">
        <f>'Method 3'!C9</f>
        <v>0.8368549178</v>
      </c>
      <c r="J9" s="9">
        <v>25.863148936170212</v>
      </c>
      <c r="L9" s="15" t="s">
        <v>17</v>
      </c>
      <c r="M9" s="15" t="s">
        <v>18</v>
      </c>
      <c r="N9" s="15" t="s">
        <v>19</v>
      </c>
      <c r="O9" s="16" t="s">
        <v>20</v>
      </c>
      <c r="Q9" s="11">
        <v>19.202893617021275</v>
      </c>
      <c r="T9" s="9"/>
      <c r="U9" s="9"/>
      <c r="V9" s="9"/>
      <c r="W9" s="8"/>
    </row>
    <row r="10">
      <c r="A10" s="6" t="s">
        <v>21</v>
      </c>
      <c r="B10" s="7">
        <f t="shared" si="1"/>
        <v>21</v>
      </c>
      <c r="C10" s="7">
        <f t="shared" si="2"/>
        <v>38</v>
      </c>
      <c r="D10" s="7">
        <f t="shared" si="3"/>
        <v>36</v>
      </c>
      <c r="E10" s="8"/>
      <c r="F10" s="9">
        <f>'2023-24'!N10</f>
        <v>0.4905741149</v>
      </c>
      <c r="G10" s="10">
        <f>'M + T Totals'!C10</f>
        <v>0.2013129795</v>
      </c>
      <c r="H10" s="9">
        <f>'Method 3'!C10</f>
        <v>0.2640485012</v>
      </c>
      <c r="J10" s="9">
        <v>-2.5224137931034485</v>
      </c>
      <c r="L10" s="17" t="s">
        <v>7</v>
      </c>
      <c r="M10" s="17" t="s">
        <v>4</v>
      </c>
      <c r="N10" s="18">
        <v>0.4698</v>
      </c>
      <c r="O10" s="19">
        <f t="shared" ref="O10:O12" si="4">SQRT(N10)</f>
        <v>0.6854195795</v>
      </c>
      <c r="Q10" s="11">
        <v>1.6695172413793107</v>
      </c>
      <c r="T10" s="9"/>
      <c r="U10" s="9"/>
      <c r="V10" s="9"/>
      <c r="W10" s="8"/>
    </row>
    <row r="11">
      <c r="A11" s="6" t="s">
        <v>22</v>
      </c>
      <c r="B11" s="7">
        <f t="shared" si="1"/>
        <v>7</v>
      </c>
      <c r="C11" s="7">
        <f t="shared" si="2"/>
        <v>4</v>
      </c>
      <c r="D11" s="7">
        <f t="shared" si="3"/>
        <v>6</v>
      </c>
      <c r="E11" s="8"/>
      <c r="F11" s="9">
        <f>'2023-24'!N11</f>
        <v>0.7591078736</v>
      </c>
      <c r="G11" s="10">
        <f>'M + T Totals'!C11</f>
        <v>0.9009675636</v>
      </c>
      <c r="H11" s="9">
        <f>'Method 3'!C11</f>
        <v>0.872731963</v>
      </c>
      <c r="J11" s="9">
        <v>14.728709677419355</v>
      </c>
      <c r="L11" s="17" t="s">
        <v>7</v>
      </c>
      <c r="M11" s="17" t="s">
        <v>5</v>
      </c>
      <c r="N11" s="18">
        <v>0.7733</v>
      </c>
      <c r="O11" s="19">
        <f t="shared" si="4"/>
        <v>0.8793747779</v>
      </c>
      <c r="Q11" s="11">
        <v>7.005161290322581</v>
      </c>
      <c r="T11" s="9"/>
      <c r="U11" s="9"/>
      <c r="V11" s="9"/>
      <c r="W11" s="8"/>
    </row>
    <row r="12">
      <c r="A12" s="6" t="s">
        <v>23</v>
      </c>
      <c r="B12" s="7">
        <f t="shared" si="1"/>
        <v>26</v>
      </c>
      <c r="C12" s="7">
        <f t="shared" si="2"/>
        <v>14</v>
      </c>
      <c r="D12" s="7">
        <f t="shared" si="3"/>
        <v>12</v>
      </c>
      <c r="E12" s="8"/>
      <c r="F12" s="9">
        <f>'2023-24'!N12</f>
        <v>0.4569539022</v>
      </c>
      <c r="G12" s="10">
        <f>'M + T Totals'!C12</f>
        <v>0.5697866379</v>
      </c>
      <c r="H12" s="9">
        <f>'Method 3'!C12</f>
        <v>0.6375594461</v>
      </c>
      <c r="J12" s="9">
        <v>9.745348837209301</v>
      </c>
      <c r="L12" s="17" t="s">
        <v>7</v>
      </c>
      <c r="M12" s="17" t="s">
        <v>24</v>
      </c>
      <c r="N12" s="18">
        <v>0.7437</v>
      </c>
      <c r="O12" s="19">
        <f t="shared" si="4"/>
        <v>0.8623804265</v>
      </c>
      <c r="Q12" s="11">
        <v>9.468604651162789</v>
      </c>
      <c r="T12" s="9"/>
      <c r="U12" s="9"/>
      <c r="V12" s="9"/>
      <c r="W12" s="20"/>
    </row>
    <row r="13">
      <c r="A13" s="6" t="s">
        <v>25</v>
      </c>
      <c r="B13" s="7">
        <f t="shared" si="1"/>
        <v>9</v>
      </c>
      <c r="C13" s="7">
        <f t="shared" si="2"/>
        <v>15</v>
      </c>
      <c r="D13" s="7">
        <f t="shared" si="3"/>
        <v>13</v>
      </c>
      <c r="E13" s="8"/>
      <c r="F13" s="9">
        <f>'2023-24'!N13</f>
        <v>0.6591876075</v>
      </c>
      <c r="G13" s="10">
        <f>'M + T Totals'!C13</f>
        <v>0.5624788451</v>
      </c>
      <c r="H13" s="9">
        <f>'Method 3'!C13</f>
        <v>0.6276605037</v>
      </c>
      <c r="J13" s="9">
        <v>3.3539215686274506</v>
      </c>
      <c r="L13" s="6"/>
      <c r="M13" s="6"/>
      <c r="N13" s="12"/>
      <c r="O13" s="21"/>
      <c r="Q13" s="11">
        <v>2.9441176470588233</v>
      </c>
      <c r="T13" s="9"/>
      <c r="U13" s="9"/>
      <c r="V13" s="9"/>
      <c r="W13" s="20"/>
    </row>
    <row r="14">
      <c r="A14" s="6" t="s">
        <v>26</v>
      </c>
      <c r="B14" s="7">
        <f t="shared" si="1"/>
        <v>25</v>
      </c>
      <c r="C14" s="7">
        <f t="shared" si="2"/>
        <v>26</v>
      </c>
      <c r="D14" s="7">
        <f t="shared" si="3"/>
        <v>20</v>
      </c>
      <c r="E14" s="8"/>
      <c r="F14" s="9">
        <f>'2023-24'!N14</f>
        <v>0.4594496165</v>
      </c>
      <c r="G14" s="10">
        <f>'M + T Totals'!C14</f>
        <v>0.4513774711</v>
      </c>
      <c r="H14" s="9">
        <f>'Method 3'!C14</f>
        <v>0.5399990571</v>
      </c>
      <c r="J14" s="9">
        <v>-1.2201162790697682</v>
      </c>
      <c r="L14" s="22" t="s">
        <v>8</v>
      </c>
      <c r="M14" s="22" t="s">
        <v>4</v>
      </c>
      <c r="N14" s="23">
        <v>0.3536</v>
      </c>
      <c r="O14" s="24">
        <f t="shared" ref="O14:O16" si="5">SQRT(N14)</f>
        <v>0.5946427499</v>
      </c>
      <c r="Q14" s="11">
        <v>4.7752325581395345</v>
      </c>
      <c r="T14" s="9"/>
      <c r="U14" s="9"/>
      <c r="V14" s="9"/>
      <c r="W14" s="8"/>
    </row>
    <row r="15">
      <c r="A15" s="6" t="s">
        <v>27</v>
      </c>
      <c r="B15" s="7">
        <f t="shared" si="1"/>
        <v>15</v>
      </c>
      <c r="C15" s="7">
        <f t="shared" si="2"/>
        <v>32</v>
      </c>
      <c r="D15" s="7">
        <f t="shared" si="3"/>
        <v>21</v>
      </c>
      <c r="E15" s="8"/>
      <c r="F15" s="9">
        <f>'2023-24'!N15</f>
        <v>0.5824052255</v>
      </c>
      <c r="G15" s="10">
        <f>'M + T Totals'!C15</f>
        <v>0.3774354549</v>
      </c>
      <c r="H15" s="9">
        <f>'Method 3'!C15</f>
        <v>0.5029139203</v>
      </c>
      <c r="J15" s="9">
        <v>2.843301886792453</v>
      </c>
      <c r="L15" s="22" t="s">
        <v>8</v>
      </c>
      <c r="M15" s="22" t="s">
        <v>5</v>
      </c>
      <c r="N15" s="23">
        <v>0.6098</v>
      </c>
      <c r="O15" s="24">
        <f t="shared" si="5"/>
        <v>0.7808969202</v>
      </c>
      <c r="Q15" s="11">
        <v>4.492735849056604</v>
      </c>
      <c r="T15" s="9"/>
      <c r="U15" s="9"/>
      <c r="V15" s="9"/>
      <c r="W15" s="8"/>
    </row>
    <row r="16">
      <c r="A16" s="6" t="s">
        <v>28</v>
      </c>
      <c r="B16" s="7">
        <f t="shared" si="1"/>
        <v>34</v>
      </c>
      <c r="C16" s="7">
        <f t="shared" si="2"/>
        <v>28</v>
      </c>
      <c r="D16" s="7">
        <f t="shared" si="3"/>
        <v>31</v>
      </c>
      <c r="E16" s="8"/>
      <c r="F16" s="9">
        <f>'2023-24'!N16</f>
        <v>0.2168103194</v>
      </c>
      <c r="G16" s="10">
        <f>'M + T Totals'!C16</f>
        <v>0.4262070714</v>
      </c>
      <c r="H16" s="9">
        <f>'Method 3'!C16</f>
        <v>0.4330427663</v>
      </c>
      <c r="J16" s="9">
        <v>5.359898477157358</v>
      </c>
      <c r="L16" s="22" t="s">
        <v>8</v>
      </c>
      <c r="M16" s="25" t="s">
        <v>24</v>
      </c>
      <c r="N16" s="26">
        <v>0.6049</v>
      </c>
      <c r="O16" s="24">
        <f t="shared" si="5"/>
        <v>0.7777531742</v>
      </c>
      <c r="Q16" s="11">
        <v>6.6077664974619275</v>
      </c>
      <c r="T16" s="9"/>
      <c r="U16" s="9"/>
      <c r="V16" s="9"/>
      <c r="W16" s="8"/>
    </row>
    <row r="17">
      <c r="A17" s="6" t="s">
        <v>29</v>
      </c>
      <c r="B17" s="7">
        <f t="shared" si="1"/>
        <v>2</v>
      </c>
      <c r="C17" s="7">
        <f t="shared" si="2"/>
        <v>2</v>
      </c>
      <c r="D17" s="7">
        <f t="shared" si="3"/>
        <v>2</v>
      </c>
      <c r="E17" s="8"/>
      <c r="F17" s="9">
        <f>'2023-24'!N17</f>
        <v>0.9567057293</v>
      </c>
      <c r="G17" s="10">
        <f>'M + T Totals'!C17</f>
        <v>0.9779512687</v>
      </c>
      <c r="H17" s="9">
        <f>'Method 3'!C17</f>
        <v>0.9931645662</v>
      </c>
      <c r="J17" s="9">
        <v>25.2721875</v>
      </c>
      <c r="L17" s="15"/>
      <c r="M17" s="15"/>
      <c r="N17" s="27"/>
      <c r="O17" s="16"/>
      <c r="Q17" s="11">
        <v>19.049583333333334</v>
      </c>
      <c r="T17" s="9"/>
      <c r="U17" s="9"/>
      <c r="V17" s="9"/>
      <c r="W17" s="8"/>
    </row>
    <row r="18">
      <c r="A18" s="6" t="s">
        <v>30</v>
      </c>
      <c r="B18" s="7">
        <f t="shared" si="1"/>
        <v>33</v>
      </c>
      <c r="C18" s="7">
        <f t="shared" si="2"/>
        <v>18</v>
      </c>
      <c r="D18" s="7">
        <f t="shared" si="3"/>
        <v>24</v>
      </c>
      <c r="E18" s="8"/>
      <c r="F18" s="9">
        <f>'2023-24'!N18</f>
        <v>0.2357152494</v>
      </c>
      <c r="G18" s="10">
        <f>'M + T Totals'!C18</f>
        <v>0.531146307</v>
      </c>
      <c r="H18" s="9">
        <f>'Method 3'!C18</f>
        <v>0.4847483717</v>
      </c>
      <c r="J18" s="9">
        <v>5.103937007874016</v>
      </c>
      <c r="L18" s="6"/>
      <c r="M18" s="6"/>
      <c r="N18" s="12"/>
      <c r="O18" s="28"/>
      <c r="Q18" s="11">
        <v>6.07496062992126</v>
      </c>
      <c r="T18" s="9"/>
      <c r="U18" s="9"/>
      <c r="V18" s="9"/>
      <c r="W18" s="8"/>
    </row>
    <row r="19">
      <c r="A19" s="6" t="s">
        <v>31</v>
      </c>
      <c r="B19" s="7">
        <f t="shared" si="1"/>
        <v>35</v>
      </c>
      <c r="C19" s="7">
        <f t="shared" si="2"/>
        <v>41</v>
      </c>
      <c r="D19" s="7">
        <f t="shared" si="3"/>
        <v>41</v>
      </c>
      <c r="E19" s="8"/>
      <c r="F19" s="9">
        <f>'2023-24'!N19</f>
        <v>0.1302982152</v>
      </c>
      <c r="G19" s="10">
        <f>'M + T Totals'!C19</f>
        <v>0.09360661089</v>
      </c>
      <c r="H19" s="9">
        <f>'Method 3'!C19</f>
        <v>0.02420188998</v>
      </c>
      <c r="J19" s="9">
        <v>-9.074496644295301</v>
      </c>
      <c r="L19" s="6"/>
      <c r="M19" s="13"/>
      <c r="N19" s="29"/>
      <c r="O19" s="28"/>
      <c r="Q19" s="11">
        <v>-2.879060402684564</v>
      </c>
      <c r="T19" s="9"/>
      <c r="U19" s="9"/>
      <c r="V19" s="9"/>
      <c r="W19" s="8"/>
    </row>
    <row r="20">
      <c r="A20" s="6" t="s">
        <v>32</v>
      </c>
      <c r="B20" s="7">
        <f t="shared" si="1"/>
        <v>32</v>
      </c>
      <c r="C20" s="7">
        <f t="shared" si="2"/>
        <v>17</v>
      </c>
      <c r="D20" s="7">
        <f t="shared" si="3"/>
        <v>18</v>
      </c>
      <c r="E20" s="8"/>
      <c r="F20" s="9">
        <f>'2023-24'!N20</f>
        <v>0.2964267393</v>
      </c>
      <c r="G20" s="10">
        <f>'M + T Totals'!C20</f>
        <v>0.5494240935</v>
      </c>
      <c r="H20" s="9">
        <f>'Method 3'!C20</f>
        <v>0.551211057</v>
      </c>
      <c r="J20" s="9">
        <v>8.758125000000001</v>
      </c>
      <c r="L20" s="6"/>
      <c r="M20" s="6"/>
      <c r="N20" s="29"/>
      <c r="O20" s="28"/>
      <c r="Q20" s="11">
        <v>8.941875000000001</v>
      </c>
      <c r="T20" s="9"/>
      <c r="U20" s="9"/>
      <c r="V20" s="9"/>
      <c r="W20" s="8"/>
    </row>
    <row r="21">
      <c r="A21" s="6" t="s">
        <v>33</v>
      </c>
      <c r="B21" s="7">
        <f t="shared" si="1"/>
        <v>23</v>
      </c>
      <c r="C21" s="7">
        <f t="shared" si="2"/>
        <v>8</v>
      </c>
      <c r="D21" s="7">
        <f t="shared" si="3"/>
        <v>9</v>
      </c>
      <c r="E21" s="8"/>
      <c r="F21" s="9">
        <f>'2023-24'!N21</f>
        <v>0.4680346042</v>
      </c>
      <c r="G21" s="10">
        <f>'M + T Totals'!C21</f>
        <v>0.6676863926</v>
      </c>
      <c r="H21" s="9">
        <f>'Method 3'!C21</f>
        <v>0.6905923608</v>
      </c>
      <c r="J21" s="9">
        <v>11.21620879120879</v>
      </c>
      <c r="L21" s="6"/>
      <c r="M21" s="6"/>
      <c r="N21" s="12"/>
      <c r="O21" s="21"/>
      <c r="Q21" s="11">
        <v>6.976098901098901</v>
      </c>
      <c r="T21" s="9"/>
      <c r="U21" s="9"/>
      <c r="V21" s="9"/>
      <c r="W21" s="8"/>
    </row>
    <row r="22">
      <c r="A22" s="6" t="s">
        <v>34</v>
      </c>
      <c r="B22" s="7">
        <f t="shared" si="1"/>
        <v>18</v>
      </c>
      <c r="C22" s="7">
        <f t="shared" si="2"/>
        <v>10</v>
      </c>
      <c r="D22" s="7">
        <f t="shared" si="3"/>
        <v>10</v>
      </c>
      <c r="E22" s="8"/>
      <c r="F22" s="9">
        <f>'2023-24'!N22</f>
        <v>0.5414132514</v>
      </c>
      <c r="G22" s="10">
        <f>'M + T Totals'!C22</f>
        <v>0.6427856351</v>
      </c>
      <c r="H22" s="9">
        <f>'Method 3'!C22</f>
        <v>0.6437518036</v>
      </c>
      <c r="J22" s="9">
        <v>11.150434782608695</v>
      </c>
      <c r="L22" s="6"/>
      <c r="M22" s="6"/>
      <c r="N22" s="12"/>
      <c r="O22" s="21"/>
      <c r="Q22" s="11">
        <v>11.717391304347826</v>
      </c>
      <c r="T22" s="9"/>
      <c r="U22" s="9"/>
      <c r="V22" s="9"/>
      <c r="W22" s="8"/>
    </row>
    <row r="23">
      <c r="A23" s="6" t="s">
        <v>35</v>
      </c>
      <c r="B23" s="7">
        <f t="shared" si="1"/>
        <v>19</v>
      </c>
      <c r="C23" s="7">
        <f t="shared" si="2"/>
        <v>33</v>
      </c>
      <c r="D23" s="7">
        <f t="shared" si="3"/>
        <v>33</v>
      </c>
      <c r="E23" s="8"/>
      <c r="F23" s="9">
        <f>'2023-24'!N23</f>
        <v>0.5366624471</v>
      </c>
      <c r="G23" s="10">
        <f>'M + T Totals'!C23</f>
        <v>0.3706169324</v>
      </c>
      <c r="H23" s="9">
        <f>'Method 3'!C23</f>
        <v>0.3712527764</v>
      </c>
      <c r="J23" s="9">
        <v>-1.1019047619047617</v>
      </c>
      <c r="L23" s="6"/>
      <c r="M23" s="6"/>
      <c r="N23" s="12"/>
      <c r="O23" s="21"/>
      <c r="Q23" s="11">
        <v>-1.1019047619047617</v>
      </c>
      <c r="T23" s="9"/>
      <c r="U23" s="9"/>
      <c r="V23" s="9"/>
      <c r="W23" s="8"/>
    </row>
    <row r="24">
      <c r="A24" s="6" t="s">
        <v>36</v>
      </c>
      <c r="B24" s="7">
        <f t="shared" si="1"/>
        <v>17</v>
      </c>
      <c r="C24" s="7">
        <f t="shared" si="2"/>
        <v>29</v>
      </c>
      <c r="D24" s="7">
        <f t="shared" si="3"/>
        <v>23</v>
      </c>
      <c r="E24" s="8"/>
      <c r="F24" s="9">
        <f>'2023-24'!N24</f>
        <v>0.5634094109</v>
      </c>
      <c r="G24" s="10">
        <f>'M + T Totals'!C24</f>
        <v>0.4177124875</v>
      </c>
      <c r="H24" s="9">
        <f>'Method 3'!C24</f>
        <v>0.4889174398</v>
      </c>
      <c r="J24" s="9">
        <v>3.8103076923076924</v>
      </c>
      <c r="Q24" s="11">
        <v>3.5051794871794875</v>
      </c>
      <c r="T24" s="9"/>
      <c r="U24" s="9"/>
      <c r="V24" s="9"/>
      <c r="W24" s="8"/>
    </row>
    <row r="25">
      <c r="A25" s="6" t="s">
        <v>37</v>
      </c>
      <c r="B25" s="7">
        <f t="shared" si="1"/>
        <v>22</v>
      </c>
      <c r="C25" s="7">
        <f t="shared" si="2"/>
        <v>11</v>
      </c>
      <c r="D25" s="7">
        <f t="shared" si="3"/>
        <v>16</v>
      </c>
      <c r="E25" s="8"/>
      <c r="F25" s="9">
        <f>'2023-24'!N25</f>
        <v>0.4754909408</v>
      </c>
      <c r="G25" s="10">
        <f>'M + T Totals'!C25</f>
        <v>0.6275731595</v>
      </c>
      <c r="H25" s="9">
        <f>'Method 3'!C25</f>
        <v>0.5891654697</v>
      </c>
      <c r="J25" s="9">
        <v>14.611818181818181</v>
      </c>
      <c r="Q25" s="11">
        <v>14.611818181818181</v>
      </c>
      <c r="T25" s="9"/>
      <c r="U25" s="9"/>
      <c r="V25" s="9"/>
      <c r="W25" s="8"/>
    </row>
    <row r="26">
      <c r="A26" s="6" t="s">
        <v>38</v>
      </c>
      <c r="B26" s="7">
        <f t="shared" si="1"/>
        <v>24</v>
      </c>
      <c r="C26" s="7">
        <f t="shared" si="2"/>
        <v>19</v>
      </c>
      <c r="D26" s="7">
        <f t="shared" si="3"/>
        <v>19</v>
      </c>
      <c r="E26" s="8"/>
      <c r="F26" s="9">
        <f>'2023-24'!N26</f>
        <v>0.4636172214</v>
      </c>
      <c r="G26" s="10">
        <f>'M + T Totals'!C26</f>
        <v>0.5249309058</v>
      </c>
      <c r="H26" s="9">
        <f>'Method 3'!C26</f>
        <v>0.5458988865</v>
      </c>
      <c r="J26" s="9">
        <v>9.107230046948358</v>
      </c>
      <c r="Q26" s="11">
        <v>6.934929577464789</v>
      </c>
      <c r="T26" s="9"/>
      <c r="U26" s="9"/>
      <c r="V26" s="9"/>
      <c r="W26" s="8"/>
    </row>
    <row r="27">
      <c r="A27" s="6" t="s">
        <v>39</v>
      </c>
      <c r="B27" s="7">
        <f t="shared" si="1"/>
        <v>40</v>
      </c>
      <c r="C27" s="7">
        <f t="shared" si="2"/>
        <v>40</v>
      </c>
      <c r="D27" s="7">
        <f t="shared" si="3"/>
        <v>40</v>
      </c>
      <c r="E27" s="8"/>
      <c r="F27" s="9">
        <f>'2023-24'!N27</f>
        <v>0.08129020562</v>
      </c>
      <c r="G27" s="10">
        <f>'M + T Totals'!C27</f>
        <v>0.158342136</v>
      </c>
      <c r="H27" s="9">
        <f>'Method 3'!C27</f>
        <v>0.08739060174</v>
      </c>
      <c r="J27" s="9">
        <v>-2.4082631578947367</v>
      </c>
      <c r="Q27" s="11">
        <v>-0.39742105263157895</v>
      </c>
      <c r="T27" s="9"/>
      <c r="U27" s="9"/>
      <c r="V27" s="9"/>
      <c r="W27" s="8"/>
    </row>
    <row r="28">
      <c r="A28" s="6" t="s">
        <v>40</v>
      </c>
      <c r="B28" s="7">
        <f t="shared" si="1"/>
        <v>5</v>
      </c>
      <c r="C28" s="7">
        <f t="shared" si="2"/>
        <v>13</v>
      </c>
      <c r="D28" s="7">
        <f t="shared" si="3"/>
        <v>11</v>
      </c>
      <c r="E28" s="8"/>
      <c r="F28" s="9">
        <f>'2023-24'!N28</f>
        <v>0.8056274488</v>
      </c>
      <c r="G28" s="10">
        <f>'M + T Totals'!C28</f>
        <v>0.5807646903</v>
      </c>
      <c r="H28" s="9">
        <f>'Method 3'!C28</f>
        <v>0.6420300741</v>
      </c>
      <c r="J28" s="9">
        <v>4.597297297297297</v>
      </c>
      <c r="Q28" s="11">
        <v>5.577567567567568</v>
      </c>
      <c r="T28" s="9"/>
      <c r="U28" s="9"/>
      <c r="V28" s="9"/>
      <c r="W28" s="8"/>
    </row>
    <row r="29">
      <c r="A29" s="6" t="s">
        <v>41</v>
      </c>
      <c r="B29" s="7">
        <f t="shared" si="1"/>
        <v>20</v>
      </c>
      <c r="C29" s="7">
        <f t="shared" si="2"/>
        <v>16</v>
      </c>
      <c r="D29" s="7">
        <f t="shared" si="3"/>
        <v>25</v>
      </c>
      <c r="E29" s="8"/>
      <c r="F29" s="9">
        <f>'2023-24'!N29</f>
        <v>0.5219852437</v>
      </c>
      <c r="G29" s="10">
        <f>'M + T Totals'!C29</f>
        <v>0.5554534069</v>
      </c>
      <c r="H29" s="9">
        <f>'Method 3'!C29</f>
        <v>0.4833946314</v>
      </c>
      <c r="J29" s="9">
        <v>2.8030769230769232</v>
      </c>
      <c r="Q29" s="11">
        <v>3.226769230769231</v>
      </c>
      <c r="T29" s="9"/>
      <c r="U29" s="9"/>
      <c r="V29" s="9"/>
      <c r="W29" s="8"/>
    </row>
    <row r="30">
      <c r="A30" s="6" t="s">
        <v>42</v>
      </c>
      <c r="B30" s="7">
        <f t="shared" si="1"/>
        <v>36</v>
      </c>
      <c r="C30" s="7">
        <f t="shared" si="2"/>
        <v>37</v>
      </c>
      <c r="D30" s="7">
        <f t="shared" si="3"/>
        <v>38</v>
      </c>
      <c r="E30" s="8"/>
      <c r="F30" s="9">
        <f>'2023-24'!N30</f>
        <v>0.1195520513</v>
      </c>
      <c r="G30" s="10">
        <f>'M + T Totals'!C30</f>
        <v>0.2997793903</v>
      </c>
      <c r="H30" s="9">
        <f>'Method 3'!C30</f>
        <v>0.2065035568</v>
      </c>
      <c r="J30" s="9">
        <v>-2.453888888888889</v>
      </c>
      <c r="Q30" s="11">
        <v>3.9425396825396826</v>
      </c>
      <c r="T30" s="9"/>
      <c r="U30" s="9"/>
      <c r="V30" s="9"/>
      <c r="W30" s="8"/>
    </row>
    <row r="31">
      <c r="A31" s="6" t="s">
        <v>43</v>
      </c>
      <c r="B31" s="7">
        <f t="shared" si="1"/>
        <v>30</v>
      </c>
      <c r="C31" s="7">
        <f t="shared" si="2"/>
        <v>21</v>
      </c>
      <c r="D31" s="7">
        <f t="shared" si="3"/>
        <v>30</v>
      </c>
      <c r="E31" s="8"/>
      <c r="F31" s="9">
        <f>'2023-24'!N31</f>
        <v>0.3870787718</v>
      </c>
      <c r="G31" s="10">
        <f>'M + T Totals'!C31</f>
        <v>0.5053946798</v>
      </c>
      <c r="H31" s="9">
        <f>'Method 3'!C31</f>
        <v>0.4342643679</v>
      </c>
      <c r="J31" s="9">
        <v>3.013174603174603</v>
      </c>
      <c r="Q31" s="11">
        <v>3.013174603174603</v>
      </c>
      <c r="T31" s="9"/>
      <c r="U31" s="9"/>
      <c r="V31" s="9"/>
      <c r="W31" s="20"/>
    </row>
    <row r="32">
      <c r="A32" s="6" t="s">
        <v>44</v>
      </c>
      <c r="B32" s="7">
        <f t="shared" si="1"/>
        <v>10</v>
      </c>
      <c r="C32" s="7">
        <f t="shared" si="2"/>
        <v>9</v>
      </c>
      <c r="D32" s="7">
        <f t="shared" si="3"/>
        <v>8</v>
      </c>
      <c r="E32" s="8"/>
      <c r="F32" s="9">
        <f>'2023-24'!N32</f>
        <v>0.6572421278</v>
      </c>
      <c r="G32" s="10">
        <f>'M + T Totals'!C32</f>
        <v>0.6602422156</v>
      </c>
      <c r="H32" s="9">
        <f>'Method 3'!C32</f>
        <v>0.7060269284</v>
      </c>
      <c r="J32" s="9">
        <v>8.520909090909091</v>
      </c>
      <c r="Q32" s="11">
        <v>8.520909090909091</v>
      </c>
      <c r="T32" s="9"/>
      <c r="U32" s="9"/>
      <c r="V32" s="9"/>
      <c r="W32" s="8"/>
    </row>
    <row r="33">
      <c r="A33" s="6" t="s">
        <v>45</v>
      </c>
      <c r="B33" s="7">
        <f t="shared" si="1"/>
        <v>42</v>
      </c>
      <c r="C33" s="7">
        <f t="shared" si="2"/>
        <v>23</v>
      </c>
      <c r="D33" s="7">
        <f t="shared" si="3"/>
        <v>34</v>
      </c>
      <c r="E33" s="8"/>
      <c r="F33" s="9">
        <f>'2023-24'!N33</f>
        <v>0</v>
      </c>
      <c r="G33" s="10">
        <f>'M + T Totals'!C33</f>
        <v>0.469579234</v>
      </c>
      <c r="H33" s="9">
        <f>'Method 3'!C33</f>
        <v>0.3015150403</v>
      </c>
      <c r="J33" s="9">
        <v>7.339747899159666</v>
      </c>
      <c r="Q33" s="11">
        <v>11.97638655462185</v>
      </c>
      <c r="T33" s="9"/>
      <c r="U33" s="9"/>
      <c r="V33" s="9"/>
      <c r="W33" s="8"/>
    </row>
    <row r="34">
      <c r="A34" s="6" t="s">
        <v>46</v>
      </c>
      <c r="B34" s="7">
        <f t="shared" si="1"/>
        <v>1</v>
      </c>
      <c r="C34" s="7">
        <f t="shared" si="2"/>
        <v>6</v>
      </c>
      <c r="D34" s="7">
        <f t="shared" si="3"/>
        <v>5</v>
      </c>
      <c r="E34" s="8"/>
      <c r="F34" s="9">
        <f>'2023-24'!N34</f>
        <v>1</v>
      </c>
      <c r="G34" s="10">
        <f>'M + T Totals'!C34</f>
        <v>0.7660871272</v>
      </c>
      <c r="H34" s="9">
        <f>'Method 3'!C34</f>
        <v>0.8932620777</v>
      </c>
      <c r="J34" s="9">
        <v>17.336423841059602</v>
      </c>
      <c r="Q34" s="11">
        <v>18.26960264900662</v>
      </c>
      <c r="T34" s="9"/>
      <c r="U34" s="9"/>
      <c r="V34" s="9"/>
      <c r="W34" s="8"/>
    </row>
    <row r="35">
      <c r="A35" s="6" t="s">
        <v>47</v>
      </c>
      <c r="B35" s="7">
        <f t="shared" si="1"/>
        <v>38</v>
      </c>
      <c r="C35" s="7">
        <f t="shared" si="2"/>
        <v>42</v>
      </c>
      <c r="D35" s="7">
        <f t="shared" si="3"/>
        <v>42</v>
      </c>
      <c r="E35" s="8"/>
      <c r="F35" s="9">
        <f>'2023-24'!N35</f>
        <v>0.09192325581</v>
      </c>
      <c r="G35" s="10">
        <f>'M + T Totals'!C35</f>
        <v>0</v>
      </c>
      <c r="H35" s="9">
        <f>'Method 3'!C35</f>
        <v>0</v>
      </c>
      <c r="J35" s="9">
        <v>-6.910506329113925</v>
      </c>
      <c r="Q35" s="11">
        <v>-4.174177215189874</v>
      </c>
      <c r="T35" s="9"/>
      <c r="U35" s="9"/>
      <c r="V35" s="9"/>
      <c r="W35" s="8"/>
    </row>
    <row r="36">
      <c r="A36" s="6" t="s">
        <v>48</v>
      </c>
      <c r="B36" s="7">
        <f t="shared" si="1"/>
        <v>13</v>
      </c>
      <c r="C36" s="7">
        <f t="shared" si="2"/>
        <v>20</v>
      </c>
      <c r="D36" s="7">
        <f t="shared" si="3"/>
        <v>17</v>
      </c>
      <c r="E36" s="8"/>
      <c r="F36" s="9">
        <f>'2023-24'!N36</f>
        <v>0.6118754955</v>
      </c>
      <c r="G36" s="10">
        <f>'M + T Totals'!C36</f>
        <v>0.5095892777</v>
      </c>
      <c r="H36" s="9">
        <f>'Method 3'!C36</f>
        <v>0.5604156658</v>
      </c>
      <c r="J36" s="9">
        <v>1.768539325842697</v>
      </c>
      <c r="Q36" s="11">
        <v>-1.8474157303370786</v>
      </c>
      <c r="T36" s="9"/>
      <c r="U36" s="9"/>
      <c r="V36" s="9"/>
      <c r="W36" s="8"/>
    </row>
    <row r="37">
      <c r="A37" s="6" t="s">
        <v>49</v>
      </c>
      <c r="B37" s="7">
        <f t="shared" si="1"/>
        <v>29</v>
      </c>
      <c r="C37" s="7">
        <f t="shared" si="2"/>
        <v>31</v>
      </c>
      <c r="D37" s="7">
        <f t="shared" si="3"/>
        <v>29</v>
      </c>
      <c r="E37" s="8"/>
      <c r="F37" s="9">
        <f>'2023-24'!N37</f>
        <v>0.3871329199</v>
      </c>
      <c r="G37" s="10">
        <f>'M + T Totals'!C37</f>
        <v>0.3902407768</v>
      </c>
      <c r="H37" s="9">
        <f>'Method 3'!C37</f>
        <v>0.4345029227</v>
      </c>
      <c r="J37" s="9">
        <v>-3.3845925925925924</v>
      </c>
      <c r="Q37" s="11">
        <v>-0.6073333333333333</v>
      </c>
      <c r="T37" s="9"/>
      <c r="U37" s="9"/>
      <c r="V37" s="9"/>
      <c r="W37" s="8"/>
    </row>
    <row r="38">
      <c r="A38" s="6" t="s">
        <v>50</v>
      </c>
      <c r="B38" s="7">
        <f t="shared" si="1"/>
        <v>41</v>
      </c>
      <c r="C38" s="7">
        <f t="shared" si="2"/>
        <v>35</v>
      </c>
      <c r="D38" s="7">
        <f t="shared" si="3"/>
        <v>35</v>
      </c>
      <c r="E38" s="8"/>
      <c r="F38" s="9">
        <f>'2023-24'!N38</f>
        <v>0.07514396217</v>
      </c>
      <c r="G38" s="10">
        <f>'M + T Totals'!C38</f>
        <v>0.3625706162</v>
      </c>
      <c r="H38" s="9">
        <f>'Method 3'!C38</f>
        <v>0.2891266887</v>
      </c>
      <c r="J38" s="9">
        <v>-2.455714285714286</v>
      </c>
      <c r="Q38" s="11">
        <v>2.254</v>
      </c>
      <c r="T38" s="9"/>
      <c r="U38" s="9"/>
      <c r="V38" s="9"/>
      <c r="W38" s="8"/>
    </row>
    <row r="39">
      <c r="A39" s="6" t="s">
        <v>51</v>
      </c>
      <c r="B39" s="7">
        <f t="shared" si="1"/>
        <v>39</v>
      </c>
      <c r="C39" s="7">
        <f t="shared" si="2"/>
        <v>39</v>
      </c>
      <c r="D39" s="7">
        <f t="shared" si="3"/>
        <v>39</v>
      </c>
      <c r="E39" s="8"/>
      <c r="F39" s="9">
        <f>'2023-24'!N39</f>
        <v>0.08731575615</v>
      </c>
      <c r="G39" s="10">
        <f>'M + T Totals'!C39</f>
        <v>0.1811568696</v>
      </c>
      <c r="H39" s="9">
        <f>'Method 3'!C39</f>
        <v>0.1208630727</v>
      </c>
      <c r="J39" s="9">
        <v>-10.145333333333333</v>
      </c>
      <c r="Q39" s="11">
        <v>-6.668888888888889</v>
      </c>
      <c r="T39" s="9"/>
      <c r="U39" s="9"/>
      <c r="V39" s="9"/>
      <c r="W39" s="8"/>
    </row>
    <row r="40">
      <c r="A40" s="6" t="s">
        <v>52</v>
      </c>
      <c r="B40" s="7">
        <f t="shared" si="1"/>
        <v>31</v>
      </c>
      <c r="C40" s="7">
        <f t="shared" si="2"/>
        <v>34</v>
      </c>
      <c r="D40" s="7">
        <f t="shared" si="3"/>
        <v>32</v>
      </c>
      <c r="E40" s="8"/>
      <c r="F40" s="9">
        <f>'2023-24'!N40</f>
        <v>0.3761839665</v>
      </c>
      <c r="G40" s="10">
        <f>'M + T Totals'!C40</f>
        <v>0.3699539779</v>
      </c>
      <c r="H40" s="9">
        <f>'Method 3'!C40</f>
        <v>0.4173750543</v>
      </c>
      <c r="J40" s="9">
        <v>-5.719882352941178</v>
      </c>
      <c r="Q40" s="11">
        <v>1.1248235294117648</v>
      </c>
      <c r="T40" s="9"/>
      <c r="U40" s="9"/>
      <c r="V40" s="9"/>
      <c r="W40" s="8"/>
    </row>
    <row r="41">
      <c r="A41" s="6" t="s">
        <v>53</v>
      </c>
      <c r="B41" s="7">
        <f t="shared" si="1"/>
        <v>37</v>
      </c>
      <c r="C41" s="7">
        <f t="shared" si="2"/>
        <v>36</v>
      </c>
      <c r="D41" s="7">
        <f t="shared" si="3"/>
        <v>37</v>
      </c>
      <c r="E41" s="8"/>
      <c r="F41" s="9">
        <f>'2023-24'!N41</f>
        <v>0.1135568809</v>
      </c>
      <c r="G41" s="10">
        <f>'M + T Totals'!C41</f>
        <v>0.3218599879</v>
      </c>
      <c r="H41" s="9">
        <f>'Method 3'!C41</f>
        <v>0.2439066035</v>
      </c>
      <c r="J41" s="9">
        <v>-0.32378571428571434</v>
      </c>
      <c r="Q41" s="11">
        <v>-0.379</v>
      </c>
      <c r="T41" s="9"/>
      <c r="U41" s="9"/>
      <c r="V41" s="9"/>
      <c r="W41" s="8"/>
    </row>
    <row r="42">
      <c r="A42" s="6" t="s">
        <v>54</v>
      </c>
      <c r="B42" s="7">
        <f t="shared" si="1"/>
        <v>16</v>
      </c>
      <c r="C42" s="7">
        <f t="shared" si="2"/>
        <v>24</v>
      </c>
      <c r="D42" s="7">
        <f t="shared" si="3"/>
        <v>27</v>
      </c>
      <c r="E42" s="8"/>
      <c r="F42" s="9">
        <f>'2023-24'!N42</f>
        <v>0.5747595702</v>
      </c>
      <c r="G42" s="10">
        <f>'M + T Totals'!C42</f>
        <v>0.4537285478</v>
      </c>
      <c r="H42" s="9">
        <f>'Method 3'!C42</f>
        <v>0.4482439179</v>
      </c>
      <c r="J42" s="9">
        <v>9.047413793103448</v>
      </c>
      <c r="Q42" s="11">
        <v>3.9993103448275864</v>
      </c>
      <c r="T42" s="9"/>
      <c r="U42" s="9"/>
      <c r="V42" s="9"/>
      <c r="W42" s="8"/>
    </row>
    <row r="43">
      <c r="A43" s="6" t="s">
        <v>55</v>
      </c>
      <c r="B43" s="7">
        <f t="shared" si="1"/>
        <v>28</v>
      </c>
      <c r="C43" s="7">
        <f t="shared" si="2"/>
        <v>25</v>
      </c>
      <c r="D43" s="7">
        <f t="shared" si="3"/>
        <v>28</v>
      </c>
      <c r="E43" s="8"/>
      <c r="F43" s="9">
        <f>'2023-24'!N43</f>
        <v>0.3914239976</v>
      </c>
      <c r="G43" s="10">
        <f>'M + T Totals'!C43</f>
        <v>0.4528809243</v>
      </c>
      <c r="H43" s="9">
        <f>'Method 3'!C43</f>
        <v>0.4416665175</v>
      </c>
      <c r="J43" s="9">
        <v>-1.3322429906542057</v>
      </c>
      <c r="Q43" s="11">
        <v>-1.6598130841121495</v>
      </c>
      <c r="T43" s="9"/>
      <c r="U43" s="9"/>
      <c r="V43" s="9"/>
      <c r="W43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63"/>
    <col customWidth="1" min="3" max="3" width="7.88"/>
  </cols>
  <sheetData>
    <row r="1">
      <c r="A1" s="1" t="s">
        <v>0</v>
      </c>
      <c r="B1" s="2" t="s">
        <v>56</v>
      </c>
      <c r="C1" s="4" t="s">
        <v>57</v>
      </c>
      <c r="D1" s="2" t="s">
        <v>4</v>
      </c>
      <c r="E1" s="4" t="s">
        <v>5</v>
      </c>
      <c r="F1" s="2"/>
      <c r="G1" s="2" t="s">
        <v>58</v>
      </c>
      <c r="H1" s="2" t="s">
        <v>59</v>
      </c>
      <c r="I1" s="14" t="s">
        <v>60</v>
      </c>
      <c r="J1" s="14" t="s">
        <v>61</v>
      </c>
    </row>
    <row r="2">
      <c r="A2" s="6" t="s">
        <v>9</v>
      </c>
      <c r="B2" s="7">
        <f t="shared" ref="B2:B43" si="1">RANK(D2,$D$2:$D$43)</f>
        <v>27</v>
      </c>
      <c r="C2" s="30" t="str">
        <f t="shared" ref="C2:C43" si="2">RANK(E2,$E$2:$E$43)</f>
        <v>#REF!</v>
      </c>
      <c r="D2" s="9">
        <f>'2023-24'!N2</f>
        <v>0.3984427379</v>
      </c>
      <c r="E2" s="31" t="str">
        <f>('NHL Movement'!J2+'OLD NHL Tracking'!J2)/2</f>
        <v>#REF!</v>
      </c>
      <c r="F2" s="9"/>
      <c r="G2" s="32" t="str">
        <f t="shared" ref="G2:G43" si="3">RANK(H2,$H$2:$H$43)</f>
        <v>#N/A</v>
      </c>
      <c r="H2" s="9" t="str">
        <f>'NHL Movement'!P2</f>
        <v/>
      </c>
      <c r="I2" s="33" t="str">
        <f t="shared" ref="I2:I43" si="4">C2-B2</f>
        <v>#REF!</v>
      </c>
      <c r="J2" s="33" t="str">
        <f t="shared" ref="J2:J43" si="5">ABS(I2)</f>
        <v>#REF!</v>
      </c>
    </row>
    <row r="3">
      <c r="A3" s="6" t="s">
        <v>10</v>
      </c>
      <c r="B3" s="7">
        <f t="shared" si="1"/>
        <v>12</v>
      </c>
      <c r="C3" s="30" t="str">
        <f t="shared" si="2"/>
        <v>#REF!</v>
      </c>
      <c r="D3" s="9">
        <f>'2023-24'!N3</f>
        <v>0.6259142327</v>
      </c>
      <c r="E3" s="31" t="str">
        <f>('NHL Movement'!J3+'OLD NHL Tracking'!J3)/2</f>
        <v>#REF!</v>
      </c>
      <c r="F3" s="9"/>
      <c r="G3" s="32" t="str">
        <f t="shared" si="3"/>
        <v>#N/A</v>
      </c>
      <c r="H3" s="9" t="str">
        <f>'NHL Movement'!P3</f>
        <v/>
      </c>
      <c r="I3" s="33" t="str">
        <f t="shared" si="4"/>
        <v>#REF!</v>
      </c>
      <c r="J3" s="33" t="str">
        <f t="shared" si="5"/>
        <v>#REF!</v>
      </c>
    </row>
    <row r="4">
      <c r="A4" s="6" t="s">
        <v>11</v>
      </c>
      <c r="B4" s="7">
        <f t="shared" si="1"/>
        <v>8</v>
      </c>
      <c r="C4" s="30" t="str">
        <f t="shared" si="2"/>
        <v>#REF!</v>
      </c>
      <c r="D4" s="9">
        <f>'2023-24'!N4</f>
        <v>0.7388936432</v>
      </c>
      <c r="E4" s="31" t="str">
        <f>('NHL Movement'!J4+'OLD NHL Tracking'!J4)/2</f>
        <v>#REF!</v>
      </c>
      <c r="F4" s="9"/>
      <c r="G4" s="32" t="str">
        <f t="shared" si="3"/>
        <v>#N/A</v>
      </c>
      <c r="H4" s="9" t="str">
        <f>'NHL Movement'!P4</f>
        <v/>
      </c>
      <c r="I4" s="33" t="str">
        <f t="shared" si="4"/>
        <v>#REF!</v>
      </c>
      <c r="J4" s="33" t="str">
        <f t="shared" si="5"/>
        <v>#REF!</v>
      </c>
    </row>
    <row r="5">
      <c r="A5" s="6" t="s">
        <v>12</v>
      </c>
      <c r="B5" s="7">
        <f t="shared" si="1"/>
        <v>4</v>
      </c>
      <c r="C5" s="30" t="str">
        <f t="shared" si="2"/>
        <v>#REF!</v>
      </c>
      <c r="D5" s="9">
        <f>'2023-24'!N5</f>
        <v>0.8444131403</v>
      </c>
      <c r="E5" s="31" t="str">
        <f>('NHL Movement'!J5+'OLD NHL Tracking'!J5)/2</f>
        <v>#REF!</v>
      </c>
      <c r="F5" s="9"/>
      <c r="G5" s="32" t="str">
        <f t="shared" si="3"/>
        <v>#N/A</v>
      </c>
      <c r="H5" s="9" t="str">
        <f>'NHL Movement'!P5</f>
        <v/>
      </c>
      <c r="I5" s="33" t="str">
        <f t="shared" si="4"/>
        <v>#REF!</v>
      </c>
      <c r="J5" s="33" t="str">
        <f t="shared" si="5"/>
        <v>#REF!</v>
      </c>
    </row>
    <row r="6">
      <c r="A6" s="6" t="s">
        <v>13</v>
      </c>
      <c r="B6" s="7">
        <f t="shared" si="1"/>
        <v>3</v>
      </c>
      <c r="C6" s="30" t="str">
        <f t="shared" si="2"/>
        <v>#REF!</v>
      </c>
      <c r="D6" s="9">
        <f>'2023-24'!N6</f>
        <v>0.8869242685</v>
      </c>
      <c r="E6" s="31" t="str">
        <f>('NHL Movement'!J6+'OLD NHL Tracking'!J6)/2</f>
        <v>#REF!</v>
      </c>
      <c r="F6" s="9"/>
      <c r="G6" s="32" t="str">
        <f t="shared" si="3"/>
        <v>#N/A</v>
      </c>
      <c r="H6" s="9" t="str">
        <f>'NHL Movement'!P6</f>
        <v/>
      </c>
      <c r="I6" s="33" t="str">
        <f t="shared" si="4"/>
        <v>#REF!</v>
      </c>
      <c r="J6" s="33" t="str">
        <f t="shared" si="5"/>
        <v>#REF!</v>
      </c>
    </row>
    <row r="7">
      <c r="A7" s="6" t="s">
        <v>14</v>
      </c>
      <c r="B7" s="7">
        <f t="shared" si="1"/>
        <v>14</v>
      </c>
      <c r="C7" s="30" t="str">
        <f t="shared" si="2"/>
        <v>#REF!</v>
      </c>
      <c r="D7" s="9">
        <f>'2023-24'!N7</f>
        <v>0.5828452054</v>
      </c>
      <c r="E7" s="31" t="str">
        <f>('NHL Movement'!J7+'OLD NHL Tracking'!J7)/2</f>
        <v>#REF!</v>
      </c>
      <c r="F7" s="9"/>
      <c r="G7" s="32" t="str">
        <f t="shared" si="3"/>
        <v>#N/A</v>
      </c>
      <c r="H7" s="9" t="str">
        <f>'NHL Movement'!P7</f>
        <v/>
      </c>
      <c r="I7" s="33" t="str">
        <f t="shared" si="4"/>
        <v>#REF!</v>
      </c>
      <c r="J7" s="33" t="str">
        <f t="shared" si="5"/>
        <v>#REF!</v>
      </c>
    </row>
    <row r="8">
      <c r="A8" s="6" t="s">
        <v>15</v>
      </c>
      <c r="B8" s="7">
        <f t="shared" si="1"/>
        <v>6</v>
      </c>
      <c r="C8" s="30" t="str">
        <f t="shared" si="2"/>
        <v>#REF!</v>
      </c>
      <c r="D8" s="9">
        <f>'2023-24'!N8</f>
        <v>0.7730814411</v>
      </c>
      <c r="E8" s="31" t="str">
        <f>('NHL Movement'!J8+'OLD NHL Tracking'!J8)/2</f>
        <v>#REF!</v>
      </c>
      <c r="F8" s="9"/>
      <c r="G8" s="32" t="str">
        <f t="shared" si="3"/>
        <v>#N/A</v>
      </c>
      <c r="H8" s="9" t="str">
        <f>'NHL Movement'!P8</f>
        <v/>
      </c>
      <c r="I8" s="33" t="str">
        <f t="shared" si="4"/>
        <v>#REF!</v>
      </c>
      <c r="J8" s="33" t="str">
        <f t="shared" si="5"/>
        <v>#REF!</v>
      </c>
      <c r="M8" s="14" t="s">
        <v>62</v>
      </c>
    </row>
    <row r="9">
      <c r="A9" s="6" t="s">
        <v>16</v>
      </c>
      <c r="B9" s="7">
        <f t="shared" si="1"/>
        <v>11</v>
      </c>
      <c r="C9" s="30" t="str">
        <f t="shared" si="2"/>
        <v>#REF!</v>
      </c>
      <c r="D9" s="9">
        <f>'2023-24'!N9</f>
        <v>0.6272928747</v>
      </c>
      <c r="E9" s="31" t="str">
        <f>('NHL Movement'!J9+'OLD NHL Tracking'!J9)/2</f>
        <v>#REF!</v>
      </c>
      <c r="F9" s="9"/>
      <c r="G9" s="32" t="str">
        <f t="shared" si="3"/>
        <v>#N/A</v>
      </c>
      <c r="H9" s="9" t="str">
        <f>'NHL Movement'!P9</f>
        <v/>
      </c>
      <c r="I9" s="33" t="str">
        <f t="shared" si="4"/>
        <v>#REF!</v>
      </c>
      <c r="J9" s="33" t="str">
        <f t="shared" si="5"/>
        <v>#REF!</v>
      </c>
    </row>
    <row r="10">
      <c r="A10" s="6" t="s">
        <v>21</v>
      </c>
      <c r="B10" s="7">
        <f t="shared" si="1"/>
        <v>21</v>
      </c>
      <c r="C10" s="30" t="str">
        <f t="shared" si="2"/>
        <v>#REF!</v>
      </c>
      <c r="D10" s="9">
        <f>'2023-24'!N10</f>
        <v>0.4905741149</v>
      </c>
      <c r="E10" s="31" t="str">
        <f>('NHL Movement'!J10+'OLD NHL Tracking'!J10)/2</f>
        <v>#REF!</v>
      </c>
      <c r="F10" s="9"/>
      <c r="G10" s="32" t="str">
        <f t="shared" si="3"/>
        <v>#N/A</v>
      </c>
      <c r="H10" s="9" t="str">
        <f>'NHL Movement'!P10</f>
        <v/>
      </c>
      <c r="I10" s="33" t="str">
        <f t="shared" si="4"/>
        <v>#REF!</v>
      </c>
      <c r="J10" s="33" t="str">
        <f t="shared" si="5"/>
        <v>#REF!</v>
      </c>
    </row>
    <row r="11">
      <c r="A11" s="6" t="s">
        <v>22</v>
      </c>
      <c r="B11" s="7">
        <f t="shared" si="1"/>
        <v>7</v>
      </c>
      <c r="C11" s="30" t="str">
        <f t="shared" si="2"/>
        <v>#REF!</v>
      </c>
      <c r="D11" s="9">
        <f>'2023-24'!N11</f>
        <v>0.7591078736</v>
      </c>
      <c r="E11" s="31" t="str">
        <f>('NHL Movement'!J11+'OLD NHL Tracking'!J11)/2</f>
        <v>#REF!</v>
      </c>
      <c r="F11" s="9"/>
      <c r="G11" s="32" t="str">
        <f t="shared" si="3"/>
        <v>#N/A</v>
      </c>
      <c r="H11" s="9" t="str">
        <f>'NHL Movement'!P11</f>
        <v/>
      </c>
      <c r="I11" s="33" t="str">
        <f t="shared" si="4"/>
        <v>#REF!</v>
      </c>
      <c r="J11" s="33" t="str">
        <f t="shared" si="5"/>
        <v>#REF!</v>
      </c>
    </row>
    <row r="12">
      <c r="A12" s="6" t="s">
        <v>23</v>
      </c>
      <c r="B12" s="7">
        <f t="shared" si="1"/>
        <v>26</v>
      </c>
      <c r="C12" s="30" t="str">
        <f t="shared" si="2"/>
        <v>#REF!</v>
      </c>
      <c r="D12" s="9">
        <f>'2023-24'!N12</f>
        <v>0.4569539022</v>
      </c>
      <c r="E12" s="31" t="str">
        <f>('NHL Movement'!J12+'OLD NHL Tracking'!J12)/2</f>
        <v>#REF!</v>
      </c>
      <c r="F12" s="9"/>
      <c r="G12" s="32" t="str">
        <f t="shared" si="3"/>
        <v>#N/A</v>
      </c>
      <c r="H12" s="9" t="str">
        <f>'NHL Movement'!P12</f>
        <v/>
      </c>
      <c r="I12" s="33" t="str">
        <f t="shared" si="4"/>
        <v>#REF!</v>
      </c>
      <c r="J12" s="33" t="str">
        <f t="shared" si="5"/>
        <v>#REF!</v>
      </c>
    </row>
    <row r="13">
      <c r="A13" s="6" t="s">
        <v>25</v>
      </c>
      <c r="B13" s="7">
        <f t="shared" si="1"/>
        <v>9</v>
      </c>
      <c r="C13" s="30" t="str">
        <f t="shared" si="2"/>
        <v>#REF!</v>
      </c>
      <c r="D13" s="9">
        <f>'2023-24'!N13</f>
        <v>0.6591876075</v>
      </c>
      <c r="E13" s="31" t="str">
        <f>('NHL Movement'!J13+'OLD NHL Tracking'!J13)/2</f>
        <v>#REF!</v>
      </c>
      <c r="F13" s="9"/>
      <c r="G13" s="32" t="str">
        <f t="shared" si="3"/>
        <v>#N/A</v>
      </c>
      <c r="H13" s="9" t="str">
        <f>'NHL Movement'!P13</f>
        <v/>
      </c>
      <c r="I13" s="33" t="str">
        <f t="shared" si="4"/>
        <v>#REF!</v>
      </c>
      <c r="J13" s="33" t="str">
        <f t="shared" si="5"/>
        <v>#REF!</v>
      </c>
    </row>
    <row r="14">
      <c r="A14" s="6" t="s">
        <v>26</v>
      </c>
      <c r="B14" s="7">
        <f t="shared" si="1"/>
        <v>25</v>
      </c>
      <c r="C14" s="30" t="str">
        <f t="shared" si="2"/>
        <v>#REF!</v>
      </c>
      <c r="D14" s="9">
        <f>'2023-24'!N14</f>
        <v>0.4594496165</v>
      </c>
      <c r="E14" s="31" t="str">
        <f>('NHL Movement'!J14+'OLD NHL Tracking'!J14)/2</f>
        <v>#REF!</v>
      </c>
      <c r="F14" s="9"/>
      <c r="G14" s="32" t="str">
        <f t="shared" si="3"/>
        <v>#N/A</v>
      </c>
      <c r="H14" s="9" t="str">
        <f>'NHL Movement'!P14</f>
        <v/>
      </c>
      <c r="I14" s="33" t="str">
        <f t="shared" si="4"/>
        <v>#REF!</v>
      </c>
      <c r="J14" s="33" t="str">
        <f t="shared" si="5"/>
        <v>#REF!</v>
      </c>
    </row>
    <row r="15">
      <c r="A15" s="6" t="s">
        <v>27</v>
      </c>
      <c r="B15" s="7">
        <f t="shared" si="1"/>
        <v>15</v>
      </c>
      <c r="C15" s="30" t="str">
        <f t="shared" si="2"/>
        <v>#REF!</v>
      </c>
      <c r="D15" s="9">
        <f>'2023-24'!N15</f>
        <v>0.5824052255</v>
      </c>
      <c r="E15" s="31" t="str">
        <f>('NHL Movement'!J15+'OLD NHL Tracking'!J15)/2</f>
        <v>#REF!</v>
      </c>
      <c r="F15" s="9"/>
      <c r="G15" s="32" t="str">
        <f t="shared" si="3"/>
        <v>#N/A</v>
      </c>
      <c r="H15" s="9" t="str">
        <f>'NHL Movement'!P15</f>
        <v/>
      </c>
      <c r="I15" s="33" t="str">
        <f t="shared" si="4"/>
        <v>#REF!</v>
      </c>
      <c r="J15" s="33" t="str">
        <f t="shared" si="5"/>
        <v>#REF!</v>
      </c>
    </row>
    <row r="16">
      <c r="A16" s="6" t="s">
        <v>28</v>
      </c>
      <c r="B16" s="7">
        <f t="shared" si="1"/>
        <v>34</v>
      </c>
      <c r="C16" s="30" t="str">
        <f t="shared" si="2"/>
        <v>#REF!</v>
      </c>
      <c r="D16" s="9">
        <f>'2023-24'!N16</f>
        <v>0.2168103194</v>
      </c>
      <c r="E16" s="31" t="str">
        <f>('NHL Movement'!J16+'OLD NHL Tracking'!J16)/2</f>
        <v>#REF!</v>
      </c>
      <c r="F16" s="9"/>
      <c r="G16" s="32" t="str">
        <f t="shared" si="3"/>
        <v>#N/A</v>
      </c>
      <c r="H16" s="9" t="str">
        <f>'NHL Movement'!P16</f>
        <v/>
      </c>
      <c r="I16" s="33" t="str">
        <f t="shared" si="4"/>
        <v>#REF!</v>
      </c>
      <c r="J16" s="33" t="str">
        <f t="shared" si="5"/>
        <v>#REF!</v>
      </c>
    </row>
    <row r="17">
      <c r="A17" s="6" t="s">
        <v>29</v>
      </c>
      <c r="B17" s="7">
        <f t="shared" si="1"/>
        <v>2</v>
      </c>
      <c r="C17" s="30" t="str">
        <f t="shared" si="2"/>
        <v>#REF!</v>
      </c>
      <c r="D17" s="9">
        <f>'2023-24'!N17</f>
        <v>0.9567057293</v>
      </c>
      <c r="E17" s="31" t="str">
        <f>('NHL Movement'!J17+'OLD NHL Tracking'!J17)/2</f>
        <v>#REF!</v>
      </c>
      <c r="F17" s="9"/>
      <c r="G17" s="32" t="str">
        <f t="shared" si="3"/>
        <v>#N/A</v>
      </c>
      <c r="H17" s="9" t="str">
        <f>'NHL Movement'!P17</f>
        <v/>
      </c>
      <c r="I17" s="33" t="str">
        <f t="shared" si="4"/>
        <v>#REF!</v>
      </c>
      <c r="J17" s="33" t="str">
        <f t="shared" si="5"/>
        <v>#REF!</v>
      </c>
    </row>
    <row r="18">
      <c r="A18" s="6" t="s">
        <v>30</v>
      </c>
      <c r="B18" s="7">
        <f t="shared" si="1"/>
        <v>33</v>
      </c>
      <c r="C18" s="30" t="str">
        <f t="shared" si="2"/>
        <v>#REF!</v>
      </c>
      <c r="D18" s="9">
        <f>'2023-24'!N18</f>
        <v>0.2357152494</v>
      </c>
      <c r="E18" s="31" t="str">
        <f>('NHL Movement'!J18+'OLD NHL Tracking'!J18)/2</f>
        <v>#REF!</v>
      </c>
      <c r="F18" s="9"/>
      <c r="G18" s="32" t="str">
        <f t="shared" si="3"/>
        <v>#N/A</v>
      </c>
      <c r="H18" s="9" t="str">
        <f>'NHL Movement'!P18</f>
        <v/>
      </c>
      <c r="I18" s="33" t="str">
        <f t="shared" si="4"/>
        <v>#REF!</v>
      </c>
      <c r="J18" s="33" t="str">
        <f t="shared" si="5"/>
        <v>#REF!</v>
      </c>
    </row>
    <row r="19">
      <c r="A19" s="6" t="s">
        <v>31</v>
      </c>
      <c r="B19" s="7">
        <f t="shared" si="1"/>
        <v>35</v>
      </c>
      <c r="C19" s="30" t="str">
        <f t="shared" si="2"/>
        <v>#REF!</v>
      </c>
      <c r="D19" s="9">
        <f>'2023-24'!N19</f>
        <v>0.1302982152</v>
      </c>
      <c r="E19" s="31" t="str">
        <f>('NHL Movement'!J19+'OLD NHL Tracking'!J19)/2</f>
        <v>#REF!</v>
      </c>
      <c r="F19" s="9"/>
      <c r="G19" s="32" t="str">
        <f t="shared" si="3"/>
        <v>#N/A</v>
      </c>
      <c r="H19" s="9" t="str">
        <f>'NHL Movement'!P19</f>
        <v/>
      </c>
      <c r="I19" s="33" t="str">
        <f t="shared" si="4"/>
        <v>#REF!</v>
      </c>
      <c r="J19" s="33" t="str">
        <f t="shared" si="5"/>
        <v>#REF!</v>
      </c>
    </row>
    <row r="20">
      <c r="A20" s="6" t="s">
        <v>32</v>
      </c>
      <c r="B20" s="7">
        <f t="shared" si="1"/>
        <v>32</v>
      </c>
      <c r="C20" s="30" t="str">
        <f t="shared" si="2"/>
        <v>#REF!</v>
      </c>
      <c r="D20" s="9">
        <f>'2023-24'!N20</f>
        <v>0.2964267393</v>
      </c>
      <c r="E20" s="31" t="str">
        <f>('NHL Movement'!J20+'OLD NHL Tracking'!J20)/2</f>
        <v>#REF!</v>
      </c>
      <c r="F20" s="9"/>
      <c r="G20" s="32" t="str">
        <f t="shared" si="3"/>
        <v>#N/A</v>
      </c>
      <c r="H20" s="9" t="str">
        <f>'NHL Movement'!P20</f>
        <v/>
      </c>
      <c r="I20" s="33" t="str">
        <f t="shared" si="4"/>
        <v>#REF!</v>
      </c>
      <c r="J20" s="33" t="str">
        <f t="shared" si="5"/>
        <v>#REF!</v>
      </c>
    </row>
    <row r="21">
      <c r="A21" s="6" t="s">
        <v>33</v>
      </c>
      <c r="B21" s="7">
        <f t="shared" si="1"/>
        <v>23</v>
      </c>
      <c r="C21" s="30" t="str">
        <f t="shared" si="2"/>
        <v>#REF!</v>
      </c>
      <c r="D21" s="9">
        <f>'2023-24'!N21</f>
        <v>0.4680346042</v>
      </c>
      <c r="E21" s="31" t="str">
        <f>('NHL Movement'!J21+'OLD NHL Tracking'!J21)/2</f>
        <v>#REF!</v>
      </c>
      <c r="F21" s="9"/>
      <c r="G21" s="32" t="str">
        <f t="shared" si="3"/>
        <v>#N/A</v>
      </c>
      <c r="H21" s="9" t="str">
        <f>'NHL Movement'!P21</f>
        <v/>
      </c>
      <c r="I21" s="33" t="str">
        <f t="shared" si="4"/>
        <v>#REF!</v>
      </c>
      <c r="J21" s="33" t="str">
        <f t="shared" si="5"/>
        <v>#REF!</v>
      </c>
    </row>
    <row r="22">
      <c r="A22" s="6" t="s">
        <v>34</v>
      </c>
      <c r="B22" s="7">
        <f t="shared" si="1"/>
        <v>18</v>
      </c>
      <c r="C22" s="30" t="str">
        <f t="shared" si="2"/>
        <v>#REF!</v>
      </c>
      <c r="D22" s="9">
        <f>'2023-24'!N22</f>
        <v>0.5414132514</v>
      </c>
      <c r="E22" s="31" t="str">
        <f>('NHL Movement'!J22+'OLD NHL Tracking'!J22)/2</f>
        <v>#REF!</v>
      </c>
      <c r="F22" s="9"/>
      <c r="G22" s="32" t="str">
        <f t="shared" si="3"/>
        <v>#N/A</v>
      </c>
      <c r="H22" s="9" t="str">
        <f>'NHL Movement'!P22</f>
        <v/>
      </c>
      <c r="I22" s="33" t="str">
        <f t="shared" si="4"/>
        <v>#REF!</v>
      </c>
      <c r="J22" s="33" t="str">
        <f t="shared" si="5"/>
        <v>#REF!</v>
      </c>
    </row>
    <row r="23">
      <c r="A23" s="6" t="s">
        <v>35</v>
      </c>
      <c r="B23" s="7">
        <f t="shared" si="1"/>
        <v>19</v>
      </c>
      <c r="C23" s="30" t="str">
        <f t="shared" si="2"/>
        <v>#REF!</v>
      </c>
      <c r="D23" s="9">
        <f>'2023-24'!N23</f>
        <v>0.5366624471</v>
      </c>
      <c r="E23" s="31" t="str">
        <f>('NHL Movement'!J23+'OLD NHL Tracking'!J23)/2</f>
        <v>#REF!</v>
      </c>
      <c r="F23" s="9"/>
      <c r="G23" s="32" t="str">
        <f t="shared" si="3"/>
        <v>#N/A</v>
      </c>
      <c r="H23" s="9" t="str">
        <f>'NHL Movement'!P23</f>
        <v/>
      </c>
      <c r="I23" s="33" t="str">
        <f t="shared" si="4"/>
        <v>#REF!</v>
      </c>
      <c r="J23" s="33" t="str">
        <f t="shared" si="5"/>
        <v>#REF!</v>
      </c>
    </row>
    <row r="24">
      <c r="A24" s="6" t="s">
        <v>36</v>
      </c>
      <c r="B24" s="7">
        <f t="shared" si="1"/>
        <v>17</v>
      </c>
      <c r="C24" s="30" t="str">
        <f t="shared" si="2"/>
        <v>#REF!</v>
      </c>
      <c r="D24" s="9">
        <f>'2023-24'!N24</f>
        <v>0.5634094109</v>
      </c>
      <c r="E24" s="31" t="str">
        <f>('NHL Movement'!J24+'OLD NHL Tracking'!J24)/2</f>
        <v>#REF!</v>
      </c>
      <c r="F24" s="9"/>
      <c r="G24" s="32" t="str">
        <f t="shared" si="3"/>
        <v>#N/A</v>
      </c>
      <c r="H24" s="9" t="str">
        <f>'NHL Movement'!P24</f>
        <v/>
      </c>
      <c r="I24" s="33" t="str">
        <f t="shared" si="4"/>
        <v>#REF!</v>
      </c>
      <c r="J24" s="33" t="str">
        <f t="shared" si="5"/>
        <v>#REF!</v>
      </c>
    </row>
    <row r="25">
      <c r="A25" s="6" t="s">
        <v>37</v>
      </c>
      <c r="B25" s="7">
        <f t="shared" si="1"/>
        <v>22</v>
      </c>
      <c r="C25" s="30" t="str">
        <f t="shared" si="2"/>
        <v>#REF!</v>
      </c>
      <c r="D25" s="9">
        <f>'2023-24'!N25</f>
        <v>0.4754909408</v>
      </c>
      <c r="E25" s="31" t="str">
        <f>('NHL Movement'!J25+'OLD NHL Tracking'!J25)/2</f>
        <v>#REF!</v>
      </c>
      <c r="F25" s="9"/>
      <c r="G25" s="32" t="str">
        <f t="shared" si="3"/>
        <v>#N/A</v>
      </c>
      <c r="H25" s="9" t="str">
        <f>'NHL Movement'!P25</f>
        <v/>
      </c>
      <c r="I25" s="33" t="str">
        <f t="shared" si="4"/>
        <v>#REF!</v>
      </c>
      <c r="J25" s="33" t="str">
        <f t="shared" si="5"/>
        <v>#REF!</v>
      </c>
    </row>
    <row r="26">
      <c r="A26" s="6" t="s">
        <v>38</v>
      </c>
      <c r="B26" s="7">
        <f t="shared" si="1"/>
        <v>24</v>
      </c>
      <c r="C26" s="30" t="str">
        <f t="shared" si="2"/>
        <v>#REF!</v>
      </c>
      <c r="D26" s="9">
        <f>'2023-24'!N26</f>
        <v>0.4636172214</v>
      </c>
      <c r="E26" s="31" t="str">
        <f>('NHL Movement'!J26+'OLD NHL Tracking'!J26)/2</f>
        <v>#REF!</v>
      </c>
      <c r="F26" s="9"/>
      <c r="G26" s="32" t="str">
        <f t="shared" si="3"/>
        <v>#N/A</v>
      </c>
      <c r="H26" s="9" t="str">
        <f>'NHL Movement'!P26</f>
        <v/>
      </c>
      <c r="I26" s="33" t="str">
        <f t="shared" si="4"/>
        <v>#REF!</v>
      </c>
      <c r="J26" s="33" t="str">
        <f t="shared" si="5"/>
        <v>#REF!</v>
      </c>
    </row>
    <row r="27">
      <c r="A27" s="6" t="s">
        <v>39</v>
      </c>
      <c r="B27" s="7">
        <f t="shared" si="1"/>
        <v>40</v>
      </c>
      <c r="C27" s="30" t="str">
        <f t="shared" si="2"/>
        <v>#REF!</v>
      </c>
      <c r="D27" s="9">
        <f>'2023-24'!N27</f>
        <v>0.08129020562</v>
      </c>
      <c r="E27" s="31" t="str">
        <f>('NHL Movement'!J27+'OLD NHL Tracking'!J27)/2</f>
        <v>#REF!</v>
      </c>
      <c r="F27" s="9"/>
      <c r="G27" s="32" t="str">
        <f t="shared" si="3"/>
        <v>#N/A</v>
      </c>
      <c r="H27" s="9" t="str">
        <f>'NHL Movement'!P27</f>
        <v/>
      </c>
      <c r="I27" s="33" t="str">
        <f t="shared" si="4"/>
        <v>#REF!</v>
      </c>
      <c r="J27" s="33" t="str">
        <f t="shared" si="5"/>
        <v>#REF!</v>
      </c>
    </row>
    <row r="28">
      <c r="A28" s="6" t="s">
        <v>40</v>
      </c>
      <c r="B28" s="7">
        <f t="shared" si="1"/>
        <v>5</v>
      </c>
      <c r="C28" s="30" t="str">
        <f t="shared" si="2"/>
        <v>#REF!</v>
      </c>
      <c r="D28" s="9">
        <f>'2023-24'!N28</f>
        <v>0.8056274488</v>
      </c>
      <c r="E28" s="31" t="str">
        <f>('NHL Movement'!J28+'OLD NHL Tracking'!J28)/2</f>
        <v>#REF!</v>
      </c>
      <c r="F28" s="9"/>
      <c r="G28" s="32" t="str">
        <f t="shared" si="3"/>
        <v>#N/A</v>
      </c>
      <c r="H28" s="9" t="str">
        <f>'NHL Movement'!P28</f>
        <v/>
      </c>
      <c r="I28" s="33" t="str">
        <f t="shared" si="4"/>
        <v>#REF!</v>
      </c>
      <c r="J28" s="33" t="str">
        <f t="shared" si="5"/>
        <v>#REF!</v>
      </c>
    </row>
    <row r="29">
      <c r="A29" s="6" t="s">
        <v>41</v>
      </c>
      <c r="B29" s="7">
        <f t="shared" si="1"/>
        <v>20</v>
      </c>
      <c r="C29" s="30" t="str">
        <f t="shared" si="2"/>
        <v>#REF!</v>
      </c>
      <c r="D29" s="9">
        <f>'2023-24'!N29</f>
        <v>0.5219852437</v>
      </c>
      <c r="E29" s="31" t="str">
        <f>('NHL Movement'!J29+'OLD NHL Tracking'!J29)/2</f>
        <v>#REF!</v>
      </c>
      <c r="F29" s="9"/>
      <c r="G29" s="32" t="str">
        <f t="shared" si="3"/>
        <v>#N/A</v>
      </c>
      <c r="H29" s="9" t="str">
        <f>'NHL Movement'!P29</f>
        <v/>
      </c>
      <c r="I29" s="33" t="str">
        <f t="shared" si="4"/>
        <v>#REF!</v>
      </c>
      <c r="J29" s="33" t="str">
        <f t="shared" si="5"/>
        <v>#REF!</v>
      </c>
    </row>
    <row r="30">
      <c r="A30" s="6" t="s">
        <v>42</v>
      </c>
      <c r="B30" s="7">
        <f t="shared" si="1"/>
        <v>36</v>
      </c>
      <c r="C30" s="30" t="str">
        <f t="shared" si="2"/>
        <v>#REF!</v>
      </c>
      <c r="D30" s="9">
        <f>'2023-24'!N30</f>
        <v>0.1195520513</v>
      </c>
      <c r="E30" s="31" t="str">
        <f>('NHL Movement'!J30+'OLD NHL Tracking'!J30)/2</f>
        <v>#REF!</v>
      </c>
      <c r="F30" s="9"/>
      <c r="G30" s="32" t="str">
        <f t="shared" si="3"/>
        <v>#N/A</v>
      </c>
      <c r="H30" s="9" t="str">
        <f>'NHL Movement'!P30</f>
        <v/>
      </c>
      <c r="I30" s="33" t="str">
        <f t="shared" si="4"/>
        <v>#REF!</v>
      </c>
      <c r="J30" s="33" t="str">
        <f t="shared" si="5"/>
        <v>#REF!</v>
      </c>
    </row>
    <row r="31">
      <c r="A31" s="6" t="s">
        <v>43</v>
      </c>
      <c r="B31" s="7">
        <f t="shared" si="1"/>
        <v>30</v>
      </c>
      <c r="C31" s="30" t="str">
        <f t="shared" si="2"/>
        <v>#REF!</v>
      </c>
      <c r="D31" s="9">
        <f>'2023-24'!N31</f>
        <v>0.3870787718</v>
      </c>
      <c r="E31" s="31" t="str">
        <f>('NHL Movement'!J31+'OLD NHL Tracking'!J31)/2</f>
        <v>#REF!</v>
      </c>
      <c r="F31" s="9"/>
      <c r="G31" s="32" t="str">
        <f t="shared" si="3"/>
        <v>#N/A</v>
      </c>
      <c r="H31" s="9" t="str">
        <f>'NHL Movement'!P31</f>
        <v/>
      </c>
      <c r="I31" s="33" t="str">
        <f t="shared" si="4"/>
        <v>#REF!</v>
      </c>
      <c r="J31" s="33" t="str">
        <f t="shared" si="5"/>
        <v>#REF!</v>
      </c>
    </row>
    <row r="32">
      <c r="A32" s="6" t="s">
        <v>44</v>
      </c>
      <c r="B32" s="7">
        <f t="shared" si="1"/>
        <v>10</v>
      </c>
      <c r="C32" s="30" t="str">
        <f t="shared" si="2"/>
        <v>#REF!</v>
      </c>
      <c r="D32" s="9">
        <f>'2023-24'!N32</f>
        <v>0.6572421278</v>
      </c>
      <c r="E32" s="31" t="str">
        <f>('NHL Movement'!J32+'OLD NHL Tracking'!J32)/2</f>
        <v>#REF!</v>
      </c>
      <c r="F32" s="9"/>
      <c r="G32" s="32" t="str">
        <f t="shared" si="3"/>
        <v>#N/A</v>
      </c>
      <c r="H32" s="9" t="str">
        <f>'NHL Movement'!P32</f>
        <v/>
      </c>
      <c r="I32" s="33" t="str">
        <f t="shared" si="4"/>
        <v>#REF!</v>
      </c>
      <c r="J32" s="33" t="str">
        <f t="shared" si="5"/>
        <v>#REF!</v>
      </c>
    </row>
    <row r="33">
      <c r="A33" s="6" t="s">
        <v>45</v>
      </c>
      <c r="B33" s="7">
        <f t="shared" si="1"/>
        <v>42</v>
      </c>
      <c r="C33" s="30" t="str">
        <f t="shared" si="2"/>
        <v>#REF!</v>
      </c>
      <c r="D33" s="9">
        <f>'2023-24'!N33</f>
        <v>0</v>
      </c>
      <c r="E33" s="31" t="str">
        <f>('NHL Movement'!J33+'OLD NHL Tracking'!J33)/2</f>
        <v>#REF!</v>
      </c>
      <c r="F33" s="9"/>
      <c r="G33" s="32" t="str">
        <f t="shared" si="3"/>
        <v>#N/A</v>
      </c>
      <c r="H33" s="9" t="str">
        <f>'NHL Movement'!P33</f>
        <v/>
      </c>
      <c r="I33" s="33" t="str">
        <f t="shared" si="4"/>
        <v>#REF!</v>
      </c>
      <c r="J33" s="33" t="str">
        <f t="shared" si="5"/>
        <v>#REF!</v>
      </c>
    </row>
    <row r="34">
      <c r="A34" s="6" t="s">
        <v>46</v>
      </c>
      <c r="B34" s="7">
        <f t="shared" si="1"/>
        <v>1</v>
      </c>
      <c r="C34" s="30" t="str">
        <f t="shared" si="2"/>
        <v>#REF!</v>
      </c>
      <c r="D34" s="9">
        <f>'2023-24'!N34</f>
        <v>1</v>
      </c>
      <c r="E34" s="31" t="str">
        <f>('NHL Movement'!J34+'OLD NHL Tracking'!J34)/2</f>
        <v>#REF!</v>
      </c>
      <c r="F34" s="9"/>
      <c r="G34" s="32" t="str">
        <f t="shared" si="3"/>
        <v>#N/A</v>
      </c>
      <c r="H34" s="9" t="str">
        <f>'NHL Movement'!P34</f>
        <v/>
      </c>
      <c r="I34" s="33" t="str">
        <f t="shared" si="4"/>
        <v>#REF!</v>
      </c>
      <c r="J34" s="33" t="str">
        <f t="shared" si="5"/>
        <v>#REF!</v>
      </c>
    </row>
    <row r="35">
      <c r="A35" s="6" t="s">
        <v>47</v>
      </c>
      <c r="B35" s="7">
        <f t="shared" si="1"/>
        <v>38</v>
      </c>
      <c r="C35" s="30" t="str">
        <f t="shared" si="2"/>
        <v>#REF!</v>
      </c>
      <c r="D35" s="9">
        <f>'2023-24'!N35</f>
        <v>0.09192325581</v>
      </c>
      <c r="E35" s="31" t="str">
        <f>('NHL Movement'!J35+'OLD NHL Tracking'!J35)/2</f>
        <v>#REF!</v>
      </c>
      <c r="F35" s="9"/>
      <c r="G35" s="32" t="str">
        <f t="shared" si="3"/>
        <v>#N/A</v>
      </c>
      <c r="H35" s="9" t="str">
        <f>'NHL Movement'!P35</f>
        <v/>
      </c>
      <c r="I35" s="33" t="str">
        <f t="shared" si="4"/>
        <v>#REF!</v>
      </c>
      <c r="J35" s="33" t="str">
        <f t="shared" si="5"/>
        <v>#REF!</v>
      </c>
    </row>
    <row r="36">
      <c r="A36" s="6" t="s">
        <v>48</v>
      </c>
      <c r="B36" s="7">
        <f t="shared" si="1"/>
        <v>13</v>
      </c>
      <c r="C36" s="30" t="str">
        <f t="shared" si="2"/>
        <v>#REF!</v>
      </c>
      <c r="D36" s="9">
        <f>'2023-24'!N36</f>
        <v>0.6118754955</v>
      </c>
      <c r="E36" s="31" t="str">
        <f>('NHL Movement'!J36+'OLD NHL Tracking'!J36)/2</f>
        <v>#REF!</v>
      </c>
      <c r="F36" s="9"/>
      <c r="G36" s="32" t="str">
        <f t="shared" si="3"/>
        <v>#N/A</v>
      </c>
      <c r="H36" s="9" t="str">
        <f>'NHL Movement'!P36</f>
        <v/>
      </c>
      <c r="I36" s="33" t="str">
        <f t="shared" si="4"/>
        <v>#REF!</v>
      </c>
      <c r="J36" s="33" t="str">
        <f t="shared" si="5"/>
        <v>#REF!</v>
      </c>
    </row>
    <row r="37">
      <c r="A37" s="6" t="s">
        <v>49</v>
      </c>
      <c r="B37" s="7">
        <f t="shared" si="1"/>
        <v>29</v>
      </c>
      <c r="C37" s="30" t="str">
        <f t="shared" si="2"/>
        <v>#REF!</v>
      </c>
      <c r="D37" s="9">
        <f>'2023-24'!N37</f>
        <v>0.3871329199</v>
      </c>
      <c r="E37" s="31" t="str">
        <f>('NHL Movement'!J37+'OLD NHL Tracking'!J37)/2</f>
        <v>#REF!</v>
      </c>
      <c r="F37" s="9"/>
      <c r="G37" s="32" t="str">
        <f t="shared" si="3"/>
        <v>#N/A</v>
      </c>
      <c r="H37" s="9" t="str">
        <f>'NHL Movement'!P37</f>
        <v/>
      </c>
      <c r="I37" s="33" t="str">
        <f t="shared" si="4"/>
        <v>#REF!</v>
      </c>
      <c r="J37" s="33" t="str">
        <f t="shared" si="5"/>
        <v>#REF!</v>
      </c>
    </row>
    <row r="38">
      <c r="A38" s="6" t="s">
        <v>50</v>
      </c>
      <c r="B38" s="7">
        <f t="shared" si="1"/>
        <v>41</v>
      </c>
      <c r="C38" s="30" t="str">
        <f t="shared" si="2"/>
        <v>#REF!</v>
      </c>
      <c r="D38" s="9">
        <f>'2023-24'!N38</f>
        <v>0.07514396217</v>
      </c>
      <c r="E38" s="31" t="str">
        <f>('NHL Movement'!J38+'OLD NHL Tracking'!J38)/2</f>
        <v>#REF!</v>
      </c>
      <c r="F38" s="9"/>
      <c r="G38" s="32" t="str">
        <f t="shared" si="3"/>
        <v>#N/A</v>
      </c>
      <c r="H38" s="9" t="str">
        <f>'NHL Movement'!P38</f>
        <v/>
      </c>
      <c r="I38" s="33" t="str">
        <f t="shared" si="4"/>
        <v>#REF!</v>
      </c>
      <c r="J38" s="33" t="str">
        <f t="shared" si="5"/>
        <v>#REF!</v>
      </c>
    </row>
    <row r="39">
      <c r="A39" s="6" t="s">
        <v>51</v>
      </c>
      <c r="B39" s="7">
        <f t="shared" si="1"/>
        <v>39</v>
      </c>
      <c r="C39" s="30" t="str">
        <f t="shared" si="2"/>
        <v>#REF!</v>
      </c>
      <c r="D39" s="9">
        <f>'2023-24'!N39</f>
        <v>0.08731575615</v>
      </c>
      <c r="E39" s="31" t="str">
        <f>('NHL Movement'!J39+'OLD NHL Tracking'!J39)/2</f>
        <v>#REF!</v>
      </c>
      <c r="F39" s="9"/>
      <c r="G39" s="32" t="str">
        <f t="shared" si="3"/>
        <v>#N/A</v>
      </c>
      <c r="H39" s="9" t="str">
        <f>'NHL Movement'!P39</f>
        <v/>
      </c>
      <c r="I39" s="33" t="str">
        <f t="shared" si="4"/>
        <v>#REF!</v>
      </c>
      <c r="J39" s="33" t="str">
        <f t="shared" si="5"/>
        <v>#REF!</v>
      </c>
    </row>
    <row r="40">
      <c r="A40" s="6" t="s">
        <v>52</v>
      </c>
      <c r="B40" s="7">
        <f t="shared" si="1"/>
        <v>31</v>
      </c>
      <c r="C40" s="30" t="str">
        <f t="shared" si="2"/>
        <v>#REF!</v>
      </c>
      <c r="D40" s="9">
        <f>'2023-24'!N40</f>
        <v>0.3761839665</v>
      </c>
      <c r="E40" s="31" t="str">
        <f>('NHL Movement'!J40+'OLD NHL Tracking'!J40)/2</f>
        <v>#REF!</v>
      </c>
      <c r="F40" s="9"/>
      <c r="G40" s="32" t="str">
        <f t="shared" si="3"/>
        <v>#N/A</v>
      </c>
      <c r="H40" s="9" t="str">
        <f>'NHL Movement'!P40</f>
        <v/>
      </c>
      <c r="I40" s="33" t="str">
        <f t="shared" si="4"/>
        <v>#REF!</v>
      </c>
      <c r="J40" s="33" t="str">
        <f t="shared" si="5"/>
        <v>#REF!</v>
      </c>
    </row>
    <row r="41">
      <c r="A41" s="6" t="s">
        <v>53</v>
      </c>
      <c r="B41" s="7">
        <f t="shared" si="1"/>
        <v>37</v>
      </c>
      <c r="C41" s="30" t="str">
        <f t="shared" si="2"/>
        <v>#REF!</v>
      </c>
      <c r="D41" s="9">
        <f>'2023-24'!N41</f>
        <v>0.1135568809</v>
      </c>
      <c r="E41" s="31" t="str">
        <f>('NHL Movement'!J41+'OLD NHL Tracking'!J41)/2</f>
        <v>#REF!</v>
      </c>
      <c r="F41" s="9"/>
      <c r="G41" s="32" t="str">
        <f t="shared" si="3"/>
        <v>#N/A</v>
      </c>
      <c r="H41" s="9" t="str">
        <f>'NHL Movement'!P41</f>
        <v/>
      </c>
      <c r="I41" s="33" t="str">
        <f t="shared" si="4"/>
        <v>#REF!</v>
      </c>
      <c r="J41" s="33" t="str">
        <f t="shared" si="5"/>
        <v>#REF!</v>
      </c>
    </row>
    <row r="42">
      <c r="A42" s="6" t="s">
        <v>54</v>
      </c>
      <c r="B42" s="7">
        <f t="shared" si="1"/>
        <v>16</v>
      </c>
      <c r="C42" s="30" t="str">
        <f t="shared" si="2"/>
        <v>#REF!</v>
      </c>
      <c r="D42" s="9">
        <f>'2023-24'!N42</f>
        <v>0.5747595702</v>
      </c>
      <c r="E42" s="31" t="str">
        <f>('NHL Movement'!J42+'OLD NHL Tracking'!J42)/2</f>
        <v>#REF!</v>
      </c>
      <c r="F42" s="9"/>
      <c r="G42" s="32" t="str">
        <f t="shared" si="3"/>
        <v>#N/A</v>
      </c>
      <c r="H42" s="9" t="str">
        <f>'NHL Movement'!P42</f>
        <v/>
      </c>
      <c r="I42" s="33" t="str">
        <f t="shared" si="4"/>
        <v>#REF!</v>
      </c>
      <c r="J42" s="33" t="str">
        <f t="shared" si="5"/>
        <v>#REF!</v>
      </c>
    </row>
    <row r="43">
      <c r="A43" s="6" t="s">
        <v>55</v>
      </c>
      <c r="B43" s="7">
        <f t="shared" si="1"/>
        <v>28</v>
      </c>
      <c r="C43" s="30" t="str">
        <f t="shared" si="2"/>
        <v>#REF!</v>
      </c>
      <c r="D43" s="9">
        <f>'2023-24'!N43</f>
        <v>0.3914239976</v>
      </c>
      <c r="E43" s="31" t="str">
        <f>('NHL Movement'!J43+'OLD NHL Tracking'!J43)/2</f>
        <v>#REF!</v>
      </c>
      <c r="F43" s="9"/>
      <c r="G43" s="32" t="str">
        <f t="shared" si="3"/>
        <v>#N/A</v>
      </c>
      <c r="H43" s="9" t="str">
        <f>'NHL Movement'!P43</f>
        <v/>
      </c>
      <c r="I43" s="33" t="str">
        <f t="shared" si="4"/>
        <v>#REF!</v>
      </c>
      <c r="J43" s="33" t="str">
        <f t="shared" si="5"/>
        <v>#REF!</v>
      </c>
    </row>
    <row r="45">
      <c r="J45" s="9" t="str">
        <f>AVERAGE(J2:J43)</f>
        <v>#REF!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12" max="12" width="16.88"/>
  </cols>
  <sheetData>
    <row r="1">
      <c r="A1" s="34" t="s">
        <v>0</v>
      </c>
      <c r="B1" s="2" t="s">
        <v>63</v>
      </c>
      <c r="C1" s="2" t="s">
        <v>64</v>
      </c>
      <c r="D1" s="2"/>
      <c r="E1" s="2" t="s">
        <v>56</v>
      </c>
      <c r="F1" s="2" t="s">
        <v>57</v>
      </c>
      <c r="G1" s="2" t="s">
        <v>4</v>
      </c>
      <c r="H1" s="2" t="s">
        <v>5</v>
      </c>
      <c r="J1" s="2" t="s">
        <v>65</v>
      </c>
      <c r="K1" s="2" t="s">
        <v>66</v>
      </c>
      <c r="L1" s="2" t="s">
        <v>67</v>
      </c>
      <c r="M1" s="34"/>
    </row>
    <row r="2">
      <c r="A2" s="33" t="s">
        <v>9</v>
      </c>
      <c r="B2" s="32">
        <f t="shared" ref="B2:B43" si="1">RANK(C2,$C$2:$C$43)</f>
        <v>14</v>
      </c>
      <c r="C2" s="9">
        <f t="shared" ref="C2:C43" si="2">(L2-MIN($L$2:$L$43))/(MAX($L$2:$L$43)-MIN($L$2:$L$43))</f>
        <v>0.6171462279</v>
      </c>
      <c r="D2" s="9"/>
      <c r="E2" s="33">
        <v>26.0</v>
      </c>
      <c r="F2" s="33">
        <v>8.0</v>
      </c>
      <c r="G2" s="9">
        <v>0.398442737853522</v>
      </c>
      <c r="H2" s="9">
        <v>0.8093411682453397</v>
      </c>
      <c r="J2" s="9">
        <f>'2023-24'!K2</f>
        <v>1.868444143</v>
      </c>
      <c r="K2" s="9">
        <f>'M + T Totals'!G2</f>
        <v>1.94540743</v>
      </c>
      <c r="L2" s="9">
        <f t="shared" ref="L2:L43" si="3">(J2+K2)</f>
        <v>3.813851573</v>
      </c>
    </row>
    <row r="3">
      <c r="A3" s="33" t="s">
        <v>10</v>
      </c>
      <c r="B3" s="32">
        <f t="shared" si="1"/>
        <v>22</v>
      </c>
      <c r="C3" s="9">
        <f t="shared" si="2"/>
        <v>0.5012251781</v>
      </c>
      <c r="D3" s="9"/>
      <c r="E3" s="33">
        <v>12.0</v>
      </c>
      <c r="F3" s="33">
        <v>38.0</v>
      </c>
      <c r="G3" s="9">
        <v>0.6259142326920788</v>
      </c>
      <c r="H3" s="9">
        <v>0.33521586723325264</v>
      </c>
      <c r="J3" s="9">
        <f>'2023-24'!K3</f>
        <v>2.175520646</v>
      </c>
      <c r="K3" s="9">
        <f>'M + T Totals'!G3</f>
        <v>-2.870021479</v>
      </c>
      <c r="L3" s="9">
        <f t="shared" si="3"/>
        <v>-0.694500833</v>
      </c>
    </row>
    <row r="4">
      <c r="A4" s="33" t="s">
        <v>11</v>
      </c>
      <c r="B4" s="32">
        <f t="shared" si="1"/>
        <v>15</v>
      </c>
      <c r="C4" s="9">
        <f t="shared" si="2"/>
        <v>0.6119062535</v>
      </c>
      <c r="D4" s="9"/>
      <c r="E4" s="33">
        <v>8.0</v>
      </c>
      <c r="F4" s="33">
        <v>30.0</v>
      </c>
      <c r="G4" s="9">
        <v>0.7388936431740257</v>
      </c>
      <c r="H4" s="9">
        <v>0.4519458123086689</v>
      </c>
      <c r="J4" s="9">
        <f>'2023-24'!K4</f>
        <v>4.056401827</v>
      </c>
      <c r="K4" s="9">
        <f>'M + T Totals'!G4</f>
        <v>-0.4463411241</v>
      </c>
      <c r="L4" s="9">
        <f t="shared" si="3"/>
        <v>3.610060703</v>
      </c>
    </row>
    <row r="5">
      <c r="A5" s="33" t="s">
        <v>12</v>
      </c>
      <c r="B5" s="32">
        <f t="shared" si="1"/>
        <v>3</v>
      </c>
      <c r="C5" s="9">
        <f t="shared" si="2"/>
        <v>0.9806482549</v>
      </c>
      <c r="D5" s="9"/>
      <c r="E5" s="33">
        <v>4.0</v>
      </c>
      <c r="F5" s="33">
        <v>5.0</v>
      </c>
      <c r="G5" s="9">
        <v>0.8444131403346924</v>
      </c>
      <c r="H5" s="9">
        <v>0.8286729921063996</v>
      </c>
      <c r="J5" s="9">
        <f>'2023-24'!K5</f>
        <v>6.755238795</v>
      </c>
      <c r="K5" s="9">
        <f>'M + T Totals'!G5</f>
        <v>11.19577976</v>
      </c>
      <c r="L5" s="9">
        <f t="shared" si="3"/>
        <v>17.95101855</v>
      </c>
    </row>
    <row r="6">
      <c r="A6" s="33" t="s">
        <v>13</v>
      </c>
      <c r="B6" s="32">
        <f t="shared" si="1"/>
        <v>1</v>
      </c>
      <c r="C6" s="9">
        <f t="shared" si="2"/>
        <v>1</v>
      </c>
      <c r="D6" s="9"/>
      <c r="E6" s="33">
        <v>3.0</v>
      </c>
      <c r="F6" s="33">
        <v>4.0</v>
      </c>
      <c r="G6" s="9">
        <v>0.886924268510407</v>
      </c>
      <c r="H6" s="9">
        <v>0.8474164110688649</v>
      </c>
      <c r="J6" s="9">
        <f>'2023-24'!K6</f>
        <v>10.78933767</v>
      </c>
      <c r="K6" s="9">
        <f>'M + T Totals'!G6</f>
        <v>7.914300766</v>
      </c>
      <c r="L6" s="9">
        <f t="shared" si="3"/>
        <v>18.70363843</v>
      </c>
    </row>
    <row r="7">
      <c r="A7" s="33" t="s">
        <v>14</v>
      </c>
      <c r="B7" s="32">
        <f t="shared" si="1"/>
        <v>26</v>
      </c>
      <c r="C7" s="9">
        <f t="shared" si="2"/>
        <v>0.4564742383</v>
      </c>
      <c r="D7" s="9"/>
      <c r="E7" s="33">
        <v>14.0</v>
      </c>
      <c r="F7" s="33">
        <v>27.0</v>
      </c>
      <c r="G7" s="9">
        <v>0.5828452054190599</v>
      </c>
      <c r="H7" s="9">
        <v>0.5243269384303306</v>
      </c>
      <c r="J7" s="9">
        <f>'2023-24'!K7</f>
        <v>-0.8121603258</v>
      </c>
      <c r="K7" s="9">
        <f>'M + T Totals'!G7</f>
        <v>-1.622775118</v>
      </c>
      <c r="L7" s="9">
        <f t="shared" si="3"/>
        <v>-2.434935443</v>
      </c>
    </row>
    <row r="8">
      <c r="A8" s="33" t="s">
        <v>15</v>
      </c>
      <c r="B8" s="32">
        <f t="shared" si="1"/>
        <v>4</v>
      </c>
      <c r="C8" s="9">
        <f t="shared" si="2"/>
        <v>0.9661648557</v>
      </c>
      <c r="D8" s="9"/>
      <c r="E8" s="33">
        <v>6.0</v>
      </c>
      <c r="F8" s="33">
        <v>1.0</v>
      </c>
      <c r="G8" s="9">
        <v>0.7730814410955663</v>
      </c>
      <c r="H8" s="9">
        <v>0.915837874586432</v>
      </c>
      <c r="J8" s="9">
        <f>'2023-24'!K8</f>
        <v>4.958096368</v>
      </c>
      <c r="K8" s="9">
        <f>'M + T Totals'!G8</f>
        <v>12.42963995</v>
      </c>
      <c r="L8" s="9">
        <f t="shared" si="3"/>
        <v>17.38773632</v>
      </c>
    </row>
    <row r="9">
      <c r="A9" s="33" t="s">
        <v>16</v>
      </c>
      <c r="B9" s="32">
        <f t="shared" si="1"/>
        <v>7</v>
      </c>
      <c r="C9" s="9">
        <f t="shared" si="2"/>
        <v>0.8368549178</v>
      </c>
      <c r="D9" s="9"/>
      <c r="E9" s="33">
        <v>11.0</v>
      </c>
      <c r="F9" s="33">
        <v>16.0</v>
      </c>
      <c r="G9" s="9">
        <v>0.6272928746873986</v>
      </c>
      <c r="H9" s="9">
        <v>0.7039031421421955</v>
      </c>
      <c r="J9" s="9">
        <f>'2023-24'!K9</f>
        <v>5.954679652</v>
      </c>
      <c r="K9" s="9">
        <f>'M + T Totals'!G9</f>
        <v>6.403989296</v>
      </c>
      <c r="L9" s="9">
        <f t="shared" si="3"/>
        <v>12.35866895</v>
      </c>
    </row>
    <row r="10">
      <c r="A10" s="33" t="s">
        <v>21</v>
      </c>
      <c r="B10" s="32">
        <f t="shared" si="1"/>
        <v>36</v>
      </c>
      <c r="C10" s="9">
        <f t="shared" si="2"/>
        <v>0.2640485012</v>
      </c>
      <c r="D10" s="9"/>
      <c r="E10" s="33">
        <v>20.0</v>
      </c>
      <c r="F10" s="33">
        <v>41.0</v>
      </c>
      <c r="G10" s="9">
        <v>0.49057411486322694</v>
      </c>
      <c r="H10" s="9">
        <v>0.2203180180560083</v>
      </c>
      <c r="J10" s="9">
        <f>'2023-24'!K10</f>
        <v>-2.123742398</v>
      </c>
      <c r="K10" s="9">
        <f>'M + T Totals'!G10</f>
        <v>-7.794933369</v>
      </c>
      <c r="L10" s="9">
        <f t="shared" si="3"/>
        <v>-9.918675767</v>
      </c>
    </row>
    <row r="11">
      <c r="A11" s="33" t="s">
        <v>22</v>
      </c>
      <c r="B11" s="32">
        <f t="shared" si="1"/>
        <v>6</v>
      </c>
      <c r="C11" s="9">
        <f t="shared" si="2"/>
        <v>0.872731963</v>
      </c>
      <c r="D11" s="9"/>
      <c r="E11" s="33">
        <v>7.0</v>
      </c>
      <c r="F11" s="33">
        <v>6.0</v>
      </c>
      <c r="G11" s="9">
        <v>0.7591078736183149</v>
      </c>
      <c r="H11" s="9">
        <v>0.8145488992947321</v>
      </c>
      <c r="J11" s="9">
        <f>'2023-24'!K11</f>
        <v>3.832070555</v>
      </c>
      <c r="K11" s="9">
        <f>'M + T Totals'!G11</f>
        <v>9.921913248</v>
      </c>
      <c r="L11" s="9">
        <f t="shared" si="3"/>
        <v>13.7539838</v>
      </c>
    </row>
    <row r="12">
      <c r="A12" s="33" t="s">
        <v>23</v>
      </c>
      <c r="B12" s="32">
        <f t="shared" si="1"/>
        <v>12</v>
      </c>
      <c r="C12" s="9">
        <f t="shared" si="2"/>
        <v>0.6375594461</v>
      </c>
      <c r="D12" s="9"/>
      <c r="E12" s="33">
        <v>25.0</v>
      </c>
      <c r="F12" s="33">
        <v>10.0</v>
      </c>
      <c r="G12" s="9">
        <v>0.45695390221947424</v>
      </c>
      <c r="H12" s="9">
        <v>0.7814576706529379</v>
      </c>
      <c r="J12" s="9">
        <f>'2023-24'!K12</f>
        <v>3.072095435</v>
      </c>
      <c r="K12" s="9">
        <f>'M + T Totals'!G12</f>
        <v>1.535658379</v>
      </c>
      <c r="L12" s="9">
        <f t="shared" si="3"/>
        <v>4.607753814</v>
      </c>
    </row>
    <row r="13">
      <c r="A13" s="33" t="s">
        <v>25</v>
      </c>
      <c r="B13" s="32">
        <f t="shared" si="1"/>
        <v>13</v>
      </c>
      <c r="C13" s="9">
        <f t="shared" si="2"/>
        <v>0.6276605037</v>
      </c>
      <c r="D13" s="9"/>
      <c r="E13" s="33">
        <v>9.0</v>
      </c>
      <c r="F13" s="33">
        <v>19.0</v>
      </c>
      <c r="G13" s="9">
        <v>0.6591876074623805</v>
      </c>
      <c r="H13" s="9">
        <v>0.6449893826645262</v>
      </c>
      <c r="J13" s="9">
        <f>'2023-24'!K13</f>
        <v>2.872159906</v>
      </c>
      <c r="K13" s="9">
        <f>'M + T Totals'!G13</f>
        <v>1.35060843</v>
      </c>
      <c r="L13" s="9">
        <f t="shared" si="3"/>
        <v>4.222768335</v>
      </c>
    </row>
    <row r="14">
      <c r="A14" s="33" t="s">
        <v>26</v>
      </c>
      <c r="B14" s="32">
        <f t="shared" si="1"/>
        <v>20</v>
      </c>
      <c r="C14" s="9">
        <f t="shared" si="2"/>
        <v>0.5399990571</v>
      </c>
      <c r="D14" s="9"/>
      <c r="E14" s="33">
        <v>24.0</v>
      </c>
      <c r="F14" s="33">
        <v>20.0</v>
      </c>
      <c r="G14" s="9">
        <v>0.4594496165401081</v>
      </c>
      <c r="H14" s="9">
        <v>0.6317294138493073</v>
      </c>
      <c r="J14" s="9">
        <f>'2023-24'!K14</f>
        <v>2.276207704</v>
      </c>
      <c r="K14" s="9">
        <f>'M + T Totals'!G14</f>
        <v>-1.462731248</v>
      </c>
      <c r="L14" s="9">
        <f t="shared" si="3"/>
        <v>0.813476456</v>
      </c>
    </row>
    <row r="15">
      <c r="A15" s="33" t="s">
        <v>27</v>
      </c>
      <c r="B15" s="32">
        <f t="shared" si="1"/>
        <v>21</v>
      </c>
      <c r="C15" s="9">
        <f t="shared" si="2"/>
        <v>0.5029139203</v>
      </c>
      <c r="D15" s="9"/>
      <c r="E15" s="33">
        <v>15.0</v>
      </c>
      <c r="F15" s="33">
        <v>34.0</v>
      </c>
      <c r="G15" s="9">
        <v>0.5824052255276463</v>
      </c>
      <c r="H15" s="9">
        <v>0.43365392229928</v>
      </c>
      <c r="J15" s="9">
        <f>'2023-24'!K15</f>
        <v>2.706288417</v>
      </c>
      <c r="K15" s="9">
        <f>'M + T Totals'!G15</f>
        <v>-3.335111404</v>
      </c>
      <c r="L15" s="9">
        <f t="shared" si="3"/>
        <v>-0.6288229869</v>
      </c>
    </row>
    <row r="16">
      <c r="A16" s="33" t="s">
        <v>28</v>
      </c>
      <c r="B16" s="32">
        <f t="shared" si="1"/>
        <v>31</v>
      </c>
      <c r="C16" s="9">
        <f t="shared" si="2"/>
        <v>0.4330427663</v>
      </c>
      <c r="D16" s="9"/>
      <c r="E16" s="33">
        <v>34.0</v>
      </c>
      <c r="F16" s="33">
        <v>17.0</v>
      </c>
      <c r="G16" s="9">
        <v>0.21681031944070123</v>
      </c>
      <c r="H16" s="9">
        <v>0.690555774164534</v>
      </c>
      <c r="J16" s="9">
        <f>'2023-24'!K16</f>
        <v>-1.246119274</v>
      </c>
      <c r="K16" s="9">
        <f>'M + T Totals'!G16</f>
        <v>-2.100103062</v>
      </c>
      <c r="L16" s="9">
        <f t="shared" si="3"/>
        <v>-3.346222336</v>
      </c>
    </row>
    <row r="17">
      <c r="A17" s="33" t="s">
        <v>29</v>
      </c>
      <c r="B17" s="32">
        <f t="shared" si="1"/>
        <v>2</v>
      </c>
      <c r="C17" s="9">
        <f t="shared" si="2"/>
        <v>0.9931645662</v>
      </c>
      <c r="D17" s="9"/>
      <c r="E17" s="33">
        <v>2.0</v>
      </c>
      <c r="F17" s="33">
        <v>2.0</v>
      </c>
      <c r="G17" s="9">
        <v>0.9567057293086669</v>
      </c>
      <c r="H17" s="9">
        <v>0.8754319077740131</v>
      </c>
      <c r="J17" s="9">
        <f>'2023-24'!K17</f>
        <v>6.566481743</v>
      </c>
      <c r="K17" s="9">
        <f>'M + T Totals'!G17</f>
        <v>11.87131589</v>
      </c>
      <c r="L17" s="9">
        <f t="shared" si="3"/>
        <v>18.43779763</v>
      </c>
    </row>
    <row r="18">
      <c r="A18" s="33" t="s">
        <v>30</v>
      </c>
      <c r="B18" s="32">
        <f t="shared" si="1"/>
        <v>24</v>
      </c>
      <c r="C18" s="9">
        <f t="shared" si="2"/>
        <v>0.4847483717</v>
      </c>
      <c r="D18" s="9"/>
      <c r="E18" s="33">
        <v>33.0</v>
      </c>
      <c r="F18" s="33">
        <v>13.0</v>
      </c>
      <c r="G18" s="9">
        <v>0.23571524935266192</v>
      </c>
      <c r="H18" s="9">
        <v>0.7302329154090946</v>
      </c>
      <c r="J18" s="9">
        <f>'2023-24'!K18</f>
        <v>-1.89250706</v>
      </c>
      <c r="K18" s="9">
        <f>'M + T Totals'!G18</f>
        <v>0.5571972451</v>
      </c>
      <c r="L18" s="9">
        <f t="shared" si="3"/>
        <v>-1.335309815</v>
      </c>
    </row>
    <row r="19">
      <c r="A19" s="33" t="s">
        <v>31</v>
      </c>
      <c r="B19" s="32">
        <f t="shared" si="1"/>
        <v>41</v>
      </c>
      <c r="C19" s="9">
        <f t="shared" si="2"/>
        <v>0.02420188998</v>
      </c>
      <c r="D19" s="9"/>
      <c r="E19" s="33">
        <v>35.0</v>
      </c>
      <c r="F19" s="33">
        <v>39.0</v>
      </c>
      <c r="G19" s="9">
        <v>0.13029821515741788</v>
      </c>
      <c r="H19" s="9">
        <v>0.3001502829791817</v>
      </c>
      <c r="J19" s="9">
        <f>'2023-24'!K19</f>
        <v>-8.724384872</v>
      </c>
      <c r="K19" s="9">
        <f>'M + T Totals'!G19</f>
        <v>-10.52230378</v>
      </c>
      <c r="L19" s="9">
        <f t="shared" si="3"/>
        <v>-19.24668866</v>
      </c>
    </row>
    <row r="20">
      <c r="A20" s="33" t="s">
        <v>32</v>
      </c>
      <c r="B20" s="32">
        <f t="shared" si="1"/>
        <v>18</v>
      </c>
      <c r="C20" s="9">
        <f t="shared" si="2"/>
        <v>0.551211057</v>
      </c>
      <c r="D20" s="9"/>
      <c r="E20" s="33">
        <v>32.0</v>
      </c>
      <c r="F20" s="33">
        <v>3.0</v>
      </c>
      <c r="G20" s="9">
        <v>0.2964267393484093</v>
      </c>
      <c r="H20" s="9">
        <v>0.8503495813521378</v>
      </c>
      <c r="J20" s="9">
        <f>'2023-24'!K20</f>
        <v>0.2294964093</v>
      </c>
      <c r="K20" s="9">
        <f>'M + T Totals'!G20</f>
        <v>1.020032404</v>
      </c>
      <c r="L20" s="9">
        <f t="shared" si="3"/>
        <v>1.249528814</v>
      </c>
    </row>
    <row r="21">
      <c r="A21" s="33" t="s">
        <v>33</v>
      </c>
      <c r="B21" s="32">
        <f t="shared" si="1"/>
        <v>9</v>
      </c>
      <c r="C21" s="9">
        <f t="shared" si="2"/>
        <v>0.6905923608</v>
      </c>
      <c r="D21" s="9"/>
      <c r="E21" s="33">
        <v>22.0</v>
      </c>
      <c r="F21" s="33">
        <v>11.0</v>
      </c>
      <c r="G21" s="9">
        <v>0.4680346041707758</v>
      </c>
      <c r="H21" s="9">
        <v>0.7752592266902298</v>
      </c>
      <c r="J21" s="9">
        <f>'2023-24'!K21</f>
        <v>2.655584481</v>
      </c>
      <c r="K21" s="9">
        <f>'M + T Totals'!G21</f>
        <v>4.014703005</v>
      </c>
      <c r="L21" s="9">
        <f t="shared" si="3"/>
        <v>6.670287486</v>
      </c>
    </row>
    <row r="22">
      <c r="A22" s="33" t="s">
        <v>34</v>
      </c>
      <c r="B22" s="32">
        <f t="shared" si="1"/>
        <v>10</v>
      </c>
      <c r="C22" s="9">
        <f t="shared" si="2"/>
        <v>0.6437518036</v>
      </c>
      <c r="D22" s="9"/>
      <c r="E22" s="33">
        <v>31.0</v>
      </c>
      <c r="F22" s="33">
        <v>7.0</v>
      </c>
      <c r="G22" s="9">
        <v>0.32524053123605545</v>
      </c>
      <c r="H22" s="9">
        <v>0.8135393607447978</v>
      </c>
      <c r="J22" s="9">
        <f>'2023-24'!K22</f>
        <v>1.464425214</v>
      </c>
      <c r="K22" s="9">
        <f>'M + T Totals'!G22</f>
        <v>3.384159146</v>
      </c>
      <c r="L22" s="9">
        <f t="shared" si="3"/>
        <v>4.84858436</v>
      </c>
    </row>
    <row r="23">
      <c r="A23" s="33" t="s">
        <v>35</v>
      </c>
      <c r="B23" s="32">
        <f t="shared" si="1"/>
        <v>33</v>
      </c>
      <c r="C23" s="9">
        <f t="shared" si="2"/>
        <v>0.3712527764</v>
      </c>
      <c r="D23" s="9"/>
      <c r="E23" s="33">
        <v>18.0</v>
      </c>
      <c r="F23" s="33">
        <v>36.0</v>
      </c>
      <c r="G23" s="9">
        <v>0.5366624471475431</v>
      </c>
      <c r="H23" s="9">
        <v>0.3789636412087495</v>
      </c>
      <c r="J23" s="9">
        <f>'2023-24'!K23</f>
        <v>-2.241560557</v>
      </c>
      <c r="K23" s="9">
        <f>'M + T Totals'!G23</f>
        <v>-3.507771914</v>
      </c>
      <c r="L23" s="9">
        <f t="shared" si="3"/>
        <v>-5.749332471</v>
      </c>
    </row>
    <row r="24">
      <c r="A24" s="33" t="s">
        <v>36</v>
      </c>
      <c r="B24" s="32">
        <f t="shared" si="1"/>
        <v>23</v>
      </c>
      <c r="C24" s="9">
        <f t="shared" si="2"/>
        <v>0.4889174398</v>
      </c>
      <c r="D24" s="9"/>
      <c r="E24" s="33">
        <v>17.0</v>
      </c>
      <c r="F24" s="33">
        <v>33.0</v>
      </c>
      <c r="G24" s="9">
        <v>0.5634094108516218</v>
      </c>
      <c r="H24" s="9">
        <v>0.43520162090341286</v>
      </c>
      <c r="J24" s="9">
        <f>'2023-24'!K24</f>
        <v>1.142037078</v>
      </c>
      <c r="K24" s="9">
        <f>'M + T Totals'!G24</f>
        <v>-2.31520526</v>
      </c>
      <c r="L24" s="9">
        <f t="shared" si="3"/>
        <v>-1.173168182</v>
      </c>
    </row>
    <row r="25">
      <c r="A25" s="33" t="s">
        <v>37</v>
      </c>
      <c r="B25" s="32">
        <f t="shared" si="1"/>
        <v>16</v>
      </c>
      <c r="C25" s="9">
        <f t="shared" si="2"/>
        <v>0.5891654697</v>
      </c>
      <c r="D25" s="9"/>
      <c r="E25" s="33">
        <v>21.0</v>
      </c>
      <c r="F25" s="33">
        <v>12.0</v>
      </c>
      <c r="G25" s="9">
        <v>0.47549094081850213</v>
      </c>
      <c r="H25" s="9">
        <v>0.7667531506886709</v>
      </c>
      <c r="J25" s="9">
        <f>'2023-24'!K25</f>
        <v>-0.2733088731</v>
      </c>
      <c r="K25" s="9">
        <f>'M + T Totals'!G25</f>
        <v>2.998944638</v>
      </c>
      <c r="L25" s="9">
        <f t="shared" si="3"/>
        <v>2.725635764</v>
      </c>
    </row>
    <row r="26">
      <c r="A26" s="33" t="s">
        <v>38</v>
      </c>
      <c r="B26" s="32">
        <f t="shared" si="1"/>
        <v>19</v>
      </c>
      <c r="C26" s="9">
        <f t="shared" si="2"/>
        <v>0.5458988865</v>
      </c>
      <c r="D26" s="9"/>
      <c r="E26" s="33">
        <v>23.0</v>
      </c>
      <c r="F26" s="33">
        <v>15.0</v>
      </c>
      <c r="G26" s="9">
        <v>0.46361722140103895</v>
      </c>
      <c r="H26" s="9">
        <v>0.7175962367354445</v>
      </c>
      <c r="J26" s="9">
        <f>'2023-24'!K26</f>
        <v>0.6431209831</v>
      </c>
      <c r="K26" s="9">
        <f>'M + T Totals'!G26</f>
        <v>0.3998091401</v>
      </c>
      <c r="L26" s="9">
        <f t="shared" si="3"/>
        <v>1.042930123</v>
      </c>
    </row>
    <row r="27">
      <c r="A27" s="33" t="s">
        <v>39</v>
      </c>
      <c r="B27" s="32">
        <f t="shared" si="1"/>
        <v>40</v>
      </c>
      <c r="C27" s="9">
        <f t="shared" si="2"/>
        <v>0.08739060174</v>
      </c>
      <c r="D27" s="9"/>
      <c r="E27" s="33">
        <v>40.0</v>
      </c>
      <c r="F27" s="33">
        <v>40.0</v>
      </c>
      <c r="G27" s="9">
        <v>0.08129020561623278</v>
      </c>
      <c r="H27" s="9">
        <v>0.24470257164131903</v>
      </c>
      <c r="J27" s="9">
        <f>'2023-24'!K27</f>
        <v>-7.906127085</v>
      </c>
      <c r="K27" s="9">
        <f>'M + T Totals'!G27</f>
        <v>-8.883052938</v>
      </c>
      <c r="L27" s="9">
        <f t="shared" si="3"/>
        <v>-16.78918002</v>
      </c>
    </row>
    <row r="28">
      <c r="A28" s="33" t="s">
        <v>40</v>
      </c>
      <c r="B28" s="32">
        <f t="shared" si="1"/>
        <v>11</v>
      </c>
      <c r="C28" s="9">
        <f t="shared" si="2"/>
        <v>0.6420300741</v>
      </c>
      <c r="D28" s="9"/>
      <c r="E28" s="33">
        <v>5.0</v>
      </c>
      <c r="F28" s="33">
        <v>25.0</v>
      </c>
      <c r="G28" s="9">
        <v>0.8056274488089619</v>
      </c>
      <c r="H28" s="9">
        <v>0.5674182459804158</v>
      </c>
      <c r="J28" s="9">
        <f>'2023-24'!K28</f>
        <v>2.967975931</v>
      </c>
      <c r="K28" s="9">
        <f>'M + T Totals'!G28</f>
        <v>1.813647653</v>
      </c>
      <c r="L28" s="9">
        <f t="shared" si="3"/>
        <v>4.781623584</v>
      </c>
    </row>
    <row r="29">
      <c r="A29" s="33" t="s">
        <v>41</v>
      </c>
      <c r="B29" s="32">
        <f t="shared" si="1"/>
        <v>25</v>
      </c>
      <c r="C29" s="9">
        <f t="shared" si="2"/>
        <v>0.4833946314</v>
      </c>
      <c r="D29" s="9"/>
      <c r="E29" s="33">
        <v>19.0</v>
      </c>
      <c r="F29" s="33">
        <v>23.0</v>
      </c>
      <c r="G29" s="9">
        <v>0.5219852437111661</v>
      </c>
      <c r="H29" s="9">
        <v>0.5795435640236768</v>
      </c>
      <c r="J29" s="9">
        <f>'2023-24'!K29</f>
        <v>-2.560667254</v>
      </c>
      <c r="K29" s="9">
        <f>'M + T Totals'!G29</f>
        <v>1.172708343</v>
      </c>
      <c r="L29" s="9">
        <f t="shared" si="3"/>
        <v>-1.387958911</v>
      </c>
    </row>
    <row r="30">
      <c r="A30" s="33" t="s">
        <v>42</v>
      </c>
      <c r="B30" s="32">
        <f t="shared" si="1"/>
        <v>38</v>
      </c>
      <c r="C30" s="9">
        <f t="shared" si="2"/>
        <v>0.2065035568</v>
      </c>
      <c r="D30" s="9"/>
      <c r="E30" s="33">
        <v>36.0</v>
      </c>
      <c r="F30" s="33">
        <v>21.0</v>
      </c>
      <c r="G30" s="9">
        <v>0.11955205129797512</v>
      </c>
      <c r="H30" s="9">
        <v>0.6253519815958098</v>
      </c>
      <c r="J30" s="9">
        <f>'2023-24'!K30</f>
        <v>-6.855149669</v>
      </c>
      <c r="K30" s="9">
        <f>'M + T Totals'!G30</f>
        <v>-5.301539719</v>
      </c>
      <c r="L30" s="9">
        <f t="shared" si="3"/>
        <v>-12.15668939</v>
      </c>
    </row>
    <row r="31">
      <c r="A31" s="33" t="s">
        <v>43</v>
      </c>
      <c r="B31" s="32">
        <f t="shared" si="1"/>
        <v>30</v>
      </c>
      <c r="C31" s="9">
        <f t="shared" si="2"/>
        <v>0.4342643679</v>
      </c>
      <c r="D31" s="9"/>
      <c r="E31" s="33">
        <v>29.0</v>
      </c>
      <c r="F31" s="33">
        <v>22.0</v>
      </c>
      <c r="G31" s="9">
        <v>0.3870787718336442</v>
      </c>
      <c r="H31" s="9">
        <v>0.6057171023170131</v>
      </c>
      <c r="J31" s="9">
        <f>'2023-24'!K31</f>
        <v>-3.203819752</v>
      </c>
      <c r="K31" s="9">
        <f>'M + T Totals'!G31</f>
        <v>-0.0948925713</v>
      </c>
      <c r="L31" s="9">
        <f t="shared" si="3"/>
        <v>-3.298712323</v>
      </c>
    </row>
    <row r="32">
      <c r="A32" s="33" t="s">
        <v>44</v>
      </c>
      <c r="B32" s="32">
        <f t="shared" si="1"/>
        <v>8</v>
      </c>
      <c r="C32" s="9">
        <f t="shared" si="2"/>
        <v>0.7060269284</v>
      </c>
      <c r="D32" s="9"/>
      <c r="E32" s="33">
        <v>10.0</v>
      </c>
      <c r="F32" s="33">
        <v>9.0</v>
      </c>
      <c r="G32" s="9">
        <v>0.6572421278040235</v>
      </c>
      <c r="H32" s="9">
        <v>0.7854059982312606</v>
      </c>
      <c r="J32" s="9">
        <f>'2023-24'!K32</f>
        <v>3.444362656</v>
      </c>
      <c r="K32" s="9">
        <f>'M + T Totals'!G32</f>
        <v>3.8261995</v>
      </c>
      <c r="L32" s="9">
        <f t="shared" si="3"/>
        <v>7.270562156</v>
      </c>
    </row>
    <row r="33">
      <c r="A33" s="33" t="s">
        <v>45</v>
      </c>
      <c r="B33" s="32">
        <f t="shared" si="1"/>
        <v>34</v>
      </c>
      <c r="C33" s="9">
        <f t="shared" si="2"/>
        <v>0.3015150403</v>
      </c>
      <c r="D33" s="9"/>
      <c r="E33" s="33">
        <v>42.0</v>
      </c>
      <c r="F33" s="33">
        <v>18.0</v>
      </c>
      <c r="G33" s="9">
        <v>0.0</v>
      </c>
      <c r="H33" s="9">
        <v>0.6679137914490172</v>
      </c>
      <c r="J33" s="9">
        <f>'2023-24'!K33</f>
        <v>-7.459721805</v>
      </c>
      <c r="K33" s="9">
        <f>'M + T Totals'!G33</f>
        <v>-1.00182118</v>
      </c>
      <c r="L33" s="9">
        <f t="shared" si="3"/>
        <v>-8.461542985</v>
      </c>
    </row>
    <row r="34">
      <c r="A34" s="33" t="s">
        <v>46</v>
      </c>
      <c r="B34" s="32">
        <f t="shared" si="1"/>
        <v>5</v>
      </c>
      <c r="C34" s="9">
        <f t="shared" si="2"/>
        <v>0.8932620777</v>
      </c>
      <c r="D34" s="9"/>
      <c r="E34" s="33">
        <v>1.0</v>
      </c>
      <c r="F34" s="33">
        <v>14.0</v>
      </c>
      <c r="G34" s="9">
        <v>1.0</v>
      </c>
      <c r="H34" s="9">
        <v>0.7258312624504211</v>
      </c>
      <c r="J34" s="9">
        <f>'2023-24'!K34</f>
        <v>8.045998753</v>
      </c>
      <c r="K34" s="9">
        <f>'M + T Totals'!G34</f>
        <v>6.506433584</v>
      </c>
      <c r="L34" s="9">
        <f t="shared" si="3"/>
        <v>14.55243234</v>
      </c>
    </row>
    <row r="35">
      <c r="A35" s="33" t="s">
        <v>47</v>
      </c>
      <c r="B35" s="32">
        <f t="shared" si="1"/>
        <v>42</v>
      </c>
      <c r="C35" s="9">
        <f t="shared" si="2"/>
        <v>0</v>
      </c>
      <c r="D35" s="9"/>
      <c r="E35" s="33">
        <v>38.0</v>
      </c>
      <c r="F35" s="33">
        <v>42.0</v>
      </c>
      <c r="G35" s="9">
        <v>0.0919232558102837</v>
      </c>
      <c r="H35" s="9">
        <v>0.06614797954699897</v>
      </c>
      <c r="J35" s="9">
        <f>'2023-24'!K35</f>
        <v>-7.295302079</v>
      </c>
      <c r="K35" s="9">
        <f>'M + T Totals'!G35</f>
        <v>-12.89263624</v>
      </c>
      <c r="L35" s="9">
        <f t="shared" si="3"/>
        <v>-20.18793832</v>
      </c>
    </row>
    <row r="36">
      <c r="A36" s="33" t="s">
        <v>48</v>
      </c>
      <c r="B36" s="32">
        <f t="shared" si="1"/>
        <v>17</v>
      </c>
      <c r="C36" s="9">
        <f t="shared" si="2"/>
        <v>0.5604156658</v>
      </c>
      <c r="D36" s="9"/>
      <c r="E36" s="33">
        <v>13.0</v>
      </c>
      <c r="F36" s="33">
        <v>35.0</v>
      </c>
      <c r="G36" s="9">
        <v>0.6118754954657349</v>
      </c>
      <c r="H36" s="9">
        <v>0.42877971572791285</v>
      </c>
      <c r="J36" s="9">
        <f>'2023-24'!K36</f>
        <v>1.596186365</v>
      </c>
      <c r="K36" s="9">
        <f>'M + T Totals'!G36</f>
        <v>0.01132419624</v>
      </c>
      <c r="L36" s="9">
        <f t="shared" si="3"/>
        <v>1.607510561</v>
      </c>
    </row>
    <row r="37">
      <c r="A37" s="33" t="s">
        <v>49</v>
      </c>
      <c r="B37" s="32">
        <f t="shared" si="1"/>
        <v>29</v>
      </c>
      <c r="C37" s="9">
        <f t="shared" si="2"/>
        <v>0.4345029227</v>
      </c>
      <c r="D37" s="9"/>
      <c r="E37" s="33">
        <v>28.0</v>
      </c>
      <c r="F37" s="33">
        <v>32.0</v>
      </c>
      <c r="G37" s="9">
        <v>0.38713291987961973</v>
      </c>
      <c r="H37" s="9">
        <v>0.442555116360341</v>
      </c>
      <c r="J37" s="9">
        <f>'2023-24'!K37</f>
        <v>-0.2785830458</v>
      </c>
      <c r="K37" s="9">
        <f>'M + T Totals'!G37</f>
        <v>-3.010851506</v>
      </c>
      <c r="L37" s="9">
        <f t="shared" si="3"/>
        <v>-3.289434552</v>
      </c>
    </row>
    <row r="38">
      <c r="A38" s="33" t="s">
        <v>50</v>
      </c>
      <c r="B38" s="32">
        <f t="shared" si="1"/>
        <v>35</v>
      </c>
      <c r="C38" s="9">
        <f t="shared" si="2"/>
        <v>0.2891266887</v>
      </c>
      <c r="D38" s="9"/>
      <c r="E38" s="33">
        <v>41.0</v>
      </c>
      <c r="F38" s="33">
        <v>28.0</v>
      </c>
      <c r="G38" s="9">
        <v>0.07514396216990493</v>
      </c>
      <c r="H38" s="9">
        <v>0.5222363764663476</v>
      </c>
      <c r="J38" s="9">
        <f>'2023-24'!K38</f>
        <v>-5.231822557</v>
      </c>
      <c r="K38" s="9">
        <f>'M + T Totals'!G38</f>
        <v>-3.711522957</v>
      </c>
      <c r="L38" s="9">
        <f t="shared" si="3"/>
        <v>-8.943345514</v>
      </c>
    </row>
    <row r="39">
      <c r="A39" s="33" t="s">
        <v>51</v>
      </c>
      <c r="B39" s="32">
        <f t="shared" si="1"/>
        <v>39</v>
      </c>
      <c r="C39" s="9">
        <f t="shared" si="2"/>
        <v>0.1208630727</v>
      </c>
      <c r="D39" s="9"/>
      <c r="E39" s="33">
        <v>39.0</v>
      </c>
      <c r="F39" s="33">
        <v>31.0</v>
      </c>
      <c r="G39" s="9">
        <v>0.0873157561492854</v>
      </c>
      <c r="H39" s="9">
        <v>0.44735942206323964</v>
      </c>
      <c r="J39" s="9">
        <f>'2023-24'!K39</f>
        <v>-7.1820509</v>
      </c>
      <c r="K39" s="9">
        <f>'M + T Totals'!G39</f>
        <v>-8.305331951</v>
      </c>
      <c r="L39" s="9">
        <f t="shared" si="3"/>
        <v>-15.48738285</v>
      </c>
    </row>
    <row r="40">
      <c r="A40" s="33" t="s">
        <v>52</v>
      </c>
      <c r="B40" s="32">
        <f t="shared" si="1"/>
        <v>32</v>
      </c>
      <c r="C40" s="9">
        <f t="shared" si="2"/>
        <v>0.4173750543</v>
      </c>
      <c r="D40" s="9"/>
      <c r="E40" s="33">
        <v>30.0</v>
      </c>
      <c r="F40" s="33">
        <v>26.0</v>
      </c>
      <c r="G40" s="9">
        <v>0.3761839665399086</v>
      </c>
      <c r="H40" s="9">
        <v>0.5552107752385775</v>
      </c>
      <c r="J40" s="9">
        <f>'2023-24'!K40</f>
        <v>-0.4310049269</v>
      </c>
      <c r="K40" s="9">
        <f>'M + T Totals'!G40</f>
        <v>-3.524559431</v>
      </c>
      <c r="L40" s="9">
        <f t="shared" si="3"/>
        <v>-3.955564358</v>
      </c>
    </row>
    <row r="41">
      <c r="A41" s="33" t="s">
        <v>53</v>
      </c>
      <c r="B41" s="32">
        <f t="shared" si="1"/>
        <v>37</v>
      </c>
      <c r="C41" s="9">
        <f t="shared" si="2"/>
        <v>0.2439066035</v>
      </c>
      <c r="D41" s="9"/>
      <c r="E41" s="33">
        <v>37.0</v>
      </c>
      <c r="F41" s="33">
        <v>29.0</v>
      </c>
      <c r="G41" s="9">
        <v>0.11355688094401198</v>
      </c>
      <c r="H41" s="9">
        <v>0.4552667550364989</v>
      </c>
      <c r="J41" s="9">
        <f>'2023-24'!K41</f>
        <v>-5.959617199</v>
      </c>
      <c r="K41" s="9">
        <f>'M + T Totals'!G41</f>
        <v>-4.742408728</v>
      </c>
      <c r="L41" s="9">
        <f t="shared" si="3"/>
        <v>-10.70202593</v>
      </c>
    </row>
    <row r="42">
      <c r="A42" s="33" t="s">
        <v>54</v>
      </c>
      <c r="B42" s="32">
        <f t="shared" si="1"/>
        <v>27</v>
      </c>
      <c r="C42" s="9">
        <f t="shared" si="2"/>
        <v>0.4482439179</v>
      </c>
      <c r="D42" s="9"/>
      <c r="E42" s="33">
        <v>16.0</v>
      </c>
      <c r="F42" s="33">
        <v>37.0</v>
      </c>
      <c r="G42" s="9">
        <v>0.5747595701976845</v>
      </c>
      <c r="H42" s="9">
        <v>0.36969483542645615</v>
      </c>
      <c r="J42" s="9">
        <f>'2023-24'!K42</f>
        <v>-1.351828949</v>
      </c>
      <c r="K42" s="9">
        <f>'M + T Totals'!G42</f>
        <v>-1.403196634</v>
      </c>
      <c r="L42" s="9">
        <f t="shared" si="3"/>
        <v>-2.755025583</v>
      </c>
    </row>
    <row r="43">
      <c r="A43" s="33" t="s">
        <v>55</v>
      </c>
      <c r="B43" s="32">
        <f t="shared" si="1"/>
        <v>28</v>
      </c>
      <c r="C43" s="9">
        <f t="shared" si="2"/>
        <v>0.4416665175</v>
      </c>
      <c r="D43" s="9"/>
      <c r="E43" s="33">
        <v>27.0</v>
      </c>
      <c r="F43" s="33">
        <v>24.0</v>
      </c>
      <c r="G43" s="9">
        <v>0.3914239975883904</v>
      </c>
      <c r="H43" s="9">
        <v>0.5759027775138155</v>
      </c>
      <c r="J43" s="9">
        <f>'2023-24'!K43</f>
        <v>-1.586170662</v>
      </c>
      <c r="K43" s="9">
        <f>'M + T Totals'!G43</f>
        <v>-1.42466039</v>
      </c>
      <c r="L43" s="9">
        <f t="shared" si="3"/>
        <v>-3.010831053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7.63"/>
  </cols>
  <sheetData>
    <row r="1">
      <c r="A1" s="1" t="s">
        <v>0</v>
      </c>
      <c r="B1" s="2" t="s">
        <v>68</v>
      </c>
      <c r="C1" s="2" t="s">
        <v>69</v>
      </c>
    </row>
    <row r="2">
      <c r="A2" s="35" t="s">
        <v>70</v>
      </c>
      <c r="B2" s="7">
        <f t="shared" ref="B2:B41" si="1">RANK(C2,$C$2:$C$41)</f>
        <v>13</v>
      </c>
      <c r="C2" s="9">
        <f>('AHL Movement'!J2+'AHL Tracking'!J2)/2</f>
        <v>0.5115557863</v>
      </c>
    </row>
    <row r="3">
      <c r="A3" s="35" t="s">
        <v>71</v>
      </c>
      <c r="B3" s="7">
        <f t="shared" si="1"/>
        <v>40</v>
      </c>
      <c r="C3" s="9">
        <f>('AHL Movement'!J3+'AHL Tracking'!J3)/2</f>
        <v>0.1655381506</v>
      </c>
    </row>
    <row r="4">
      <c r="A4" s="35" t="s">
        <v>72</v>
      </c>
      <c r="B4" s="7">
        <f t="shared" si="1"/>
        <v>18</v>
      </c>
      <c r="C4" s="9">
        <f>('AHL Movement'!J4+'AHL Tracking'!J4)/2</f>
        <v>0.5002335605</v>
      </c>
    </row>
    <row r="5">
      <c r="A5" s="36" t="s">
        <v>73</v>
      </c>
      <c r="B5" s="7">
        <f t="shared" si="1"/>
        <v>11</v>
      </c>
      <c r="C5" s="9">
        <f>('AHL Movement'!J5+'AHL Tracking'!J5)/2</f>
        <v>0.5267546844</v>
      </c>
    </row>
    <row r="6">
      <c r="A6" s="36" t="s">
        <v>74</v>
      </c>
      <c r="B6" s="7">
        <f t="shared" si="1"/>
        <v>12</v>
      </c>
      <c r="C6" s="9">
        <f>('AHL Movement'!J6+'AHL Tracking'!J6)/2</f>
        <v>0.5225388376</v>
      </c>
    </row>
    <row r="7">
      <c r="A7" s="36" t="s">
        <v>75</v>
      </c>
      <c r="B7" s="7">
        <f t="shared" si="1"/>
        <v>9</v>
      </c>
      <c r="C7" s="9">
        <f>('AHL Movement'!J7+'AHL Tracking'!J7)/2</f>
        <v>0.5663262347</v>
      </c>
    </row>
    <row r="8">
      <c r="A8" s="36" t="s">
        <v>76</v>
      </c>
      <c r="B8" s="7">
        <f t="shared" si="1"/>
        <v>2</v>
      </c>
      <c r="C8" s="9">
        <f>('AHL Movement'!J8+'AHL Tracking'!J8)/2</f>
        <v>0.7438265934</v>
      </c>
      <c r="D8" s="14" t="s">
        <v>77</v>
      </c>
    </row>
    <row r="9">
      <c r="A9" s="35" t="s">
        <v>78</v>
      </c>
      <c r="B9" s="7">
        <f t="shared" si="1"/>
        <v>30</v>
      </c>
      <c r="C9" s="9">
        <f>('AHL Movement'!J9+'AHL Tracking'!J9)/2</f>
        <v>0.4008883376</v>
      </c>
    </row>
    <row r="10">
      <c r="A10" s="36" t="s">
        <v>79</v>
      </c>
      <c r="B10" s="7">
        <f t="shared" si="1"/>
        <v>3</v>
      </c>
      <c r="C10" s="9">
        <f>('AHL Movement'!J10+'AHL Tracking'!J10)/2</f>
        <v>0.7192048113</v>
      </c>
      <c r="D10" s="14" t="s">
        <v>77</v>
      </c>
    </row>
    <row r="11">
      <c r="A11" s="35" t="s">
        <v>80</v>
      </c>
      <c r="B11" s="7">
        <f t="shared" si="1"/>
        <v>28</v>
      </c>
      <c r="C11" s="9">
        <f>('AHL Movement'!J11+'AHL Tracking'!J11)/2</f>
        <v>0.4392501649</v>
      </c>
    </row>
    <row r="12">
      <c r="A12" s="35" t="s">
        <v>81</v>
      </c>
      <c r="B12" s="7">
        <f t="shared" si="1"/>
        <v>26</v>
      </c>
      <c r="C12" s="9">
        <f>('AHL Movement'!J12+'AHL Tracking'!J12)/2</f>
        <v>0.4508859281</v>
      </c>
    </row>
    <row r="13">
      <c r="A13" s="36" t="s">
        <v>82</v>
      </c>
      <c r="B13" s="7">
        <f t="shared" si="1"/>
        <v>10</v>
      </c>
      <c r="C13" s="9">
        <f>('AHL Movement'!J13+'AHL Tracking'!J13)/2</f>
        <v>0.5289727149</v>
      </c>
    </row>
    <row r="14">
      <c r="A14" s="36" t="s">
        <v>83</v>
      </c>
      <c r="B14" s="7">
        <f t="shared" si="1"/>
        <v>8</v>
      </c>
      <c r="C14" s="9">
        <f>('AHL Movement'!J14+'AHL Tracking'!J14)/2</f>
        <v>0.5747863282</v>
      </c>
    </row>
    <row r="15">
      <c r="A15" s="35" t="s">
        <v>84</v>
      </c>
      <c r="B15" s="7">
        <f t="shared" si="1"/>
        <v>24</v>
      </c>
      <c r="C15" s="9">
        <f>('AHL Movement'!J15+'AHL Tracking'!J15)/2</f>
        <v>0.4719825929</v>
      </c>
    </row>
    <row r="16">
      <c r="A16" s="35" t="s">
        <v>85</v>
      </c>
      <c r="B16" s="7">
        <f t="shared" si="1"/>
        <v>19</v>
      </c>
      <c r="C16" s="9">
        <f>('AHL Movement'!J16+'AHL Tracking'!J16)/2</f>
        <v>0.4974101417</v>
      </c>
    </row>
    <row r="17">
      <c r="A17" s="35" t="s">
        <v>86</v>
      </c>
      <c r="B17" s="7">
        <f t="shared" si="1"/>
        <v>22</v>
      </c>
      <c r="C17" s="9">
        <f>('AHL Movement'!J17+'AHL Tracking'!J17)/2</f>
        <v>0.4846736327</v>
      </c>
    </row>
    <row r="18">
      <c r="A18" s="36" t="s">
        <v>87</v>
      </c>
      <c r="B18" s="7">
        <f t="shared" si="1"/>
        <v>5</v>
      </c>
      <c r="C18" s="9">
        <f>('AHL Movement'!J18+'AHL Tracking'!J18)/2</f>
        <v>0.6214959986</v>
      </c>
      <c r="D18" s="14" t="s">
        <v>77</v>
      </c>
    </row>
    <row r="19">
      <c r="A19" s="36" t="s">
        <v>88</v>
      </c>
      <c r="B19" s="7">
        <f t="shared" si="1"/>
        <v>4</v>
      </c>
      <c r="C19" s="9">
        <f>('AHL Movement'!J19+'AHL Tracking'!J19)/2</f>
        <v>0.6424335083</v>
      </c>
      <c r="D19" s="14" t="s">
        <v>77</v>
      </c>
    </row>
    <row r="20">
      <c r="A20" s="36" t="s">
        <v>89</v>
      </c>
      <c r="B20" s="7">
        <f t="shared" si="1"/>
        <v>1</v>
      </c>
      <c r="C20" s="9">
        <f>('AHL Movement'!J20+'AHL Tracking'!J20)/2</f>
        <v>1</v>
      </c>
      <c r="D20" s="14" t="s">
        <v>77</v>
      </c>
    </row>
    <row r="21">
      <c r="A21" s="35" t="s">
        <v>90</v>
      </c>
      <c r="B21" s="7">
        <f t="shared" si="1"/>
        <v>23</v>
      </c>
      <c r="C21" s="9">
        <f>('AHL Movement'!J21+'AHL Tracking'!J21)/2</f>
        <v>0.4773221459</v>
      </c>
    </row>
    <row r="22">
      <c r="A22" s="35" t="s">
        <v>91</v>
      </c>
      <c r="B22" s="7">
        <f t="shared" si="1"/>
        <v>38</v>
      </c>
      <c r="C22" s="9">
        <f>('AHL Movement'!J22+'AHL Tracking'!J22)/2</f>
        <v>0.2272501961</v>
      </c>
    </row>
    <row r="23">
      <c r="A23" s="35" t="s">
        <v>92</v>
      </c>
      <c r="B23" s="7">
        <f t="shared" si="1"/>
        <v>39</v>
      </c>
      <c r="C23" s="9">
        <f>('AHL Movement'!J23+'AHL Tracking'!J23)/2</f>
        <v>0.2132769007</v>
      </c>
    </row>
    <row r="24">
      <c r="A24" s="36" t="s">
        <v>93</v>
      </c>
      <c r="B24" s="7">
        <f t="shared" si="1"/>
        <v>6</v>
      </c>
      <c r="C24" s="9">
        <f>('AHL Movement'!J24+'AHL Tracking'!J24)/2</f>
        <v>0.5849537767</v>
      </c>
    </row>
    <row r="25">
      <c r="A25" s="36" t="s">
        <v>94</v>
      </c>
      <c r="B25" s="7">
        <f t="shared" si="1"/>
        <v>7</v>
      </c>
      <c r="C25" s="9">
        <f>('AHL Movement'!J25+'AHL Tracking'!J25)/2</f>
        <v>0.5803221418</v>
      </c>
    </row>
    <row r="26">
      <c r="A26" s="35" t="s">
        <v>95</v>
      </c>
      <c r="B26" s="7">
        <f t="shared" si="1"/>
        <v>29</v>
      </c>
      <c r="C26" s="9">
        <f>('AHL Movement'!J26+'AHL Tracking'!J26)/2</f>
        <v>0.4329721752</v>
      </c>
    </row>
    <row r="27">
      <c r="A27" s="35" t="s">
        <v>96</v>
      </c>
      <c r="B27" s="7">
        <f t="shared" si="1"/>
        <v>17</v>
      </c>
      <c r="C27" s="9">
        <f>('AHL Movement'!J27+'AHL Tracking'!J27)/2</f>
        <v>0.5032241075</v>
      </c>
    </row>
    <row r="28">
      <c r="A28" s="35" t="s">
        <v>97</v>
      </c>
      <c r="B28" s="7">
        <f t="shared" si="1"/>
        <v>37</v>
      </c>
      <c r="C28" s="9">
        <f>('AHL Movement'!J28+'AHL Tracking'!J28)/2</f>
        <v>0.2689957543</v>
      </c>
    </row>
    <row r="29">
      <c r="A29" s="35" t="s">
        <v>98</v>
      </c>
      <c r="B29" s="7">
        <f t="shared" si="1"/>
        <v>34</v>
      </c>
      <c r="C29" s="9">
        <f>('AHL Movement'!J29+'AHL Tracking'!J29)/2</f>
        <v>0.3553326183</v>
      </c>
    </row>
    <row r="30">
      <c r="A30" s="35" t="s">
        <v>99</v>
      </c>
      <c r="B30" s="7">
        <f t="shared" si="1"/>
        <v>36</v>
      </c>
      <c r="C30" s="9">
        <f>('AHL Movement'!J30+'AHL Tracking'!J30)/2</f>
        <v>0.2951368479</v>
      </c>
    </row>
    <row r="31">
      <c r="A31" s="35" t="s">
        <v>100</v>
      </c>
      <c r="B31" s="7">
        <f t="shared" si="1"/>
        <v>20</v>
      </c>
      <c r="C31" s="9">
        <f>('AHL Movement'!J31+'AHL Tracking'!J31)/2</f>
        <v>0.4960321432</v>
      </c>
    </row>
    <row r="32">
      <c r="A32" s="35" t="s">
        <v>101</v>
      </c>
      <c r="B32" s="7">
        <f t="shared" si="1"/>
        <v>31</v>
      </c>
      <c r="C32" s="9">
        <f>('AHL Movement'!J32+'AHL Tracking'!J32)/2</f>
        <v>0.3813558624</v>
      </c>
    </row>
    <row r="33">
      <c r="A33" s="35" t="s">
        <v>102</v>
      </c>
      <c r="B33" s="7">
        <f t="shared" si="1"/>
        <v>14</v>
      </c>
      <c r="C33" s="9">
        <f>('AHL Movement'!J33+'AHL Tracking'!J33)/2</f>
        <v>0.5096610964</v>
      </c>
    </row>
    <row r="34">
      <c r="A34" s="35" t="s">
        <v>103</v>
      </c>
      <c r="B34" s="7">
        <f t="shared" si="1"/>
        <v>33</v>
      </c>
      <c r="C34" s="9">
        <f>('AHL Movement'!J34+'AHL Tracking'!J34)/2</f>
        <v>0.360082492</v>
      </c>
    </row>
    <row r="35">
      <c r="A35" s="35" t="s">
        <v>104</v>
      </c>
      <c r="B35" s="7">
        <f t="shared" si="1"/>
        <v>16</v>
      </c>
      <c r="C35" s="9">
        <f>('AHL Movement'!J35+'AHL Tracking'!J35)/2</f>
        <v>0.5070800444</v>
      </c>
    </row>
    <row r="36">
      <c r="A36" s="35" t="s">
        <v>105</v>
      </c>
      <c r="B36" s="7">
        <f t="shared" si="1"/>
        <v>25</v>
      </c>
      <c r="C36" s="9">
        <f>('AHL Movement'!J36+'AHL Tracking'!J36)/2</f>
        <v>0.4617777233</v>
      </c>
    </row>
    <row r="37">
      <c r="A37" s="35" t="s">
        <v>106</v>
      </c>
      <c r="B37" s="7">
        <f t="shared" si="1"/>
        <v>35</v>
      </c>
      <c r="C37" s="9">
        <f>('AHL Movement'!J37+'AHL Tracking'!J37)/2</f>
        <v>0.3387982537</v>
      </c>
    </row>
    <row r="38">
      <c r="A38" s="35" t="s">
        <v>107</v>
      </c>
      <c r="B38" s="7">
        <f t="shared" si="1"/>
        <v>32</v>
      </c>
      <c r="C38" s="9">
        <f>('AHL Movement'!J38+'AHL Tracking'!J38)/2</f>
        <v>0.3753143062</v>
      </c>
    </row>
    <row r="39">
      <c r="A39" s="35" t="s">
        <v>108</v>
      </c>
      <c r="B39" s="7">
        <f t="shared" si="1"/>
        <v>27</v>
      </c>
      <c r="C39" s="9">
        <f>('AHL Movement'!J39+'AHL Tracking'!J39)/2</f>
        <v>0.4489156121</v>
      </c>
    </row>
    <row r="40">
      <c r="A40" s="35" t="s">
        <v>109</v>
      </c>
      <c r="B40" s="7">
        <f t="shared" si="1"/>
        <v>21</v>
      </c>
      <c r="C40" s="9">
        <f>('AHL Movement'!J40+'AHL Tracking'!J40)/2</f>
        <v>0.4945072067</v>
      </c>
    </row>
    <row r="41">
      <c r="A41" s="35" t="s">
        <v>110</v>
      </c>
      <c r="B41" s="7">
        <f t="shared" si="1"/>
        <v>15</v>
      </c>
      <c r="C41" s="9">
        <f>('AHL Movement'!J41+'AHL Tracking'!J41)/2</f>
        <v>0.5091350552</v>
      </c>
    </row>
    <row r="42">
      <c r="A42" s="6"/>
      <c r="B42" s="7"/>
      <c r="C42" s="9"/>
    </row>
    <row r="43">
      <c r="A43" s="6"/>
      <c r="B43" s="7"/>
      <c r="C43" s="9"/>
    </row>
    <row r="45">
      <c r="F45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7" t="s">
        <v>4</v>
      </c>
      <c r="C1" s="37" t="s">
        <v>5</v>
      </c>
      <c r="E1" s="2" t="s">
        <v>111</v>
      </c>
      <c r="G1" s="14" t="s">
        <v>112</v>
      </c>
    </row>
    <row r="2">
      <c r="A2" s="6" t="s">
        <v>9</v>
      </c>
      <c r="B2" s="8">
        <f>'2023-24'!L2</f>
        <v>0.1316491886</v>
      </c>
      <c r="C2" s="8" t="str">
        <f>('NHL Movement'!H2+'OLD NHL Tracking'!H2)/2</f>
        <v>#REF!</v>
      </c>
      <c r="E2" s="14">
        <v>74.0</v>
      </c>
    </row>
    <row r="3">
      <c r="A3" s="6" t="s">
        <v>10</v>
      </c>
      <c r="B3" s="8">
        <f>'2023-24'!L3</f>
        <v>0.8335773986</v>
      </c>
      <c r="C3" s="8" t="str">
        <f>('NHL Movement'!H3+'OLD NHL Tracking'!H3)/2</f>
        <v>#REF!</v>
      </c>
      <c r="E3" s="14">
        <v>76.0</v>
      </c>
    </row>
    <row r="4">
      <c r="A4" s="6" t="s">
        <v>11</v>
      </c>
      <c r="B4" s="8">
        <f>'2023-24'!L4</f>
        <v>1.18220761</v>
      </c>
      <c r="C4" s="8" t="str">
        <f>('NHL Movement'!H4+'OLD NHL Tracking'!H4)/2</f>
        <v>#REF!</v>
      </c>
      <c r="E4" s="14">
        <v>78.0</v>
      </c>
    </row>
    <row r="5">
      <c r="A5" s="6" t="s">
        <v>12</v>
      </c>
      <c r="B5" s="8">
        <f>'2023-24'!L5</f>
        <v>1.50781813</v>
      </c>
      <c r="C5" s="8" t="str">
        <f>('NHL Movement'!H5+'OLD NHL Tracking'!H5)/2</f>
        <v>#REF!</v>
      </c>
      <c r="E5" s="14">
        <v>73.0</v>
      </c>
    </row>
    <row r="6">
      <c r="A6" s="6" t="s">
        <v>13</v>
      </c>
      <c r="B6" s="8">
        <f>'2023-24'!L6</f>
        <v>1.638998348</v>
      </c>
      <c r="C6" s="8" t="str">
        <f>('NHL Movement'!H6+'OLD NHL Tracking'!H6)/2</f>
        <v>#REF!</v>
      </c>
      <c r="E6" s="14">
        <v>75.0</v>
      </c>
    </row>
    <row r="7">
      <c r="A7" s="6" t="s">
        <v>14</v>
      </c>
      <c r="B7" s="8">
        <f>'2023-24'!L7</f>
        <v>0.7006756245</v>
      </c>
      <c r="C7" s="8" t="str">
        <f>('NHL Movement'!H7+'OLD NHL Tracking'!H7)/2</f>
        <v>#REF!</v>
      </c>
      <c r="E7" s="14">
        <v>73.0</v>
      </c>
    </row>
    <row r="8">
      <c r="A8" s="6" t="s">
        <v>15</v>
      </c>
      <c r="B8" s="8">
        <f>'2023-24'!L8</f>
        <v>1.287703817</v>
      </c>
      <c r="C8" s="8" t="str">
        <f>('NHL Movement'!H8+'OLD NHL Tracking'!H8)/2</f>
        <v>#REF!</v>
      </c>
      <c r="E8" s="14">
        <v>71.0</v>
      </c>
    </row>
    <row r="9">
      <c r="A9" s="6" t="s">
        <v>16</v>
      </c>
      <c r="B9" s="8">
        <f>'2023-24'!L9</f>
        <v>0.8378315919</v>
      </c>
      <c r="C9" s="8" t="str">
        <f>('NHL Movement'!H9+'OLD NHL Tracking'!H9)/2</f>
        <v>#REF!</v>
      </c>
      <c r="E9" s="14">
        <v>76.0</v>
      </c>
    </row>
    <row r="10">
      <c r="A10" s="6" t="s">
        <v>21</v>
      </c>
      <c r="B10" s="8">
        <f>'2023-24'!L10</f>
        <v>0.4159468436</v>
      </c>
      <c r="C10" s="8" t="str">
        <f>('NHL Movement'!H10+'OLD NHL Tracking'!H10)/2</f>
        <v>#REF!</v>
      </c>
      <c r="E10" s="14">
        <v>75.0</v>
      </c>
    </row>
    <row r="11">
      <c r="A11" s="6" t="s">
        <v>22</v>
      </c>
      <c r="B11" s="8">
        <f>'2023-24'!L11</f>
        <v>1.244584387</v>
      </c>
      <c r="C11" s="8" t="str">
        <f>('NHL Movement'!H11+'OLD NHL Tracking'!H11)/2</f>
        <v>#REF!</v>
      </c>
      <c r="E11" s="14">
        <v>76.0</v>
      </c>
    </row>
    <row r="12">
      <c r="A12" s="6" t="s">
        <v>23</v>
      </c>
      <c r="B12" s="8">
        <f>'2023-24'!L12</f>
        <v>0.3122020834</v>
      </c>
      <c r="C12" s="8" t="str">
        <f>('NHL Movement'!H12+'OLD NHL Tracking'!H12)/2</f>
        <v>#REF!</v>
      </c>
      <c r="E12" s="14">
        <v>74.0</v>
      </c>
    </row>
    <row r="13">
      <c r="A13" s="6" t="s">
        <v>25</v>
      </c>
      <c r="B13" s="8">
        <f>'2023-24'!L13</f>
        <v>0.9362518915</v>
      </c>
      <c r="C13" s="8" t="str">
        <f>('NHL Movement'!H13+'OLD NHL Tracking'!H13)/2</f>
        <v>#REF!</v>
      </c>
      <c r="E13" s="14">
        <v>76.0</v>
      </c>
    </row>
    <row r="14">
      <c r="A14" s="6" t="s">
        <v>26</v>
      </c>
      <c r="B14" s="8">
        <f>'2023-24'!L14</f>
        <v>0.3199033221</v>
      </c>
      <c r="C14" s="8" t="str">
        <f>('NHL Movement'!H14+'OLD NHL Tracking'!H14)/2</f>
        <v>#REF!</v>
      </c>
      <c r="E14" s="14">
        <v>76.0</v>
      </c>
    </row>
    <row r="15">
      <c r="A15" s="6" t="s">
        <v>27</v>
      </c>
      <c r="B15" s="8">
        <f>'2023-24'!L15</f>
        <v>0.699317941</v>
      </c>
      <c r="C15" s="8" t="str">
        <f>('NHL Movement'!H15+'OLD NHL Tracking'!H15)/2</f>
        <v>#REF!</v>
      </c>
      <c r="E15" s="14">
        <v>76.0</v>
      </c>
    </row>
    <row r="16">
      <c r="A16" s="6" t="s">
        <v>28</v>
      </c>
      <c r="B16" s="8">
        <f>'2023-24'!L16</f>
        <v>-0.4288294701</v>
      </c>
      <c r="C16" s="8" t="str">
        <f>('NHL Movement'!H16+'OLD NHL Tracking'!H16)/2</f>
        <v>#REF!</v>
      </c>
      <c r="E16" s="14">
        <v>74.0</v>
      </c>
    </row>
    <row r="17">
      <c r="A17" s="6" t="s">
        <v>29</v>
      </c>
      <c r="B17" s="8">
        <f>'2023-24'!L17</f>
        <v>1.854328958</v>
      </c>
      <c r="C17" s="8" t="str">
        <f>('NHL Movement'!H17+'OLD NHL Tracking'!H17)/2</f>
        <v>#REF!</v>
      </c>
      <c r="E17" s="14">
        <v>75.0</v>
      </c>
    </row>
    <row r="18">
      <c r="A18" s="6" t="s">
        <v>30</v>
      </c>
      <c r="B18" s="8">
        <f>'2023-24'!L18</f>
        <v>-0.370492914</v>
      </c>
      <c r="C18" s="8" t="str">
        <f>('NHL Movement'!H18+'OLD NHL Tracking'!H18)/2</f>
        <v>#REF!</v>
      </c>
      <c r="E18" s="14">
        <v>74.0</v>
      </c>
    </row>
    <row r="19">
      <c r="A19" s="6" t="s">
        <v>31</v>
      </c>
      <c r="B19" s="8">
        <f>'2023-24'!L19</f>
        <v>-0.6957872555</v>
      </c>
      <c r="C19" s="8" t="str">
        <f>('NHL Movement'!H19+'OLD NHL Tracking'!H19)/2</f>
        <v>#REF!</v>
      </c>
      <c r="E19" s="14">
        <v>75.0</v>
      </c>
    </row>
    <row r="20">
      <c r="A20" s="6" t="s">
        <v>32</v>
      </c>
      <c r="B20" s="8">
        <f>'2023-24'!L20</f>
        <v>-0.1831502867</v>
      </c>
      <c r="C20" s="8" t="str">
        <f>('NHL Movement'!H20+'OLD NHL Tracking'!H20)/2</f>
        <v>#REF!</v>
      </c>
      <c r="E20" s="14">
        <v>77.0</v>
      </c>
    </row>
    <row r="21">
      <c r="A21" s="6" t="s">
        <v>33</v>
      </c>
      <c r="B21" s="8">
        <f>'2023-24'!L21</f>
        <v>0.3463947513</v>
      </c>
      <c r="C21" s="8" t="str">
        <f>('NHL Movement'!H21+'OLD NHL Tracking'!H21)/2</f>
        <v>#REF!</v>
      </c>
      <c r="E21" s="14">
        <v>76.0</v>
      </c>
    </row>
    <row r="22">
      <c r="A22" s="6" t="s">
        <v>34</v>
      </c>
      <c r="B22" s="8">
        <f>'2023-24'!L22</f>
        <v>0.5728255071</v>
      </c>
      <c r="C22" s="8" t="str">
        <f>('NHL Movement'!H22+'OLD NHL Tracking'!H22)/2</f>
        <v>#REF!</v>
      </c>
      <c r="E22" s="14">
        <v>74.0</v>
      </c>
    </row>
    <row r="23">
      <c r="A23" s="6" t="s">
        <v>35</v>
      </c>
      <c r="B23" s="8">
        <f>'2023-24'!L23</f>
        <v>0.5581655449</v>
      </c>
      <c r="C23" s="8" t="str">
        <f>('NHL Movement'!H23+'OLD NHL Tracking'!H23)/2</f>
        <v>#REF!</v>
      </c>
      <c r="E23" s="14">
        <v>75.0</v>
      </c>
    </row>
    <row r="24">
      <c r="A24" s="6" t="s">
        <v>36</v>
      </c>
      <c r="B24" s="8">
        <f>'2023-24'!L24</f>
        <v>0.6407009341</v>
      </c>
      <c r="C24" s="8" t="str">
        <f>('NHL Movement'!H24+'OLD NHL Tracking'!H24)/2</f>
        <v>#REF!</v>
      </c>
      <c r="E24" s="14">
        <v>74.0</v>
      </c>
    </row>
    <row r="25">
      <c r="A25" s="6" t="s">
        <v>37</v>
      </c>
      <c r="B25" s="8">
        <f>'2023-24'!L25</f>
        <v>0.3694034058</v>
      </c>
      <c r="C25" s="8" t="str">
        <f>('NHL Movement'!H25+'OLD NHL Tracking'!H25)/2</f>
        <v>#REF!</v>
      </c>
      <c r="E25" s="14">
        <v>73.0</v>
      </c>
    </row>
    <row r="26">
      <c r="A26" s="6" t="s">
        <v>38</v>
      </c>
      <c r="B26" s="8">
        <f>'2023-24'!L26</f>
        <v>0.3327636562</v>
      </c>
      <c r="C26" s="8" t="str">
        <f>('NHL Movement'!H26+'OLD NHL Tracking'!H26)/2</f>
        <v>#REF!</v>
      </c>
      <c r="E26" s="14">
        <v>78.0</v>
      </c>
    </row>
    <row r="27">
      <c r="A27" s="6" t="s">
        <v>39</v>
      </c>
      <c r="B27" s="8">
        <f>'2023-24'!L27</f>
        <v>-0.8470154542</v>
      </c>
      <c r="C27" s="8" t="str">
        <f>('NHL Movement'!H27+'OLD NHL Tracking'!H27)/2</f>
        <v>#REF!</v>
      </c>
      <c r="E27" s="14">
        <v>74.0</v>
      </c>
    </row>
    <row r="28">
      <c r="A28" s="6" t="s">
        <v>40</v>
      </c>
      <c r="B28" s="8">
        <f>'2023-24'!L28</f>
        <v>1.388133811</v>
      </c>
      <c r="C28" s="8" t="str">
        <f>('NHL Movement'!H28+'OLD NHL Tracking'!H28)/2</f>
        <v>#REF!</v>
      </c>
      <c r="E28" s="14">
        <v>74.0</v>
      </c>
    </row>
    <row r="29">
      <c r="A29" s="6" t="s">
        <v>41</v>
      </c>
      <c r="B29" s="8">
        <f>'2023-24'!L29</f>
        <v>0.5128748453</v>
      </c>
      <c r="C29" s="8" t="str">
        <f>('NHL Movement'!H29+'OLD NHL Tracking'!H29)/2</f>
        <v>#REF!</v>
      </c>
      <c r="E29" s="14">
        <v>73.0</v>
      </c>
    </row>
    <row r="30">
      <c r="A30" s="6" t="s">
        <v>42</v>
      </c>
      <c r="B30" s="8">
        <f>'2023-24'!L30</f>
        <v>-0.7289476107</v>
      </c>
      <c r="C30" s="8" t="str">
        <f>('NHL Movement'!H30+'OLD NHL Tracking'!H30)/2</f>
        <v>#REF!</v>
      </c>
      <c r="E30" s="14">
        <v>76.0</v>
      </c>
    </row>
    <row r="31">
      <c r="A31" s="6" t="s">
        <v>43</v>
      </c>
      <c r="B31" s="8">
        <f>'2023-24'!L31</f>
        <v>0.09658242858</v>
      </c>
      <c r="C31" s="8" t="str">
        <f>('NHL Movement'!H31+'OLD NHL Tracking'!H31)/2</f>
        <v>#REF!</v>
      </c>
      <c r="E31" s="14">
        <v>74.0</v>
      </c>
    </row>
    <row r="32">
      <c r="A32" s="6" t="s">
        <v>44</v>
      </c>
      <c r="B32" s="8">
        <f>'2023-24'!L32</f>
        <v>0.9302485589</v>
      </c>
      <c r="C32" s="8" t="str">
        <f>('NHL Movement'!H32+'OLD NHL Tracking'!H32)/2</f>
        <v>#REF!</v>
      </c>
      <c r="E32" s="14">
        <v>75.0</v>
      </c>
    </row>
    <row r="33">
      <c r="A33" s="6" t="s">
        <v>45</v>
      </c>
      <c r="B33" s="8">
        <f>'2023-24'!L33</f>
        <v>-1.097859581</v>
      </c>
      <c r="C33" s="8" t="str">
        <f>('NHL Movement'!H33+'OLD NHL Tracking'!H33)/2</f>
        <v>#REF!</v>
      </c>
      <c r="E33" s="14">
        <v>75.0</v>
      </c>
    </row>
    <row r="34">
      <c r="A34" s="6" t="s">
        <v>46</v>
      </c>
      <c r="B34" s="8">
        <f>'2023-24'!L34</f>
        <v>1.987925785</v>
      </c>
      <c r="C34" s="8" t="str">
        <f>('NHL Movement'!H34+'OLD NHL Tracking'!H34)/2</f>
        <v>#REF!</v>
      </c>
      <c r="E34" s="14">
        <v>76.0</v>
      </c>
    </row>
    <row r="35">
      <c r="A35" s="6" t="s">
        <v>47</v>
      </c>
      <c r="B35" s="8">
        <f>'2023-24'!L35</f>
        <v>-0.8142041435</v>
      </c>
      <c r="C35" s="8" t="str">
        <f>('NHL Movement'!H35+'OLD NHL Tracking'!H35)/2</f>
        <v>#REF!</v>
      </c>
      <c r="E35" s="14">
        <v>75.0</v>
      </c>
    </row>
    <row r="36">
      <c r="A36" s="6" t="s">
        <v>48</v>
      </c>
      <c r="B36" s="8">
        <f>'2023-24'!L36</f>
        <v>0.7902568687</v>
      </c>
      <c r="C36" s="8" t="str">
        <f>('NHL Movement'!H36+'OLD NHL Tracking'!H36)/2</f>
        <v>#REF!</v>
      </c>
      <c r="E36" s="14">
        <v>74.0</v>
      </c>
    </row>
    <row r="37">
      <c r="A37" s="6" t="s">
        <v>49</v>
      </c>
      <c r="B37" s="8">
        <f>'2023-24'!L37</f>
        <v>0.09674951783</v>
      </c>
      <c r="C37" s="8" t="str">
        <f>('NHL Movement'!H37+'OLD NHL Tracking'!H37)/2</f>
        <v>#REF!</v>
      </c>
      <c r="E37" s="14">
        <v>72.0</v>
      </c>
    </row>
    <row r="38">
      <c r="A38" s="6" t="s">
        <v>50</v>
      </c>
      <c r="B38" s="8">
        <f>'2023-24'!L38</f>
        <v>-0.8659814422</v>
      </c>
      <c r="C38" s="8" t="str">
        <f>('NHL Movement'!H38+'OLD NHL Tracking'!H38)/2</f>
        <v>#REF!</v>
      </c>
      <c r="E38" s="14">
        <v>76.0</v>
      </c>
    </row>
    <row r="39">
      <c r="A39" s="6" t="s">
        <v>51</v>
      </c>
      <c r="B39" s="8">
        <f>'2023-24'!L39</f>
        <v>-0.8284218985</v>
      </c>
      <c r="C39" s="8" t="str">
        <f>('NHL Movement'!H39+'OLD NHL Tracking'!H39)/2</f>
        <v>#REF!</v>
      </c>
      <c r="E39" s="14">
        <v>74.0</v>
      </c>
    </row>
    <row r="40">
      <c r="A40" s="6" t="s">
        <v>52</v>
      </c>
      <c r="B40" s="8">
        <f>'2023-24'!L40</f>
        <v>0.06296339784</v>
      </c>
      <c r="C40" s="8" t="str">
        <f>('NHL Movement'!H40+'OLD NHL Tracking'!H40)/2</f>
        <v>#REF!</v>
      </c>
      <c r="E40" s="14">
        <v>73.0</v>
      </c>
    </row>
    <row r="41">
      <c r="A41" s="6" t="s">
        <v>53</v>
      </c>
      <c r="B41" s="8">
        <f>'2023-24'!L41</f>
        <v>-0.7474474196</v>
      </c>
      <c r="C41" s="8" t="str">
        <f>('NHL Movement'!H41+'OLD NHL Tracking'!H41)/2</f>
        <v>#REF!</v>
      </c>
      <c r="E41" s="14">
        <v>74.0</v>
      </c>
    </row>
    <row r="42">
      <c r="A42" s="6" t="s">
        <v>54</v>
      </c>
      <c r="B42" s="8">
        <f>'2023-24'!L42</f>
        <v>0.6757250897</v>
      </c>
      <c r="C42" s="8" t="str">
        <f>('NHL Movement'!H42+'OLD NHL Tracking'!H42)/2</f>
        <v>#REF!</v>
      </c>
      <c r="E42" s="14">
        <v>77.0</v>
      </c>
    </row>
    <row r="43">
      <c r="A43" s="6" t="s">
        <v>55</v>
      </c>
      <c r="B43" s="8">
        <f>'2023-24'!L43</f>
        <v>0.1099908626</v>
      </c>
      <c r="C43" s="8" t="str">
        <f>('NHL Movement'!H43+'OLD NHL Tracking'!H43)/2</f>
        <v>#REF!</v>
      </c>
      <c r="E43" s="14">
        <v>74.0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56</v>
      </c>
      <c r="C1" s="2" t="s">
        <v>57</v>
      </c>
      <c r="D1" s="2" t="s">
        <v>4</v>
      </c>
      <c r="E1" s="2" t="s">
        <v>5</v>
      </c>
      <c r="G1" s="2" t="s">
        <v>113</v>
      </c>
      <c r="I1" s="2" t="s">
        <v>114</v>
      </c>
    </row>
    <row r="2">
      <c r="A2" s="6" t="s">
        <v>9</v>
      </c>
      <c r="B2" s="7">
        <f t="shared" ref="B2:B43" si="1">RANK(D2,$D$2:$D$43)</f>
        <v>27</v>
      </c>
      <c r="C2" s="7" t="str">
        <f t="shared" ref="C2:C43" si="2">RANK(E2,$E$2:$E$43)</f>
        <v>#REF!</v>
      </c>
      <c r="D2" s="9">
        <f>'2023-24'!N2</f>
        <v>0.3984427379</v>
      </c>
      <c r="E2" s="9" t="str">
        <f>('NHL Movement'!J2+'OLD NHL Tracking'!J2)/2</f>
        <v>#REF!</v>
      </c>
      <c r="F2" s="9"/>
      <c r="G2" s="9">
        <f t="shared" ref="G2:G11" si="3">(I2-MIN($I$2:$I$43))/(MAX($I$2:$I$43)-MIN($I$2:$I$43))</f>
        <v>0.8792270531</v>
      </c>
      <c r="I2" s="14">
        <v>10.0</v>
      </c>
    </row>
    <row r="3">
      <c r="A3" s="6" t="s">
        <v>10</v>
      </c>
      <c r="B3" s="7">
        <f t="shared" si="1"/>
        <v>12</v>
      </c>
      <c r="C3" s="7" t="str">
        <f t="shared" si="2"/>
        <v>#REF!</v>
      </c>
      <c r="D3" s="9">
        <f>'2023-24'!N3</f>
        <v>0.6259142327</v>
      </c>
      <c r="E3" s="9" t="str">
        <f>('NHL Movement'!J3+'OLD NHL Tracking'!J3)/2</f>
        <v>#REF!</v>
      </c>
      <c r="F3" s="9"/>
      <c r="G3" s="9">
        <f t="shared" si="3"/>
        <v>0.1642512077</v>
      </c>
      <c r="I3" s="14">
        <v>2.6</v>
      </c>
    </row>
    <row r="4">
      <c r="A4" s="6" t="s">
        <v>11</v>
      </c>
      <c r="B4" s="7">
        <f t="shared" si="1"/>
        <v>8</v>
      </c>
      <c r="C4" s="7" t="str">
        <f t="shared" si="2"/>
        <v>#REF!</v>
      </c>
      <c r="D4" s="9">
        <f>'2023-24'!N4</f>
        <v>0.7388936432</v>
      </c>
      <c r="E4" s="9" t="str">
        <f>('NHL Movement'!J4+'OLD NHL Tracking'!J4)/2</f>
        <v>#REF!</v>
      </c>
      <c r="F4" s="9"/>
      <c r="G4" s="9">
        <f t="shared" si="3"/>
        <v>0.7101449275</v>
      </c>
      <c r="I4" s="14">
        <v>8.25</v>
      </c>
    </row>
    <row r="5">
      <c r="A5" s="6" t="s">
        <v>12</v>
      </c>
      <c r="B5" s="7">
        <f t="shared" si="1"/>
        <v>4</v>
      </c>
      <c r="C5" s="7" t="str">
        <f t="shared" si="2"/>
        <v>#REF!</v>
      </c>
      <c r="D5" s="9">
        <f>'2023-24'!N5</f>
        <v>0.8444131403</v>
      </c>
      <c r="E5" s="9" t="str">
        <f>('NHL Movement'!J5+'OLD NHL Tracking'!J5)/2</f>
        <v>#REF!</v>
      </c>
      <c r="F5" s="9"/>
      <c r="G5" s="9">
        <f t="shared" si="3"/>
        <v>1</v>
      </c>
      <c r="I5" s="14">
        <v>11.25</v>
      </c>
      <c r="J5" s="14" t="s">
        <v>115</v>
      </c>
    </row>
    <row r="6">
      <c r="A6" s="6" t="s">
        <v>13</v>
      </c>
      <c r="B6" s="7">
        <f t="shared" si="1"/>
        <v>3</v>
      </c>
      <c r="C6" s="7" t="str">
        <f t="shared" si="2"/>
        <v>#REF!</v>
      </c>
      <c r="D6" s="9">
        <f>'2023-24'!N6</f>
        <v>0.8869242685</v>
      </c>
      <c r="E6" s="9" t="str">
        <f>('NHL Movement'!J6+'OLD NHL Tracking'!J6)/2</f>
        <v>#REF!</v>
      </c>
      <c r="F6" s="9"/>
      <c r="G6" s="9">
        <f t="shared" si="3"/>
        <v>0.7101449275</v>
      </c>
      <c r="I6" s="14">
        <v>8.25</v>
      </c>
    </row>
    <row r="7">
      <c r="A7" s="6" t="s">
        <v>14</v>
      </c>
      <c r="B7" s="7">
        <f t="shared" si="1"/>
        <v>14</v>
      </c>
      <c r="C7" s="7" t="str">
        <f t="shared" si="2"/>
        <v>#REF!</v>
      </c>
      <c r="D7" s="9">
        <f>'2023-24'!N7</f>
        <v>0.5828452054</v>
      </c>
      <c r="E7" s="9" t="str">
        <f>('NHL Movement'!J7+'OLD NHL Tracking'!J7)/2</f>
        <v>#REF!</v>
      </c>
      <c r="F7" s="9"/>
      <c r="G7" s="9">
        <f t="shared" si="3"/>
        <v>0.2415458937</v>
      </c>
      <c r="I7" s="14">
        <v>3.4</v>
      </c>
      <c r="J7" s="14" t="s">
        <v>116</v>
      </c>
    </row>
    <row r="8">
      <c r="A8" s="6" t="s">
        <v>15</v>
      </c>
      <c r="B8" s="7">
        <f t="shared" si="1"/>
        <v>6</v>
      </c>
      <c r="C8" s="7" t="str">
        <f t="shared" si="2"/>
        <v>#REF!</v>
      </c>
      <c r="D8" s="9">
        <f>'2023-24'!N8</f>
        <v>0.7730814411</v>
      </c>
      <c r="E8" s="9" t="str">
        <f>('NHL Movement'!J8+'OLD NHL Tracking'!J8)/2</f>
        <v>#REF!</v>
      </c>
      <c r="F8" s="9"/>
      <c r="G8" s="9">
        <f t="shared" si="3"/>
        <v>0.6608695652</v>
      </c>
      <c r="I8" s="14">
        <v>7.74</v>
      </c>
    </row>
    <row r="9">
      <c r="A9" s="6" t="s">
        <v>16</v>
      </c>
      <c r="B9" s="7">
        <f t="shared" si="1"/>
        <v>11</v>
      </c>
      <c r="C9" s="7" t="str">
        <f t="shared" si="2"/>
        <v>#REF!</v>
      </c>
      <c r="D9" s="9">
        <f>'2023-24'!N9</f>
        <v>0.6272928747</v>
      </c>
      <c r="E9" s="9" t="str">
        <f>('NHL Movement'!J9+'OLD NHL Tracking'!J9)/2</f>
        <v>#REF!</v>
      </c>
      <c r="F9" s="9"/>
      <c r="G9" s="9">
        <f t="shared" si="3"/>
        <v>0.7342995169</v>
      </c>
      <c r="I9" s="14">
        <v>8.5</v>
      </c>
    </row>
    <row r="10">
      <c r="A10" s="6" t="s">
        <v>21</v>
      </c>
      <c r="B10" s="7">
        <f t="shared" si="1"/>
        <v>21</v>
      </c>
      <c r="C10" s="7" t="str">
        <f t="shared" si="2"/>
        <v>#REF!</v>
      </c>
      <c r="D10" s="9">
        <f>'2023-24'!N10</f>
        <v>0.4905741149</v>
      </c>
      <c r="E10" s="9" t="str">
        <f>('NHL Movement'!J10+'OLD NHL Tracking'!J10)/2</f>
        <v>#REF!</v>
      </c>
      <c r="F10" s="9"/>
      <c r="G10" s="9">
        <f t="shared" si="3"/>
        <v>0.08695652174</v>
      </c>
      <c r="I10" s="14">
        <v>1.8</v>
      </c>
      <c r="J10" s="14" t="s">
        <v>116</v>
      </c>
    </row>
    <row r="11">
      <c r="A11" s="6" t="s">
        <v>22</v>
      </c>
      <c r="B11" s="7">
        <f t="shared" si="1"/>
        <v>7</v>
      </c>
      <c r="C11" s="7" t="str">
        <f t="shared" si="2"/>
        <v>#REF!</v>
      </c>
      <c r="D11" s="9">
        <f>'2023-24'!N11</f>
        <v>0.7591078736</v>
      </c>
      <c r="E11" s="9" t="str">
        <f>('NHL Movement'!J11+'OLD NHL Tracking'!J11)/2</f>
        <v>#REF!</v>
      </c>
      <c r="F11" s="9"/>
      <c r="G11" s="9">
        <f t="shared" si="3"/>
        <v>0.8309178744</v>
      </c>
      <c r="I11" s="14">
        <v>9.5</v>
      </c>
    </row>
    <row r="12">
      <c r="A12" s="6" t="s">
        <v>23</v>
      </c>
      <c r="B12" s="7">
        <f t="shared" si="1"/>
        <v>26</v>
      </c>
      <c r="C12" s="7" t="str">
        <f t="shared" si="2"/>
        <v>#REF!</v>
      </c>
      <c r="D12" s="9">
        <f>'2023-24'!N12</f>
        <v>0.4569539022</v>
      </c>
      <c r="E12" s="9" t="str">
        <f>('NHL Movement'!J12+'OLD NHL Tracking'!J12)/2</f>
        <v>#REF!</v>
      </c>
      <c r="F12" s="9"/>
      <c r="G12" s="9"/>
      <c r="J12" s="38" t="s">
        <v>116</v>
      </c>
    </row>
    <row r="13">
      <c r="A13" s="6" t="s">
        <v>25</v>
      </c>
      <c r="B13" s="7">
        <f t="shared" si="1"/>
        <v>9</v>
      </c>
      <c r="C13" s="7" t="str">
        <f t="shared" si="2"/>
        <v>#REF!</v>
      </c>
      <c r="D13" s="9">
        <f>'2023-24'!N13</f>
        <v>0.6591876075</v>
      </c>
      <c r="E13" s="9" t="str">
        <f>('NHL Movement'!J13+'OLD NHL Tracking'!J13)/2</f>
        <v>#REF!</v>
      </c>
      <c r="F13" s="9"/>
      <c r="G13" s="9"/>
      <c r="J13" s="38" t="s">
        <v>117</v>
      </c>
    </row>
    <row r="14">
      <c r="A14" s="6" t="s">
        <v>26</v>
      </c>
      <c r="B14" s="7">
        <f t="shared" si="1"/>
        <v>25</v>
      </c>
      <c r="C14" s="7" t="str">
        <f t="shared" si="2"/>
        <v>#REF!</v>
      </c>
      <c r="D14" s="9">
        <f>'2023-24'!N14</f>
        <v>0.4594496165</v>
      </c>
      <c r="E14" s="9" t="str">
        <f>('NHL Movement'!J14+'OLD NHL Tracking'!J14)/2</f>
        <v>#REF!</v>
      </c>
      <c r="F14" s="9"/>
      <c r="G14" s="9">
        <f t="shared" ref="G14:G30" si="4">(I14-MIN($I$2:$I$43))/(MAX($I$2:$I$43)-MIN($I$2:$I$43))</f>
        <v>0.154589372</v>
      </c>
      <c r="I14" s="14">
        <v>2.5</v>
      </c>
    </row>
    <row r="15">
      <c r="A15" s="6" t="s">
        <v>27</v>
      </c>
      <c r="B15" s="7">
        <f t="shared" si="1"/>
        <v>15</v>
      </c>
      <c r="C15" s="7" t="str">
        <f t="shared" si="2"/>
        <v>#REF!</v>
      </c>
      <c r="D15" s="9">
        <f>'2023-24'!N15</f>
        <v>0.5824052255</v>
      </c>
      <c r="E15" s="9" t="str">
        <f>('NHL Movement'!J15+'OLD NHL Tracking'!J15)/2</f>
        <v>#REF!</v>
      </c>
      <c r="F15" s="9"/>
      <c r="G15" s="9">
        <f t="shared" si="4"/>
        <v>0.38647343</v>
      </c>
      <c r="I15" s="14">
        <v>4.9</v>
      </c>
      <c r="J15" s="14" t="s">
        <v>116</v>
      </c>
    </row>
    <row r="16">
      <c r="A16" s="6" t="s">
        <v>28</v>
      </c>
      <c r="B16" s="7">
        <f t="shared" si="1"/>
        <v>34</v>
      </c>
      <c r="C16" s="7" t="str">
        <f t="shared" si="2"/>
        <v>#REF!</v>
      </c>
      <c r="D16" s="9">
        <f>'2023-24'!N16</f>
        <v>0.2168103194</v>
      </c>
      <c r="E16" s="9" t="str">
        <f>('NHL Movement'!J16+'OLD NHL Tracking'!J16)/2</f>
        <v>#REF!</v>
      </c>
      <c r="F16" s="9"/>
      <c r="G16" s="9">
        <f t="shared" si="4"/>
        <v>0.4927536232</v>
      </c>
      <c r="I16" s="14">
        <v>6.0</v>
      </c>
    </row>
    <row r="17">
      <c r="A17" s="6" t="s">
        <v>29</v>
      </c>
      <c r="B17" s="7">
        <f t="shared" si="1"/>
        <v>2</v>
      </c>
      <c r="C17" s="7" t="str">
        <f t="shared" si="2"/>
        <v>#REF!</v>
      </c>
      <c r="D17" s="9">
        <f>'2023-24'!N17</f>
        <v>0.9567057293</v>
      </c>
      <c r="E17" s="9" t="str">
        <f>('NHL Movement'!J17+'OLD NHL Tracking'!J17)/2</f>
        <v>#REF!</v>
      </c>
      <c r="F17" s="9"/>
      <c r="G17" s="9">
        <f t="shared" si="4"/>
        <v>0.7101449275</v>
      </c>
      <c r="I17" s="14">
        <v>8.25</v>
      </c>
    </row>
    <row r="18">
      <c r="A18" s="6" t="s">
        <v>30</v>
      </c>
      <c r="B18" s="7">
        <f t="shared" si="1"/>
        <v>33</v>
      </c>
      <c r="C18" s="7" t="str">
        <f t="shared" si="2"/>
        <v>#REF!</v>
      </c>
      <c r="D18" s="9">
        <f>'2023-24'!N18</f>
        <v>0.2357152494</v>
      </c>
      <c r="E18" s="9" t="str">
        <f>('NHL Movement'!J18+'OLD NHL Tracking'!J18)/2</f>
        <v>#REF!</v>
      </c>
      <c r="F18" s="9"/>
      <c r="G18" s="9">
        <f t="shared" si="4"/>
        <v>0.3236714976</v>
      </c>
      <c r="I18" s="14">
        <v>4.25</v>
      </c>
    </row>
    <row r="19">
      <c r="A19" s="6" t="s">
        <v>31</v>
      </c>
      <c r="B19" s="7">
        <f t="shared" si="1"/>
        <v>35</v>
      </c>
      <c r="C19" s="7" t="str">
        <f t="shared" si="2"/>
        <v>#REF!</v>
      </c>
      <c r="D19" s="9">
        <f>'2023-24'!N19</f>
        <v>0.1302982152</v>
      </c>
      <c r="E19" s="9" t="str">
        <f>('NHL Movement'!J19+'OLD NHL Tracking'!J19)/2</f>
        <v>#REF!</v>
      </c>
      <c r="F19" s="9"/>
      <c r="G19" s="9">
        <f t="shared" si="4"/>
        <v>0.2995169082</v>
      </c>
      <c r="I19" s="14">
        <v>4.0</v>
      </c>
    </row>
    <row r="20">
      <c r="A20" s="6" t="s">
        <v>32</v>
      </c>
      <c r="B20" s="7">
        <f t="shared" si="1"/>
        <v>32</v>
      </c>
      <c r="C20" s="7" t="str">
        <f t="shared" si="2"/>
        <v>#REF!</v>
      </c>
      <c r="D20" s="9">
        <f>'2023-24'!N20</f>
        <v>0.2964267393</v>
      </c>
      <c r="E20" s="9" t="str">
        <f>('NHL Movement'!J20+'OLD NHL Tracking'!J20)/2</f>
        <v>#REF!</v>
      </c>
      <c r="F20" s="9"/>
      <c r="G20" s="9">
        <f t="shared" si="4"/>
        <v>0.3719806763</v>
      </c>
      <c r="I20" s="14">
        <v>4.75</v>
      </c>
    </row>
    <row r="21">
      <c r="A21" s="6" t="s">
        <v>33</v>
      </c>
      <c r="B21" s="7">
        <f t="shared" si="1"/>
        <v>23</v>
      </c>
      <c r="C21" s="7" t="str">
        <f t="shared" si="2"/>
        <v>#REF!</v>
      </c>
      <c r="D21" s="9">
        <f>'2023-24'!N21</f>
        <v>0.4680346042</v>
      </c>
      <c r="E21" s="9" t="str">
        <f>('NHL Movement'!J21+'OLD NHL Tracking'!J21)/2</f>
        <v>#REF!</v>
      </c>
      <c r="F21" s="9"/>
      <c r="G21" s="9">
        <f t="shared" si="4"/>
        <v>0.3961352657</v>
      </c>
      <c r="I21" s="14">
        <v>5.0</v>
      </c>
    </row>
    <row r="22">
      <c r="A22" s="6" t="s">
        <v>34</v>
      </c>
      <c r="B22" s="7">
        <f t="shared" si="1"/>
        <v>18</v>
      </c>
      <c r="C22" s="7" t="str">
        <f t="shared" si="2"/>
        <v>#REF!</v>
      </c>
      <c r="D22" s="9">
        <f>'2023-24'!N22</f>
        <v>0.5414132514</v>
      </c>
      <c r="E22" s="9" t="str">
        <f>('NHL Movement'!J22+'OLD NHL Tracking'!J22)/2</f>
        <v>#REF!</v>
      </c>
      <c r="F22" s="9"/>
      <c r="G22" s="9">
        <f t="shared" si="4"/>
        <v>0.3961352657</v>
      </c>
      <c r="I22" s="14">
        <v>5.0</v>
      </c>
    </row>
    <row r="23">
      <c r="A23" s="6" t="s">
        <v>35</v>
      </c>
      <c r="B23" s="7">
        <f t="shared" si="1"/>
        <v>19</v>
      </c>
      <c r="C23" s="7" t="str">
        <f t="shared" si="2"/>
        <v>#REF!</v>
      </c>
      <c r="D23" s="9">
        <f>'2023-24'!N23</f>
        <v>0.5366624471</v>
      </c>
      <c r="E23" s="9" t="str">
        <f>('NHL Movement'!J23+'OLD NHL Tracking'!J23)/2</f>
        <v>#REF!</v>
      </c>
      <c r="F23" s="9"/>
      <c r="G23" s="9">
        <f t="shared" si="4"/>
        <v>0.05314009662</v>
      </c>
      <c r="I23" s="14">
        <v>1.45</v>
      </c>
    </row>
    <row r="24">
      <c r="A24" s="6" t="s">
        <v>36</v>
      </c>
      <c r="B24" s="7">
        <f t="shared" si="1"/>
        <v>17</v>
      </c>
      <c r="C24" s="7" t="str">
        <f t="shared" si="2"/>
        <v>#REF!</v>
      </c>
      <c r="D24" s="9">
        <f>'2023-24'!N24</f>
        <v>0.5634094109</v>
      </c>
      <c r="E24" s="9" t="str">
        <f>('NHL Movement'!J24+'OLD NHL Tracking'!J24)/2</f>
        <v>#REF!</v>
      </c>
      <c r="F24" s="9"/>
      <c r="G24" s="9">
        <f t="shared" si="4"/>
        <v>0.4323671498</v>
      </c>
      <c r="I24" s="14">
        <v>5.375</v>
      </c>
    </row>
    <row r="25">
      <c r="A25" s="6" t="s">
        <v>37</v>
      </c>
      <c r="B25" s="7">
        <f t="shared" si="1"/>
        <v>22</v>
      </c>
      <c r="C25" s="7" t="str">
        <f t="shared" si="2"/>
        <v>#REF!</v>
      </c>
      <c r="D25" s="9">
        <f>'2023-24'!N25</f>
        <v>0.4754909408</v>
      </c>
      <c r="E25" s="9" t="str">
        <f>('NHL Movement'!J25+'OLD NHL Tracking'!J25)/2</f>
        <v>#REF!</v>
      </c>
      <c r="F25" s="9"/>
      <c r="G25" s="9">
        <f t="shared" si="4"/>
        <v>0.1014492754</v>
      </c>
      <c r="I25" s="14">
        <v>1.95</v>
      </c>
    </row>
    <row r="26">
      <c r="A26" s="6" t="s">
        <v>38</v>
      </c>
      <c r="B26" s="7">
        <f t="shared" si="1"/>
        <v>24</v>
      </c>
      <c r="C26" s="7" t="str">
        <f t="shared" si="2"/>
        <v>#REF!</v>
      </c>
      <c r="D26" s="9">
        <f>'2023-24'!N26</f>
        <v>0.4636172214</v>
      </c>
      <c r="E26" s="9" t="str">
        <f>('NHL Movement'!J26+'OLD NHL Tracking'!J26)/2</f>
        <v>#REF!</v>
      </c>
      <c r="F26" s="9"/>
      <c r="G26" s="9">
        <f t="shared" si="4"/>
        <v>0.4927536232</v>
      </c>
      <c r="I26" s="14">
        <v>6.0</v>
      </c>
    </row>
    <row r="27">
      <c r="A27" s="6" t="s">
        <v>39</v>
      </c>
      <c r="B27" s="7">
        <f t="shared" si="1"/>
        <v>40</v>
      </c>
      <c r="C27" s="7" t="str">
        <f t="shared" si="2"/>
        <v>#REF!</v>
      </c>
      <c r="D27" s="9">
        <f>'2023-24'!N27</f>
        <v>0.08129020562</v>
      </c>
      <c r="E27" s="9" t="str">
        <f>('NHL Movement'!J27+'OLD NHL Tracking'!J27)/2</f>
        <v>#REF!</v>
      </c>
      <c r="F27" s="9"/>
      <c r="G27" s="9">
        <f t="shared" si="4"/>
        <v>0.5314009662</v>
      </c>
      <c r="I27" s="14">
        <v>6.4</v>
      </c>
    </row>
    <row r="28">
      <c r="A28" s="6" t="s">
        <v>40</v>
      </c>
      <c r="B28" s="7">
        <f t="shared" si="1"/>
        <v>5</v>
      </c>
      <c r="C28" s="7" t="str">
        <f t="shared" si="2"/>
        <v>#REF!</v>
      </c>
      <c r="D28" s="9">
        <f>'2023-24'!N28</f>
        <v>0.8056274488</v>
      </c>
      <c r="E28" s="9" t="str">
        <f>('NHL Movement'!J28+'OLD NHL Tracking'!J28)/2</f>
        <v>#REF!</v>
      </c>
      <c r="F28" s="9"/>
      <c r="G28" s="9">
        <f t="shared" si="4"/>
        <v>0.2753623188</v>
      </c>
      <c r="I28" s="14">
        <v>3.75</v>
      </c>
    </row>
    <row r="29">
      <c r="A29" s="6" t="s">
        <v>41</v>
      </c>
      <c r="B29" s="7">
        <f t="shared" si="1"/>
        <v>20</v>
      </c>
      <c r="C29" s="7" t="str">
        <f t="shared" si="2"/>
        <v>#REF!</v>
      </c>
      <c r="D29" s="9">
        <f>'2023-24'!N29</f>
        <v>0.5219852437</v>
      </c>
      <c r="E29" s="9" t="str">
        <f>('NHL Movement'!J29+'OLD NHL Tracking'!J29)/2</f>
        <v>#REF!</v>
      </c>
      <c r="F29" s="9"/>
      <c r="G29" s="9">
        <f t="shared" si="4"/>
        <v>0</v>
      </c>
      <c r="I29" s="14">
        <v>0.9</v>
      </c>
      <c r="J29" s="14" t="s">
        <v>116</v>
      </c>
    </row>
    <row r="30">
      <c r="A30" s="6" t="s">
        <v>42</v>
      </c>
      <c r="B30" s="7">
        <f t="shared" si="1"/>
        <v>36</v>
      </c>
      <c r="C30" s="7" t="str">
        <f t="shared" si="2"/>
        <v>#REF!</v>
      </c>
      <c r="D30" s="9">
        <f>'2023-24'!N30</f>
        <v>0.1195520513</v>
      </c>
      <c r="E30" s="9" t="str">
        <f>('NHL Movement'!J30+'OLD NHL Tracking'!J30)/2</f>
        <v>#REF!</v>
      </c>
      <c r="F30" s="9"/>
      <c r="G30" s="9">
        <f t="shared" si="4"/>
        <v>0.1400966184</v>
      </c>
      <c r="I30" s="14">
        <v>2.35</v>
      </c>
      <c r="J30" s="14" t="s">
        <v>116</v>
      </c>
    </row>
    <row r="31">
      <c r="A31" s="6" t="s">
        <v>43</v>
      </c>
      <c r="B31" s="7">
        <f t="shared" si="1"/>
        <v>30</v>
      </c>
      <c r="C31" s="7" t="str">
        <f t="shared" si="2"/>
        <v>#REF!</v>
      </c>
      <c r="D31" s="9">
        <f>'2023-24'!N31</f>
        <v>0.3870787718</v>
      </c>
      <c r="E31" s="9" t="str">
        <f>('NHL Movement'!J31+'OLD NHL Tracking'!J31)/2</f>
        <v>#REF!</v>
      </c>
      <c r="F31" s="9"/>
      <c r="G31" s="9"/>
      <c r="J31" s="38" t="s">
        <v>117</v>
      </c>
    </row>
    <row r="32">
      <c r="A32" s="6" t="s">
        <v>44</v>
      </c>
      <c r="B32" s="7">
        <f t="shared" si="1"/>
        <v>10</v>
      </c>
      <c r="C32" s="7" t="str">
        <f t="shared" si="2"/>
        <v>#REF!</v>
      </c>
      <c r="D32" s="9">
        <f>'2023-24'!N32</f>
        <v>0.6572421278</v>
      </c>
      <c r="E32" s="9" t="str">
        <f>('NHL Movement'!J32+'OLD NHL Tracking'!J32)/2</f>
        <v>#REF!</v>
      </c>
      <c r="F32" s="9"/>
      <c r="G32" s="9">
        <f t="shared" ref="G32:G43" si="5">(I32-MIN($I$2:$I$43))/(MAX($I$2:$I$43)-MIN($I$2:$I$43))</f>
        <v>0.1062801932</v>
      </c>
      <c r="I32" s="14">
        <v>2.0</v>
      </c>
    </row>
    <row r="33">
      <c r="A33" s="6" t="s">
        <v>45</v>
      </c>
      <c r="B33" s="7">
        <f t="shared" si="1"/>
        <v>42</v>
      </c>
      <c r="C33" s="7" t="str">
        <f t="shared" si="2"/>
        <v>#REF!</v>
      </c>
      <c r="D33" s="9">
        <f>'2023-24'!N33</f>
        <v>0</v>
      </c>
      <c r="E33" s="9" t="str">
        <f>('NHL Movement'!J33+'OLD NHL Tracking'!J33)/2</f>
        <v>#REF!</v>
      </c>
      <c r="F33" s="9"/>
      <c r="G33" s="9">
        <f t="shared" si="5"/>
        <v>0.2173913043</v>
      </c>
      <c r="I33" s="14">
        <v>3.15</v>
      </c>
    </row>
    <row r="34">
      <c r="A34" s="6" t="s">
        <v>46</v>
      </c>
      <c r="B34" s="7">
        <f t="shared" si="1"/>
        <v>1</v>
      </c>
      <c r="C34" s="7" t="str">
        <f t="shared" si="2"/>
        <v>#REF!</v>
      </c>
      <c r="D34" s="9">
        <f>'2023-24'!N34</f>
        <v>1</v>
      </c>
      <c r="E34" s="9" t="str">
        <f>('NHL Movement'!J34+'OLD NHL Tracking'!J34)/2</f>
        <v>#REF!</v>
      </c>
      <c r="F34" s="9"/>
      <c r="G34" s="9">
        <f t="shared" si="5"/>
        <v>0.7101449275</v>
      </c>
      <c r="I34" s="14">
        <v>8.25</v>
      </c>
    </row>
    <row r="35">
      <c r="A35" s="6" t="s">
        <v>47</v>
      </c>
      <c r="B35" s="7">
        <f t="shared" si="1"/>
        <v>38</v>
      </c>
      <c r="C35" s="7" t="str">
        <f t="shared" si="2"/>
        <v>#REF!</v>
      </c>
      <c r="D35" s="9">
        <f>'2023-24'!N35</f>
        <v>0.09192325581</v>
      </c>
      <c r="E35" s="9" t="str">
        <f>('NHL Movement'!J35+'OLD NHL Tracking'!J35)/2</f>
        <v>#REF!</v>
      </c>
      <c r="F35" s="9"/>
      <c r="G35" s="9">
        <f t="shared" si="5"/>
        <v>0.4347826087</v>
      </c>
      <c r="I35" s="14">
        <v>5.4</v>
      </c>
    </row>
    <row r="36">
      <c r="A36" s="6" t="s">
        <v>48</v>
      </c>
      <c r="B36" s="7">
        <f t="shared" si="1"/>
        <v>13</v>
      </c>
      <c r="C36" s="7" t="str">
        <f t="shared" si="2"/>
        <v>#REF!</v>
      </c>
      <c r="D36" s="9">
        <f>'2023-24'!N36</f>
        <v>0.6118754955</v>
      </c>
      <c r="E36" s="9" t="str">
        <f>('NHL Movement'!J36+'OLD NHL Tracking'!J36)/2</f>
        <v>#REF!</v>
      </c>
      <c r="F36" s="9"/>
      <c r="G36" s="9">
        <f t="shared" si="5"/>
        <v>0.154589372</v>
      </c>
      <c r="I36" s="14">
        <v>2.5</v>
      </c>
    </row>
    <row r="37">
      <c r="A37" s="6" t="s">
        <v>49</v>
      </c>
      <c r="B37" s="7">
        <f t="shared" si="1"/>
        <v>29</v>
      </c>
      <c r="C37" s="7" t="str">
        <f t="shared" si="2"/>
        <v>#REF!</v>
      </c>
      <c r="D37" s="9">
        <f>'2023-24'!N37</f>
        <v>0.3871329199</v>
      </c>
      <c r="E37" s="9" t="str">
        <f>('NHL Movement'!J37+'OLD NHL Tracking'!J37)/2</f>
        <v>#REF!</v>
      </c>
      <c r="F37" s="9"/>
      <c r="G37" s="9">
        <f t="shared" si="5"/>
        <v>0.154589372</v>
      </c>
      <c r="I37" s="14">
        <v>2.5</v>
      </c>
    </row>
    <row r="38">
      <c r="A38" s="6" t="s">
        <v>50</v>
      </c>
      <c r="B38" s="7">
        <f t="shared" si="1"/>
        <v>41</v>
      </c>
      <c r="C38" s="7" t="str">
        <f t="shared" si="2"/>
        <v>#REF!</v>
      </c>
      <c r="D38" s="9">
        <f>'2023-24'!N38</f>
        <v>0.07514396217</v>
      </c>
      <c r="E38" s="9" t="str">
        <f>('NHL Movement'!J38+'OLD NHL Tracking'!J38)/2</f>
        <v>#REF!</v>
      </c>
      <c r="F38" s="9"/>
      <c r="G38" s="9">
        <f t="shared" si="5"/>
        <v>0.1763285024</v>
      </c>
      <c r="I38" s="14">
        <v>2.725</v>
      </c>
    </row>
    <row r="39">
      <c r="A39" s="6" t="s">
        <v>51</v>
      </c>
      <c r="B39" s="7">
        <f t="shared" si="1"/>
        <v>39</v>
      </c>
      <c r="C39" s="7" t="str">
        <f t="shared" si="2"/>
        <v>#REF!</v>
      </c>
      <c r="D39" s="9">
        <f>'2023-24'!N39</f>
        <v>0.08731575615</v>
      </c>
      <c r="E39" s="9" t="str">
        <f>('NHL Movement'!J39+'OLD NHL Tracking'!J39)/2</f>
        <v>#REF!</v>
      </c>
      <c r="F39" s="9"/>
      <c r="G39" s="9">
        <f t="shared" si="5"/>
        <v>0.009661835749</v>
      </c>
      <c r="I39" s="14">
        <v>1.0</v>
      </c>
    </row>
    <row r="40">
      <c r="A40" s="6" t="s">
        <v>52</v>
      </c>
      <c r="B40" s="7">
        <f t="shared" si="1"/>
        <v>31</v>
      </c>
      <c r="C40" s="7" t="str">
        <f t="shared" si="2"/>
        <v>#REF!</v>
      </c>
      <c r="D40" s="9">
        <f>'2023-24'!N40</f>
        <v>0.3761839665</v>
      </c>
      <c r="E40" s="9" t="str">
        <f>('NHL Movement'!J40+'OLD NHL Tracking'!J40)/2</f>
        <v>#REF!</v>
      </c>
      <c r="F40" s="9"/>
      <c r="G40" s="9">
        <f t="shared" si="5"/>
        <v>0.4830917874</v>
      </c>
      <c r="I40" s="14">
        <v>5.9</v>
      </c>
    </row>
    <row r="41">
      <c r="A41" s="6" t="s">
        <v>53</v>
      </c>
      <c r="B41" s="7">
        <f t="shared" si="1"/>
        <v>37</v>
      </c>
      <c r="C41" s="7" t="str">
        <f t="shared" si="2"/>
        <v>#REF!</v>
      </c>
      <c r="D41" s="9">
        <f>'2023-24'!N41</f>
        <v>0.1135568809</v>
      </c>
      <c r="E41" s="9" t="str">
        <f>('NHL Movement'!J41+'OLD NHL Tracking'!J41)/2</f>
        <v>#REF!</v>
      </c>
      <c r="F41" s="9"/>
      <c r="G41" s="9">
        <f t="shared" si="5"/>
        <v>0.2850241546</v>
      </c>
      <c r="I41" s="14">
        <v>3.85</v>
      </c>
    </row>
    <row r="42">
      <c r="A42" s="6" t="s">
        <v>54</v>
      </c>
      <c r="B42" s="7">
        <f t="shared" si="1"/>
        <v>16</v>
      </c>
      <c r="C42" s="7" t="str">
        <f t="shared" si="2"/>
        <v>#REF!</v>
      </c>
      <c r="D42" s="9">
        <f>'2023-24'!N42</f>
        <v>0.5747595702</v>
      </c>
      <c r="E42" s="9" t="str">
        <f>('NHL Movement'!J42+'OLD NHL Tracking'!J42)/2</f>
        <v>#REF!</v>
      </c>
      <c r="F42" s="9"/>
      <c r="G42" s="9">
        <f t="shared" si="5"/>
        <v>0.4202898551</v>
      </c>
      <c r="I42" s="14">
        <v>5.25</v>
      </c>
    </row>
    <row r="43">
      <c r="A43" s="6" t="s">
        <v>55</v>
      </c>
      <c r="B43" s="7">
        <f t="shared" si="1"/>
        <v>28</v>
      </c>
      <c r="C43" s="7" t="str">
        <f t="shared" si="2"/>
        <v>#REF!</v>
      </c>
      <c r="D43" s="9">
        <f>'2023-24'!N43</f>
        <v>0.3914239976</v>
      </c>
      <c r="E43" s="9" t="str">
        <f>('NHL Movement'!J43+'OLD NHL Tracking'!J43)/2</f>
        <v>#REF!</v>
      </c>
      <c r="F43" s="9"/>
      <c r="G43" s="9">
        <f t="shared" si="5"/>
        <v>0.05797101449</v>
      </c>
      <c r="I43" s="14">
        <v>1.5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9" t="s">
        <v>118</v>
      </c>
      <c r="C1" s="14" t="s">
        <v>119</v>
      </c>
      <c r="D1" s="39" t="s">
        <v>118</v>
      </c>
      <c r="E1" s="14" t="s">
        <v>120</v>
      </c>
      <c r="F1" s="39" t="s">
        <v>118</v>
      </c>
      <c r="G1" s="14" t="s">
        <v>121</v>
      </c>
      <c r="H1" s="39" t="s">
        <v>118</v>
      </c>
      <c r="I1" s="14" t="s">
        <v>122</v>
      </c>
      <c r="J1" s="5"/>
      <c r="K1" s="5" t="s">
        <v>123</v>
      </c>
      <c r="L1" s="5" t="s">
        <v>124</v>
      </c>
      <c r="M1" s="37"/>
      <c r="S1" s="37" t="s">
        <v>125</v>
      </c>
    </row>
    <row r="2">
      <c r="A2" s="6" t="s">
        <v>9</v>
      </c>
      <c r="B2" s="12">
        <v>31.0</v>
      </c>
      <c r="C2" s="14">
        <v>-9.97</v>
      </c>
      <c r="D2" s="12">
        <v>54.0</v>
      </c>
      <c r="E2" s="14">
        <v>12.14</v>
      </c>
      <c r="F2" s="12">
        <v>50.0</v>
      </c>
      <c r="G2" s="14">
        <v>2.92</v>
      </c>
      <c r="H2" s="12">
        <v>58.0</v>
      </c>
      <c r="I2" s="29">
        <v>15.76</v>
      </c>
      <c r="J2" s="12"/>
      <c r="K2" s="9">
        <f t="shared" ref="K2:K43" si="1">SUM(M2:P2)</f>
        <v>7.287927461</v>
      </c>
      <c r="L2" s="8">
        <f t="shared" ref="L2:L43" si="2">O2+P2</f>
        <v>5.492642487</v>
      </c>
      <c r="M2" s="8">
        <f t="shared" ref="M2:M43" si="3">C2*(B2/(B2+D2+F2+H2))</f>
        <v>-1.601398964</v>
      </c>
      <c r="N2" s="9">
        <f t="shared" ref="N2:N43" si="4">E2*(D2/(B2+D2+F2+H2))</f>
        <v>3.396683938</v>
      </c>
      <c r="O2" s="9">
        <f t="shared" ref="O2:O43" si="5">G2*(F2/(B2+D2+F2+H2))</f>
        <v>0.7564766839</v>
      </c>
      <c r="P2" s="9">
        <f t="shared" ref="P2:P43" si="6">I2*(H2/(B2+D2+F2+H2))</f>
        <v>4.736165803</v>
      </c>
      <c r="S2" s="12">
        <v>0.915</v>
      </c>
    </row>
    <row r="3">
      <c r="A3" s="6" t="s">
        <v>10</v>
      </c>
      <c r="B3" s="22"/>
      <c r="C3" s="22"/>
      <c r="D3" s="12">
        <v>13.0</v>
      </c>
      <c r="E3" s="14">
        <v>1.01</v>
      </c>
      <c r="F3" s="12">
        <v>50.0</v>
      </c>
      <c r="G3" s="14">
        <v>18.4</v>
      </c>
      <c r="H3" s="12">
        <v>59.0</v>
      </c>
      <c r="I3" s="29">
        <v>13.07</v>
      </c>
      <c r="J3" s="12"/>
      <c r="K3" s="9">
        <f t="shared" si="1"/>
        <v>13.96934426</v>
      </c>
      <c r="L3" s="8">
        <f t="shared" si="2"/>
        <v>13.86172131</v>
      </c>
      <c r="M3" s="8">
        <f t="shared" si="3"/>
        <v>0</v>
      </c>
      <c r="N3" s="9">
        <f t="shared" si="4"/>
        <v>0.1076229508</v>
      </c>
      <c r="O3" s="9">
        <f t="shared" si="5"/>
        <v>7.540983607</v>
      </c>
      <c r="P3" s="9">
        <f t="shared" si="6"/>
        <v>6.320737705</v>
      </c>
      <c r="S3" s="12">
        <v>0.909</v>
      </c>
    </row>
    <row r="4">
      <c r="A4" s="6" t="s">
        <v>11</v>
      </c>
      <c r="B4" s="12">
        <v>29.0</v>
      </c>
      <c r="C4" s="14">
        <v>-2.14</v>
      </c>
      <c r="D4" s="12">
        <v>48.0</v>
      </c>
      <c r="E4" s="14">
        <v>0.51</v>
      </c>
      <c r="F4" s="12">
        <v>62.0</v>
      </c>
      <c r="G4" s="14">
        <v>21.65</v>
      </c>
      <c r="H4" s="12">
        <v>54.0</v>
      </c>
      <c r="I4" s="29">
        <v>1.46</v>
      </c>
      <c r="J4" s="12"/>
      <c r="K4" s="9">
        <f t="shared" si="1"/>
        <v>7.168704663</v>
      </c>
      <c r="L4" s="8">
        <f t="shared" si="2"/>
        <v>7.363419689</v>
      </c>
      <c r="M4" s="8">
        <f t="shared" si="3"/>
        <v>-0.3215544041</v>
      </c>
      <c r="N4" s="9">
        <f t="shared" si="4"/>
        <v>0.1268393782</v>
      </c>
      <c r="O4" s="9">
        <f t="shared" si="5"/>
        <v>6.95492228</v>
      </c>
      <c r="P4" s="9">
        <f t="shared" si="6"/>
        <v>0.4084974093</v>
      </c>
      <c r="S4" s="12">
        <v>0.913</v>
      </c>
    </row>
    <row r="5">
      <c r="A5" s="6" t="s">
        <v>12</v>
      </c>
      <c r="B5" s="12">
        <v>35.0</v>
      </c>
      <c r="C5" s="14">
        <v>4.73</v>
      </c>
      <c r="D5" s="12">
        <v>53.0</v>
      </c>
      <c r="E5" s="14">
        <v>37.18</v>
      </c>
      <c r="F5" s="12">
        <v>58.0</v>
      </c>
      <c r="G5" s="14">
        <v>27.84</v>
      </c>
      <c r="H5" s="12">
        <v>55.0</v>
      </c>
      <c r="I5" s="29">
        <v>17.36</v>
      </c>
      <c r="J5" s="12"/>
      <c r="K5" s="9">
        <f t="shared" si="1"/>
        <v>23.41099502</v>
      </c>
      <c r="L5" s="8">
        <f t="shared" si="2"/>
        <v>12.78368159</v>
      </c>
      <c r="M5" s="8">
        <f t="shared" si="3"/>
        <v>0.8236318408</v>
      </c>
      <c r="N5" s="9">
        <f t="shared" si="4"/>
        <v>9.803681592</v>
      </c>
      <c r="O5" s="9">
        <f t="shared" si="5"/>
        <v>8.033432836</v>
      </c>
      <c r="P5" s="9">
        <f t="shared" si="6"/>
        <v>4.750248756</v>
      </c>
      <c r="S5" s="12">
        <v>0.921</v>
      </c>
    </row>
    <row r="6">
      <c r="A6" s="6" t="s">
        <v>13</v>
      </c>
      <c r="B6" s="12">
        <v>10.0</v>
      </c>
      <c r="C6" s="14">
        <v>4.83</v>
      </c>
      <c r="D6" s="12">
        <v>41.0</v>
      </c>
      <c r="E6" s="14">
        <v>-4.31</v>
      </c>
      <c r="F6" s="12">
        <v>37.0</v>
      </c>
      <c r="G6" s="14">
        <v>20.99</v>
      </c>
      <c r="H6" s="12">
        <v>44.0</v>
      </c>
      <c r="I6" s="29">
        <v>22.79</v>
      </c>
      <c r="J6" s="12"/>
      <c r="K6" s="9">
        <f t="shared" si="1"/>
        <v>12.50742424</v>
      </c>
      <c r="L6" s="8">
        <f t="shared" si="2"/>
        <v>13.48022727</v>
      </c>
      <c r="M6" s="8">
        <f t="shared" si="3"/>
        <v>0.3659090909</v>
      </c>
      <c r="N6" s="9">
        <f t="shared" si="4"/>
        <v>-1.338712121</v>
      </c>
      <c r="O6" s="9">
        <f t="shared" si="5"/>
        <v>5.883560606</v>
      </c>
      <c r="P6" s="9">
        <f t="shared" si="6"/>
        <v>7.596666667</v>
      </c>
      <c r="S6" s="12">
        <v>0.919</v>
      </c>
    </row>
    <row r="7">
      <c r="A7" s="6" t="s">
        <v>14</v>
      </c>
      <c r="B7" s="12">
        <v>19.0</v>
      </c>
      <c r="C7" s="14">
        <v>-3.1</v>
      </c>
      <c r="D7" s="12">
        <v>33.0</v>
      </c>
      <c r="E7" s="14">
        <v>-5.3</v>
      </c>
      <c r="F7" s="12">
        <v>62.0</v>
      </c>
      <c r="G7" s="14">
        <v>17.29</v>
      </c>
      <c r="H7" s="12">
        <v>63.0</v>
      </c>
      <c r="I7" s="29">
        <v>-0.21</v>
      </c>
      <c r="J7" s="12"/>
      <c r="K7" s="9">
        <f t="shared" si="1"/>
        <v>4.660734463</v>
      </c>
      <c r="L7" s="8">
        <f t="shared" si="2"/>
        <v>5.981638418</v>
      </c>
      <c r="M7" s="8">
        <f t="shared" si="3"/>
        <v>-0.3327683616</v>
      </c>
      <c r="N7" s="9">
        <f t="shared" si="4"/>
        <v>-0.9881355932</v>
      </c>
      <c r="O7" s="9">
        <f t="shared" si="5"/>
        <v>6.056384181</v>
      </c>
      <c r="P7" s="9">
        <f t="shared" si="6"/>
        <v>-0.07474576271</v>
      </c>
      <c r="S7" s="12">
        <v>0.908</v>
      </c>
    </row>
    <row r="8">
      <c r="A8" s="6" t="s">
        <v>15</v>
      </c>
      <c r="B8" s="12">
        <v>36.0</v>
      </c>
      <c r="C8" s="14">
        <v>7.75</v>
      </c>
      <c r="D8" s="12">
        <v>67.0</v>
      </c>
      <c r="E8" s="14">
        <v>12.6</v>
      </c>
      <c r="F8" s="12">
        <v>64.0</v>
      </c>
      <c r="G8" s="14">
        <v>45.49</v>
      </c>
      <c r="H8" s="12">
        <v>64.0</v>
      </c>
      <c r="I8" s="29">
        <v>7.51</v>
      </c>
      <c r="J8" s="12"/>
      <c r="K8" s="9">
        <f t="shared" si="1"/>
        <v>19.54632035</v>
      </c>
      <c r="L8" s="8">
        <f t="shared" si="2"/>
        <v>14.68398268</v>
      </c>
      <c r="M8" s="8">
        <f t="shared" si="3"/>
        <v>1.207792208</v>
      </c>
      <c r="N8" s="9">
        <f t="shared" si="4"/>
        <v>3.654545455</v>
      </c>
      <c r="O8" s="9">
        <f t="shared" si="5"/>
        <v>12.60329004</v>
      </c>
      <c r="P8" s="9">
        <f t="shared" si="6"/>
        <v>2.080692641</v>
      </c>
      <c r="S8" s="12">
        <v>0.917</v>
      </c>
    </row>
    <row r="9">
      <c r="A9" s="6" t="s">
        <v>16</v>
      </c>
      <c r="B9" s="12">
        <v>45.0</v>
      </c>
      <c r="C9" s="14">
        <v>14.82</v>
      </c>
      <c r="D9" s="12">
        <v>66.0</v>
      </c>
      <c r="E9" s="14">
        <v>13.61</v>
      </c>
      <c r="F9" s="12">
        <v>64.0</v>
      </c>
      <c r="G9" s="14">
        <v>33.62</v>
      </c>
      <c r="H9" s="12">
        <v>60.0</v>
      </c>
      <c r="I9" s="29">
        <v>39.35</v>
      </c>
      <c r="J9" s="12"/>
      <c r="K9" s="9">
        <f t="shared" si="1"/>
        <v>25.86314894</v>
      </c>
      <c r="L9" s="8">
        <f t="shared" si="2"/>
        <v>19.20289362</v>
      </c>
      <c r="M9" s="8">
        <f t="shared" si="3"/>
        <v>2.83787234</v>
      </c>
      <c r="N9" s="9">
        <f t="shared" si="4"/>
        <v>3.822382979</v>
      </c>
      <c r="O9" s="9">
        <f t="shared" si="5"/>
        <v>9.156085106</v>
      </c>
      <c r="P9" s="9">
        <f t="shared" si="6"/>
        <v>10.04680851</v>
      </c>
      <c r="S9" s="12">
        <v>0.917</v>
      </c>
    </row>
    <row r="10">
      <c r="A10" s="6" t="s">
        <v>21</v>
      </c>
      <c r="B10" s="12">
        <v>19.0</v>
      </c>
      <c r="C10" s="14">
        <v>-6.17</v>
      </c>
      <c r="D10" s="12">
        <v>44.0</v>
      </c>
      <c r="E10" s="14">
        <v>-11.15</v>
      </c>
      <c r="F10" s="12">
        <v>42.0</v>
      </c>
      <c r="G10" s="14">
        <v>11.24</v>
      </c>
      <c r="H10" s="12">
        <v>40.0</v>
      </c>
      <c r="I10" s="29">
        <v>-5.75</v>
      </c>
      <c r="J10" s="12"/>
      <c r="K10" s="9">
        <f t="shared" si="1"/>
        <v>-2.522413793</v>
      </c>
      <c r="L10" s="8">
        <f t="shared" si="2"/>
        <v>1.669517241</v>
      </c>
      <c r="M10" s="8">
        <f t="shared" si="3"/>
        <v>-0.8084827586</v>
      </c>
      <c r="N10" s="9">
        <f t="shared" si="4"/>
        <v>-3.383448276</v>
      </c>
      <c r="O10" s="9">
        <f t="shared" si="5"/>
        <v>3.255724138</v>
      </c>
      <c r="P10" s="9">
        <f t="shared" si="6"/>
        <v>-1.586206897</v>
      </c>
      <c r="S10" s="12">
        <v>0.904</v>
      </c>
    </row>
    <row r="11">
      <c r="A11" s="6" t="s">
        <v>22</v>
      </c>
      <c r="B11" s="12">
        <v>42.0</v>
      </c>
      <c r="C11" s="14">
        <v>13.04</v>
      </c>
      <c r="D11" s="12">
        <v>63.0</v>
      </c>
      <c r="E11" s="14">
        <v>17.91</v>
      </c>
      <c r="F11" s="12">
        <v>60.0</v>
      </c>
      <c r="G11" s="14">
        <v>26.41</v>
      </c>
      <c r="H11" s="12">
        <v>52.0</v>
      </c>
      <c r="I11" s="29">
        <v>-1.24</v>
      </c>
      <c r="J11" s="12"/>
      <c r="K11" s="9">
        <f t="shared" si="1"/>
        <v>14.72870968</v>
      </c>
      <c r="L11" s="8">
        <f t="shared" si="2"/>
        <v>7.00516129</v>
      </c>
      <c r="M11" s="8">
        <f t="shared" si="3"/>
        <v>2.523870968</v>
      </c>
      <c r="N11" s="9">
        <f t="shared" si="4"/>
        <v>5.199677419</v>
      </c>
      <c r="O11" s="9">
        <f t="shared" si="5"/>
        <v>7.302304147</v>
      </c>
      <c r="P11" s="9">
        <f t="shared" si="6"/>
        <v>-0.2971428571</v>
      </c>
      <c r="S11" s="12">
        <v>0.917</v>
      </c>
    </row>
    <row r="12">
      <c r="A12" s="6" t="s">
        <v>23</v>
      </c>
      <c r="B12" s="22"/>
      <c r="C12" s="22"/>
      <c r="D12" s="12">
        <v>5.0</v>
      </c>
      <c r="E12" s="14">
        <v>4.76</v>
      </c>
      <c r="F12" s="12">
        <v>31.0</v>
      </c>
      <c r="G12" s="14">
        <v>-3.7</v>
      </c>
      <c r="H12" s="12">
        <v>50.0</v>
      </c>
      <c r="I12" s="29">
        <v>18.58</v>
      </c>
      <c r="J12" s="12"/>
      <c r="K12" s="9">
        <f t="shared" si="1"/>
        <v>9.745348837</v>
      </c>
      <c r="L12" s="8">
        <f t="shared" si="2"/>
        <v>9.468604651</v>
      </c>
      <c r="M12" s="8">
        <f t="shared" si="3"/>
        <v>0</v>
      </c>
      <c r="N12" s="9">
        <f t="shared" si="4"/>
        <v>0.276744186</v>
      </c>
      <c r="O12" s="9">
        <f t="shared" si="5"/>
        <v>-1.33372093</v>
      </c>
      <c r="P12" s="9">
        <f t="shared" si="6"/>
        <v>10.80232558</v>
      </c>
      <c r="S12" s="12">
        <v>0.909</v>
      </c>
    </row>
    <row r="13">
      <c r="A13" s="6" t="s">
        <v>25</v>
      </c>
      <c r="B13" s="22"/>
      <c r="C13" s="22"/>
      <c r="D13" s="12">
        <v>19.0</v>
      </c>
      <c r="E13" s="14">
        <v>2.2</v>
      </c>
      <c r="F13" s="12">
        <v>37.0</v>
      </c>
      <c r="G13" s="14">
        <v>-0.4</v>
      </c>
      <c r="H13" s="12">
        <v>46.0</v>
      </c>
      <c r="I13" s="29">
        <v>6.85</v>
      </c>
      <c r="J13" s="12"/>
      <c r="K13" s="9">
        <f t="shared" si="1"/>
        <v>3.353921569</v>
      </c>
      <c r="L13" s="8">
        <f t="shared" si="2"/>
        <v>2.944117647</v>
      </c>
      <c r="M13" s="8">
        <f t="shared" si="3"/>
        <v>0</v>
      </c>
      <c r="N13" s="9">
        <f t="shared" si="4"/>
        <v>0.4098039216</v>
      </c>
      <c r="O13" s="9">
        <f t="shared" si="5"/>
        <v>-0.1450980392</v>
      </c>
      <c r="P13" s="9">
        <f t="shared" si="6"/>
        <v>3.089215686</v>
      </c>
      <c r="S13" s="12">
        <v>0.912</v>
      </c>
    </row>
    <row r="14">
      <c r="A14" s="6" t="s">
        <v>26</v>
      </c>
      <c r="B14" s="12">
        <v>33.0</v>
      </c>
      <c r="C14" s="14">
        <v>-5.62</v>
      </c>
      <c r="D14" s="12">
        <v>49.0</v>
      </c>
      <c r="E14" s="14">
        <v>-17.26</v>
      </c>
      <c r="F14" s="12">
        <v>36.0</v>
      </c>
      <c r="G14" s="14">
        <v>0.3</v>
      </c>
      <c r="H14" s="12">
        <v>54.0</v>
      </c>
      <c r="I14" s="29">
        <v>15.01</v>
      </c>
      <c r="J14" s="12"/>
      <c r="K14" s="9">
        <f t="shared" si="1"/>
        <v>-1.220116279</v>
      </c>
      <c r="L14" s="8">
        <f t="shared" si="2"/>
        <v>4.775232558</v>
      </c>
      <c r="M14" s="8">
        <f t="shared" si="3"/>
        <v>-1.078255814</v>
      </c>
      <c r="N14" s="9">
        <f t="shared" si="4"/>
        <v>-4.917093023</v>
      </c>
      <c r="O14" s="9">
        <f t="shared" si="5"/>
        <v>0.06279069767</v>
      </c>
      <c r="P14" s="9">
        <f t="shared" si="6"/>
        <v>4.71244186</v>
      </c>
      <c r="S14" s="12">
        <v>0.913</v>
      </c>
    </row>
    <row r="15">
      <c r="A15" s="6" t="s">
        <v>27</v>
      </c>
      <c r="B15" s="12">
        <v>19.0</v>
      </c>
      <c r="C15" s="14">
        <v>-0.11</v>
      </c>
      <c r="D15" s="12">
        <v>25.0</v>
      </c>
      <c r="E15" s="14">
        <v>-6.91</v>
      </c>
      <c r="F15" s="12">
        <v>27.0</v>
      </c>
      <c r="G15" s="14">
        <v>7.54</v>
      </c>
      <c r="H15" s="12">
        <v>35.0</v>
      </c>
      <c r="I15" s="29">
        <v>7.79</v>
      </c>
      <c r="J15" s="12"/>
      <c r="K15" s="9">
        <f t="shared" si="1"/>
        <v>2.843301887</v>
      </c>
      <c r="L15" s="8">
        <f t="shared" si="2"/>
        <v>4.492735849</v>
      </c>
      <c r="M15" s="8">
        <f t="shared" si="3"/>
        <v>-0.01971698113</v>
      </c>
      <c r="N15" s="9">
        <f t="shared" si="4"/>
        <v>-1.629716981</v>
      </c>
      <c r="O15" s="9">
        <f t="shared" si="5"/>
        <v>1.920566038</v>
      </c>
      <c r="P15" s="9">
        <f t="shared" si="6"/>
        <v>2.572169811</v>
      </c>
      <c r="S15" s="12">
        <v>0.91</v>
      </c>
    </row>
    <row r="16">
      <c r="A16" s="6" t="s">
        <v>28</v>
      </c>
      <c r="B16" s="12">
        <v>42.0</v>
      </c>
      <c r="C16" s="14">
        <v>3.3</v>
      </c>
      <c r="D16" s="12">
        <v>37.0</v>
      </c>
      <c r="E16" s="14">
        <v>-10.39</v>
      </c>
      <c r="F16" s="12">
        <v>61.0</v>
      </c>
      <c r="G16" s="14">
        <v>-6.45</v>
      </c>
      <c r="H16" s="12">
        <v>57.0</v>
      </c>
      <c r="I16" s="29">
        <v>29.74</v>
      </c>
      <c r="J16" s="12"/>
      <c r="K16" s="9">
        <f t="shared" si="1"/>
        <v>5.359898477</v>
      </c>
      <c r="L16" s="8">
        <f t="shared" si="2"/>
        <v>6.607766497</v>
      </c>
      <c r="M16" s="8">
        <f t="shared" si="3"/>
        <v>0.7035532995</v>
      </c>
      <c r="N16" s="9">
        <f t="shared" si="4"/>
        <v>-1.95142132</v>
      </c>
      <c r="O16" s="9">
        <f t="shared" si="5"/>
        <v>-1.997208122</v>
      </c>
      <c r="P16" s="9">
        <f t="shared" si="6"/>
        <v>8.604974619</v>
      </c>
      <c r="S16" s="12">
        <v>0.908</v>
      </c>
    </row>
    <row r="17">
      <c r="A17" s="6" t="s">
        <v>29</v>
      </c>
      <c r="B17" s="12">
        <v>22.0</v>
      </c>
      <c r="C17" s="14">
        <v>3.37</v>
      </c>
      <c r="D17" s="12">
        <v>52.0</v>
      </c>
      <c r="E17" s="14">
        <v>21.55</v>
      </c>
      <c r="F17" s="12">
        <v>62.0</v>
      </c>
      <c r="G17" s="14">
        <v>51.36</v>
      </c>
      <c r="H17" s="12">
        <v>56.0</v>
      </c>
      <c r="I17" s="29">
        <v>8.45</v>
      </c>
      <c r="J17" s="12"/>
      <c r="K17" s="9">
        <f t="shared" si="1"/>
        <v>25.2721875</v>
      </c>
      <c r="L17" s="8">
        <f t="shared" si="2"/>
        <v>19.04958333</v>
      </c>
      <c r="M17" s="8">
        <f t="shared" si="3"/>
        <v>0.3861458333</v>
      </c>
      <c r="N17" s="9">
        <f t="shared" si="4"/>
        <v>5.836458333</v>
      </c>
      <c r="O17" s="9">
        <f t="shared" si="5"/>
        <v>16.585</v>
      </c>
      <c r="P17" s="9">
        <f t="shared" si="6"/>
        <v>2.464583333</v>
      </c>
      <c r="S17" s="12">
        <v>0.919</v>
      </c>
    </row>
    <row r="18">
      <c r="A18" s="6" t="s">
        <v>30</v>
      </c>
      <c r="B18" s="12">
        <v>12.0</v>
      </c>
      <c r="C18" s="14">
        <v>11.14</v>
      </c>
      <c r="D18" s="12">
        <v>20.0</v>
      </c>
      <c r="E18" s="14">
        <v>-12.85</v>
      </c>
      <c r="F18" s="12">
        <v>39.0</v>
      </c>
      <c r="G18" s="14">
        <v>-0.88</v>
      </c>
      <c r="H18" s="12">
        <v>56.0</v>
      </c>
      <c r="I18" s="29">
        <v>14.39</v>
      </c>
      <c r="J18" s="12"/>
      <c r="K18" s="9">
        <f t="shared" si="1"/>
        <v>5.103937008</v>
      </c>
      <c r="L18" s="8">
        <f t="shared" si="2"/>
        <v>6.07496063</v>
      </c>
      <c r="M18" s="8">
        <f t="shared" si="3"/>
        <v>1.052598425</v>
      </c>
      <c r="N18" s="9">
        <f t="shared" si="4"/>
        <v>-2.023622047</v>
      </c>
      <c r="O18" s="9">
        <f t="shared" si="5"/>
        <v>-0.2702362205</v>
      </c>
      <c r="P18" s="9">
        <f t="shared" si="6"/>
        <v>6.34519685</v>
      </c>
      <c r="S18" s="12">
        <v>0.907</v>
      </c>
    </row>
    <row r="19">
      <c r="A19" s="6" t="s">
        <v>31</v>
      </c>
      <c r="B19" s="12">
        <v>33.0</v>
      </c>
      <c r="C19" s="14">
        <v>-18.06</v>
      </c>
      <c r="D19" s="12">
        <v>22.0</v>
      </c>
      <c r="E19" s="14">
        <v>-14.87</v>
      </c>
      <c r="F19" s="12">
        <v>39.0</v>
      </c>
      <c r="G19" s="14">
        <v>8.18</v>
      </c>
      <c r="H19" s="12">
        <v>55.0</v>
      </c>
      <c r="I19" s="29">
        <v>-13.6</v>
      </c>
      <c r="J19" s="12"/>
      <c r="K19" s="9">
        <f t="shared" si="1"/>
        <v>-9.074496644</v>
      </c>
      <c r="L19" s="8">
        <f t="shared" si="2"/>
        <v>-2.879060403</v>
      </c>
      <c r="M19" s="8">
        <f t="shared" si="3"/>
        <v>-3.999865772</v>
      </c>
      <c r="N19" s="9">
        <f t="shared" si="4"/>
        <v>-2.19557047</v>
      </c>
      <c r="O19" s="9">
        <f t="shared" si="5"/>
        <v>2.141073826</v>
      </c>
      <c r="P19" s="9">
        <f t="shared" si="6"/>
        <v>-5.020134228</v>
      </c>
      <c r="S19" s="12">
        <v>0.901</v>
      </c>
    </row>
    <row r="20">
      <c r="A20" s="6" t="s">
        <v>32</v>
      </c>
      <c r="B20" s="22"/>
      <c r="C20" s="22"/>
      <c r="D20" s="12">
        <v>9.0</v>
      </c>
      <c r="E20" s="14">
        <v>-1.96</v>
      </c>
      <c r="F20" s="12">
        <v>33.0</v>
      </c>
      <c r="G20" s="14">
        <v>-10.74</v>
      </c>
      <c r="H20" s="12">
        <v>54.0</v>
      </c>
      <c r="I20" s="29">
        <v>22.46</v>
      </c>
      <c r="J20" s="12"/>
      <c r="K20" s="9">
        <f t="shared" si="1"/>
        <v>8.758125</v>
      </c>
      <c r="L20" s="8">
        <f t="shared" si="2"/>
        <v>8.941875</v>
      </c>
      <c r="M20" s="8">
        <f t="shared" si="3"/>
        <v>0</v>
      </c>
      <c r="N20" s="9">
        <f t="shared" si="4"/>
        <v>-0.18375</v>
      </c>
      <c r="O20" s="9">
        <f t="shared" si="5"/>
        <v>-3.691875</v>
      </c>
      <c r="P20" s="9">
        <f t="shared" si="6"/>
        <v>12.63375</v>
      </c>
      <c r="S20" s="12">
        <v>0.904</v>
      </c>
    </row>
    <row r="21">
      <c r="A21" s="6" t="s">
        <v>33</v>
      </c>
      <c r="B21" s="12">
        <v>35.0</v>
      </c>
      <c r="C21" s="14">
        <v>8.7</v>
      </c>
      <c r="D21" s="12">
        <v>64.0</v>
      </c>
      <c r="E21" s="14">
        <v>7.3</v>
      </c>
      <c r="F21" s="12">
        <v>32.0</v>
      </c>
      <c r="G21" s="14">
        <v>-1.49</v>
      </c>
      <c r="H21" s="12">
        <v>51.0</v>
      </c>
      <c r="I21" s="29">
        <v>25.83</v>
      </c>
      <c r="J21" s="12"/>
      <c r="K21" s="9">
        <f t="shared" si="1"/>
        <v>11.21620879</v>
      </c>
      <c r="L21" s="8">
        <f t="shared" si="2"/>
        <v>6.976098901</v>
      </c>
      <c r="M21" s="8">
        <f t="shared" si="3"/>
        <v>1.673076923</v>
      </c>
      <c r="N21" s="9">
        <f t="shared" si="4"/>
        <v>2.567032967</v>
      </c>
      <c r="O21" s="9">
        <f t="shared" si="5"/>
        <v>-0.261978022</v>
      </c>
      <c r="P21" s="9">
        <f t="shared" si="6"/>
        <v>7.238076923</v>
      </c>
      <c r="S21" s="12">
        <v>0.912</v>
      </c>
    </row>
    <row r="22">
      <c r="A22" s="6" t="s">
        <v>34</v>
      </c>
      <c r="B22" s="12">
        <v>8.0</v>
      </c>
      <c r="C22" s="14">
        <v>-1.74</v>
      </c>
      <c r="D22" s="12">
        <v>5.0</v>
      </c>
      <c r="E22" s="14">
        <v>-5.04</v>
      </c>
      <c r="F22" s="12">
        <v>5.0</v>
      </c>
      <c r="G22" s="14">
        <v>-0.48</v>
      </c>
      <c r="H22" s="12">
        <v>51.0</v>
      </c>
      <c r="I22" s="29">
        <v>15.9</v>
      </c>
      <c r="J22" s="12"/>
      <c r="K22" s="9">
        <f t="shared" si="1"/>
        <v>11.15043478</v>
      </c>
      <c r="L22" s="8">
        <f t="shared" si="2"/>
        <v>11.7173913</v>
      </c>
      <c r="M22" s="8">
        <f t="shared" si="3"/>
        <v>-0.2017391304</v>
      </c>
      <c r="N22" s="9">
        <f t="shared" si="4"/>
        <v>-0.3652173913</v>
      </c>
      <c r="O22" s="9">
        <f t="shared" si="5"/>
        <v>-0.0347826087</v>
      </c>
      <c r="P22" s="9">
        <f t="shared" si="6"/>
        <v>11.75217391</v>
      </c>
      <c r="S22" s="12">
        <v>0.907</v>
      </c>
    </row>
    <row r="23">
      <c r="A23" s="6" t="s">
        <v>35</v>
      </c>
      <c r="B23" s="22"/>
      <c r="C23" s="22"/>
      <c r="D23" s="22"/>
      <c r="E23" s="22"/>
      <c r="F23" s="12">
        <v>12.0</v>
      </c>
      <c r="G23" s="14">
        <v>2.29</v>
      </c>
      <c r="H23" s="12">
        <v>51.0</v>
      </c>
      <c r="I23" s="29">
        <v>-1.9</v>
      </c>
      <c r="J23" s="12"/>
      <c r="K23" s="9">
        <f t="shared" si="1"/>
        <v>-1.101904762</v>
      </c>
      <c r="L23" s="8">
        <f t="shared" si="2"/>
        <v>-1.101904762</v>
      </c>
      <c r="M23" s="8">
        <f t="shared" si="3"/>
        <v>0</v>
      </c>
      <c r="N23" s="9">
        <f t="shared" si="4"/>
        <v>0</v>
      </c>
      <c r="O23" s="9">
        <f t="shared" si="5"/>
        <v>0.4361904762</v>
      </c>
      <c r="P23" s="9">
        <f t="shared" si="6"/>
        <v>-1.538095238</v>
      </c>
      <c r="S23" s="12">
        <v>0.892</v>
      </c>
    </row>
    <row r="24">
      <c r="A24" s="6" t="s">
        <v>36</v>
      </c>
      <c r="B24" s="12">
        <v>39.0</v>
      </c>
      <c r="C24" s="14">
        <v>-8.26</v>
      </c>
      <c r="D24" s="12">
        <v>58.0</v>
      </c>
      <c r="E24" s="14">
        <v>6.58</v>
      </c>
      <c r="F24" s="12">
        <v>47.0</v>
      </c>
      <c r="G24" s="14">
        <v>1.12</v>
      </c>
      <c r="H24" s="12">
        <v>51.0</v>
      </c>
      <c r="I24" s="29">
        <v>12.37</v>
      </c>
      <c r="J24" s="12"/>
      <c r="K24" s="9">
        <f t="shared" si="1"/>
        <v>3.810307692</v>
      </c>
      <c r="L24" s="8">
        <f t="shared" si="2"/>
        <v>3.505179487</v>
      </c>
      <c r="M24" s="8">
        <f t="shared" si="3"/>
        <v>-1.652</v>
      </c>
      <c r="N24" s="9">
        <f t="shared" si="4"/>
        <v>1.957128205</v>
      </c>
      <c r="O24" s="9">
        <f t="shared" si="5"/>
        <v>0.2699487179</v>
      </c>
      <c r="P24" s="9">
        <f t="shared" si="6"/>
        <v>3.235230769</v>
      </c>
      <c r="S24" s="12">
        <v>0.912</v>
      </c>
    </row>
    <row r="25">
      <c r="A25" s="6" t="s">
        <v>37</v>
      </c>
      <c r="B25" s="22"/>
      <c r="C25" s="22"/>
      <c r="D25" s="22"/>
      <c r="E25" s="25"/>
      <c r="F25" s="12">
        <v>27.0</v>
      </c>
      <c r="G25" s="14">
        <v>8.93</v>
      </c>
      <c r="H25" s="12">
        <v>50.0</v>
      </c>
      <c r="I25" s="29">
        <v>17.68</v>
      </c>
      <c r="J25" s="12"/>
      <c r="K25" s="9">
        <f t="shared" si="1"/>
        <v>14.61181818</v>
      </c>
      <c r="L25" s="8">
        <f t="shared" si="2"/>
        <v>14.61181818</v>
      </c>
      <c r="M25" s="8">
        <f t="shared" si="3"/>
        <v>0</v>
      </c>
      <c r="N25" s="9">
        <f t="shared" si="4"/>
        <v>0</v>
      </c>
      <c r="O25" s="9">
        <f t="shared" si="5"/>
        <v>3.131298701</v>
      </c>
      <c r="P25" s="9">
        <f t="shared" si="6"/>
        <v>11.48051948</v>
      </c>
      <c r="S25" s="12">
        <v>0.906</v>
      </c>
    </row>
    <row r="26">
      <c r="A26" s="6" t="s">
        <v>38</v>
      </c>
      <c r="B26" s="12">
        <v>43.0</v>
      </c>
      <c r="C26" s="14">
        <v>-12.11</v>
      </c>
      <c r="D26" s="12">
        <v>63.0</v>
      </c>
      <c r="E26" s="14">
        <v>15.61</v>
      </c>
      <c r="F26" s="12">
        <v>59.0</v>
      </c>
      <c r="G26" s="14">
        <v>1.5</v>
      </c>
      <c r="H26" s="12">
        <v>48.0</v>
      </c>
      <c r="I26" s="29">
        <v>28.93</v>
      </c>
      <c r="J26" s="12"/>
      <c r="K26" s="9">
        <f t="shared" si="1"/>
        <v>9.107230047</v>
      </c>
      <c r="L26" s="8">
        <f t="shared" si="2"/>
        <v>6.934929577</v>
      </c>
      <c r="M26" s="8">
        <f t="shared" si="3"/>
        <v>-2.444741784</v>
      </c>
      <c r="N26" s="9">
        <f t="shared" si="4"/>
        <v>4.617042254</v>
      </c>
      <c r="O26" s="9">
        <f t="shared" si="5"/>
        <v>0.4154929577</v>
      </c>
      <c r="P26" s="9">
        <f t="shared" si="6"/>
        <v>6.51943662</v>
      </c>
      <c r="S26" s="12">
        <v>0.909</v>
      </c>
    </row>
    <row r="27">
      <c r="A27" s="6" t="s">
        <v>39</v>
      </c>
      <c r="B27" s="12">
        <v>35.0</v>
      </c>
      <c r="C27" s="14">
        <v>-3.94</v>
      </c>
      <c r="D27" s="12">
        <v>56.0</v>
      </c>
      <c r="E27" s="14">
        <v>-4.36</v>
      </c>
      <c r="F27" s="12">
        <v>53.0</v>
      </c>
      <c r="G27" s="14">
        <v>-2.31</v>
      </c>
      <c r="H27" s="12">
        <v>46.0</v>
      </c>
      <c r="I27" s="29">
        <v>1.02</v>
      </c>
      <c r="J27" s="12"/>
      <c r="K27" s="9">
        <f t="shared" si="1"/>
        <v>-2.408263158</v>
      </c>
      <c r="L27" s="8">
        <f t="shared" si="2"/>
        <v>-0.3974210526</v>
      </c>
      <c r="M27" s="8">
        <f t="shared" si="3"/>
        <v>-0.7257894737</v>
      </c>
      <c r="N27" s="9">
        <f t="shared" si="4"/>
        <v>-1.285052632</v>
      </c>
      <c r="O27" s="9">
        <f t="shared" si="5"/>
        <v>-0.6443684211</v>
      </c>
      <c r="P27" s="9">
        <f t="shared" si="6"/>
        <v>0.2469473684</v>
      </c>
      <c r="S27" s="12">
        <v>0.91</v>
      </c>
    </row>
    <row r="28">
      <c r="A28" s="6" t="s">
        <v>40</v>
      </c>
      <c r="B28" s="12">
        <v>9.0</v>
      </c>
      <c r="C28" s="14">
        <v>3.39</v>
      </c>
      <c r="D28" s="12">
        <v>18.0</v>
      </c>
      <c r="E28" s="14">
        <v>-7.74</v>
      </c>
      <c r="F28" s="12">
        <v>39.0</v>
      </c>
      <c r="G28" s="14">
        <v>24.54</v>
      </c>
      <c r="H28" s="12">
        <v>45.0</v>
      </c>
      <c r="I28" s="29">
        <v>-7.51</v>
      </c>
      <c r="J28" s="12"/>
      <c r="K28" s="9">
        <f t="shared" si="1"/>
        <v>4.597297297</v>
      </c>
      <c r="L28" s="8">
        <f t="shared" si="2"/>
        <v>5.577567568</v>
      </c>
      <c r="M28" s="8">
        <f t="shared" si="3"/>
        <v>0.2748648649</v>
      </c>
      <c r="N28" s="9">
        <f t="shared" si="4"/>
        <v>-1.255135135</v>
      </c>
      <c r="O28" s="9">
        <f t="shared" si="5"/>
        <v>8.622162162</v>
      </c>
      <c r="P28" s="9">
        <f t="shared" si="6"/>
        <v>-3.044594595</v>
      </c>
      <c r="S28" s="12">
        <v>0.912</v>
      </c>
    </row>
    <row r="29">
      <c r="A29" s="6" t="s">
        <v>41</v>
      </c>
      <c r="B29" s="12">
        <v>6.0</v>
      </c>
      <c r="C29" s="14">
        <v>-4.59</v>
      </c>
      <c r="D29" s="22"/>
      <c r="E29" s="25"/>
      <c r="F29" s="12">
        <v>15.0</v>
      </c>
      <c r="G29" s="14">
        <v>11.02</v>
      </c>
      <c r="H29" s="12">
        <v>44.0</v>
      </c>
      <c r="I29" s="29">
        <v>1.01</v>
      </c>
      <c r="J29" s="12"/>
      <c r="K29" s="9">
        <f t="shared" si="1"/>
        <v>2.803076923</v>
      </c>
      <c r="L29" s="8">
        <f t="shared" si="2"/>
        <v>3.226769231</v>
      </c>
      <c r="M29" s="8">
        <f t="shared" si="3"/>
        <v>-0.4236923077</v>
      </c>
      <c r="N29" s="9">
        <f t="shared" si="4"/>
        <v>0</v>
      </c>
      <c r="O29" s="9">
        <f t="shared" si="5"/>
        <v>2.543076923</v>
      </c>
      <c r="P29" s="9">
        <f t="shared" si="6"/>
        <v>0.6836923077</v>
      </c>
      <c r="S29" s="12">
        <v>0.904</v>
      </c>
    </row>
    <row r="30">
      <c r="A30" s="6" t="s">
        <v>42</v>
      </c>
      <c r="B30" s="12">
        <v>35.0</v>
      </c>
      <c r="C30" s="14">
        <v>-12.62</v>
      </c>
      <c r="D30" s="12">
        <v>25.0</v>
      </c>
      <c r="E30" s="14">
        <v>-14.57</v>
      </c>
      <c r="F30" s="12">
        <v>22.0</v>
      </c>
      <c r="G30" s="14">
        <v>0.44</v>
      </c>
      <c r="H30" s="12">
        <v>44.0</v>
      </c>
      <c r="I30" s="29">
        <v>11.07</v>
      </c>
      <c r="J30" s="12"/>
      <c r="K30" s="9">
        <f t="shared" si="1"/>
        <v>-2.453888889</v>
      </c>
      <c r="L30" s="8">
        <f t="shared" si="2"/>
        <v>3.942539683</v>
      </c>
      <c r="M30" s="8">
        <f t="shared" si="3"/>
        <v>-3.505555556</v>
      </c>
      <c r="N30" s="9">
        <f t="shared" si="4"/>
        <v>-2.890873016</v>
      </c>
      <c r="O30" s="9">
        <f t="shared" si="5"/>
        <v>0.07682539683</v>
      </c>
      <c r="P30" s="9">
        <f t="shared" si="6"/>
        <v>3.865714286</v>
      </c>
      <c r="S30" s="12">
        <v>0.904</v>
      </c>
    </row>
    <row r="31">
      <c r="A31" s="6" t="s">
        <v>43</v>
      </c>
      <c r="B31" s="22"/>
      <c r="C31" s="22"/>
      <c r="D31" s="22"/>
      <c r="E31" s="25"/>
      <c r="F31" s="12">
        <v>19.0</v>
      </c>
      <c r="G31" s="14">
        <v>3.53</v>
      </c>
      <c r="H31" s="12">
        <v>44.0</v>
      </c>
      <c r="I31" s="29">
        <v>2.79</v>
      </c>
      <c r="J31" s="12"/>
      <c r="K31" s="9">
        <f t="shared" si="1"/>
        <v>3.013174603</v>
      </c>
      <c r="L31" s="8">
        <f t="shared" si="2"/>
        <v>3.013174603</v>
      </c>
      <c r="M31" s="8">
        <f t="shared" si="3"/>
        <v>0</v>
      </c>
      <c r="N31" s="9">
        <f t="shared" si="4"/>
        <v>0</v>
      </c>
      <c r="O31" s="9">
        <f t="shared" si="5"/>
        <v>1.064603175</v>
      </c>
      <c r="P31" s="9">
        <f t="shared" si="6"/>
        <v>1.948571429</v>
      </c>
      <c r="S31" s="12">
        <v>0.902</v>
      </c>
    </row>
    <row r="32">
      <c r="A32" s="6" t="s">
        <v>44</v>
      </c>
      <c r="B32" s="22"/>
      <c r="C32" s="22"/>
      <c r="D32" s="22"/>
      <c r="E32" s="25"/>
      <c r="F32" s="12">
        <v>24.0</v>
      </c>
      <c r="G32" s="14">
        <v>10.71</v>
      </c>
      <c r="H32" s="12">
        <v>42.0</v>
      </c>
      <c r="I32" s="29">
        <v>7.27</v>
      </c>
      <c r="J32" s="12"/>
      <c r="K32" s="9">
        <f t="shared" si="1"/>
        <v>8.520909091</v>
      </c>
      <c r="L32" s="8">
        <f t="shared" si="2"/>
        <v>8.520909091</v>
      </c>
      <c r="M32" s="8">
        <f t="shared" si="3"/>
        <v>0</v>
      </c>
      <c r="N32" s="9">
        <f t="shared" si="4"/>
        <v>0</v>
      </c>
      <c r="O32" s="9">
        <f t="shared" si="5"/>
        <v>3.894545455</v>
      </c>
      <c r="P32" s="9">
        <f t="shared" si="6"/>
        <v>4.626363636</v>
      </c>
      <c r="S32" s="12">
        <v>0.91</v>
      </c>
    </row>
    <row r="33">
      <c r="A33" s="13" t="s">
        <v>126</v>
      </c>
      <c r="B33" s="22"/>
      <c r="C33" s="22"/>
      <c r="D33" s="12">
        <v>38.0</v>
      </c>
      <c r="E33" s="14">
        <v>-14.52</v>
      </c>
      <c r="F33" s="12">
        <v>40.0</v>
      </c>
      <c r="G33" s="14">
        <v>16.78</v>
      </c>
      <c r="H33" s="12">
        <v>41.0</v>
      </c>
      <c r="I33" s="29">
        <v>18.39</v>
      </c>
      <c r="J33" s="12"/>
      <c r="K33" s="9">
        <f t="shared" si="1"/>
        <v>7.339747899</v>
      </c>
      <c r="L33" s="8">
        <f t="shared" si="2"/>
        <v>11.97638655</v>
      </c>
      <c r="M33" s="8">
        <f t="shared" si="3"/>
        <v>0</v>
      </c>
      <c r="N33" s="9">
        <f t="shared" si="4"/>
        <v>-4.636638655</v>
      </c>
      <c r="O33" s="9">
        <f t="shared" si="5"/>
        <v>5.640336134</v>
      </c>
      <c r="P33" s="9">
        <f t="shared" si="6"/>
        <v>6.33605042</v>
      </c>
      <c r="S33" s="12">
        <v>0.898</v>
      </c>
    </row>
    <row r="34">
      <c r="A34" s="6" t="s">
        <v>46</v>
      </c>
      <c r="B34" s="12">
        <v>20.0</v>
      </c>
      <c r="C34" s="14">
        <v>-1.9</v>
      </c>
      <c r="D34" s="12">
        <v>41.0</v>
      </c>
      <c r="E34" s="14">
        <v>-2.51</v>
      </c>
      <c r="F34" s="12">
        <v>49.0</v>
      </c>
      <c r="G34" s="14">
        <v>38.21</v>
      </c>
      <c r="H34" s="12">
        <v>41.0</v>
      </c>
      <c r="I34" s="29">
        <v>21.62</v>
      </c>
      <c r="J34" s="12"/>
      <c r="K34" s="9">
        <f t="shared" si="1"/>
        <v>17.33642384</v>
      </c>
      <c r="L34" s="8">
        <f t="shared" si="2"/>
        <v>18.26960265</v>
      </c>
      <c r="M34" s="8">
        <f t="shared" si="3"/>
        <v>-0.2516556291</v>
      </c>
      <c r="N34" s="9">
        <f t="shared" si="4"/>
        <v>-0.6815231788</v>
      </c>
      <c r="O34" s="9">
        <f t="shared" si="5"/>
        <v>12.39927152</v>
      </c>
      <c r="P34" s="9">
        <f t="shared" si="6"/>
        <v>5.870331126</v>
      </c>
      <c r="S34" s="12">
        <v>0.918</v>
      </c>
    </row>
    <row r="35">
      <c r="A35" s="6" t="s">
        <v>47</v>
      </c>
      <c r="B35" s="12">
        <v>28.0</v>
      </c>
      <c r="C35" s="14">
        <v>-1.66</v>
      </c>
      <c r="D35" s="12">
        <v>59.0</v>
      </c>
      <c r="E35" s="14">
        <v>-6.54</v>
      </c>
      <c r="F35" s="12">
        <v>30.0</v>
      </c>
      <c r="G35" s="14">
        <v>-26.74</v>
      </c>
      <c r="H35" s="12">
        <v>41.0</v>
      </c>
      <c r="I35" s="29">
        <v>3.48</v>
      </c>
      <c r="J35" s="12"/>
      <c r="K35" s="9">
        <f t="shared" si="1"/>
        <v>-6.910506329</v>
      </c>
      <c r="L35" s="8">
        <f t="shared" si="2"/>
        <v>-4.174177215</v>
      </c>
      <c r="M35" s="8">
        <f t="shared" si="3"/>
        <v>-0.2941772152</v>
      </c>
      <c r="N35" s="9">
        <f t="shared" si="4"/>
        <v>-2.442151899</v>
      </c>
      <c r="O35" s="9">
        <f t="shared" si="5"/>
        <v>-5.07721519</v>
      </c>
      <c r="P35" s="9">
        <f t="shared" si="6"/>
        <v>0.9030379747</v>
      </c>
      <c r="S35" s="12">
        <v>0.904</v>
      </c>
    </row>
    <row r="36">
      <c r="A36" s="6" t="s">
        <v>48</v>
      </c>
      <c r="B36" s="12">
        <v>36.0</v>
      </c>
      <c r="C36" s="14">
        <v>19.87</v>
      </c>
      <c r="D36" s="12">
        <v>56.0</v>
      </c>
      <c r="E36" s="14">
        <v>-1.28</v>
      </c>
      <c r="F36" s="12">
        <v>46.0</v>
      </c>
      <c r="G36" s="14">
        <v>0.86</v>
      </c>
      <c r="H36" s="12">
        <v>40.0</v>
      </c>
      <c r="I36" s="29">
        <v>-9.21</v>
      </c>
      <c r="J36" s="12"/>
      <c r="K36" s="9">
        <f t="shared" si="1"/>
        <v>1.768539326</v>
      </c>
      <c r="L36" s="8">
        <f t="shared" si="2"/>
        <v>-1.84741573</v>
      </c>
      <c r="M36" s="8">
        <f t="shared" si="3"/>
        <v>4.018651685</v>
      </c>
      <c r="N36" s="9">
        <f t="shared" si="4"/>
        <v>-0.4026966292</v>
      </c>
      <c r="O36" s="9">
        <f t="shared" si="5"/>
        <v>0.222247191</v>
      </c>
      <c r="P36" s="9">
        <f t="shared" si="6"/>
        <v>-2.069662921</v>
      </c>
      <c r="S36" s="12">
        <v>0.912</v>
      </c>
    </row>
    <row r="37">
      <c r="A37" s="6" t="s">
        <v>49</v>
      </c>
      <c r="B37" s="12">
        <v>23.0</v>
      </c>
      <c r="C37" s="14">
        <v>13.25</v>
      </c>
      <c r="D37" s="12">
        <v>59.0</v>
      </c>
      <c r="E37" s="14">
        <v>-11.52</v>
      </c>
      <c r="F37" s="12">
        <v>15.0</v>
      </c>
      <c r="G37" s="14">
        <v>-6.91</v>
      </c>
      <c r="H37" s="12">
        <v>38.0</v>
      </c>
      <c r="I37" s="29">
        <v>0.57</v>
      </c>
      <c r="J37" s="12"/>
      <c r="K37" s="9">
        <f t="shared" si="1"/>
        <v>-3.384592593</v>
      </c>
      <c r="L37" s="8">
        <f t="shared" si="2"/>
        <v>-0.6073333333</v>
      </c>
      <c r="M37" s="8">
        <f t="shared" si="3"/>
        <v>2.257407407</v>
      </c>
      <c r="N37" s="9">
        <f t="shared" si="4"/>
        <v>-5.034666667</v>
      </c>
      <c r="O37" s="9">
        <f t="shared" si="5"/>
        <v>-0.7677777778</v>
      </c>
      <c r="P37" s="9">
        <f t="shared" si="6"/>
        <v>0.1604444444</v>
      </c>
      <c r="S37" s="12">
        <v>0.906</v>
      </c>
    </row>
    <row r="38">
      <c r="A38" s="6" t="s">
        <v>50</v>
      </c>
      <c r="B38" s="22"/>
      <c r="C38" s="22"/>
      <c r="D38" s="12">
        <v>52.0</v>
      </c>
      <c r="E38" s="14">
        <v>-12.68</v>
      </c>
      <c r="F38" s="12">
        <v>50.0</v>
      </c>
      <c r="G38" s="14">
        <v>6.98</v>
      </c>
      <c r="H38" s="12">
        <v>38.0</v>
      </c>
      <c r="I38" s="29">
        <v>-0.88</v>
      </c>
      <c r="J38" s="12"/>
      <c r="K38" s="9">
        <f t="shared" si="1"/>
        <v>-2.455714286</v>
      </c>
      <c r="L38" s="8">
        <f t="shared" si="2"/>
        <v>2.254</v>
      </c>
      <c r="M38" s="8">
        <f t="shared" si="3"/>
        <v>0</v>
      </c>
      <c r="N38" s="9">
        <f t="shared" si="4"/>
        <v>-4.709714286</v>
      </c>
      <c r="O38" s="9">
        <f t="shared" si="5"/>
        <v>2.492857143</v>
      </c>
      <c r="P38" s="9">
        <f t="shared" si="6"/>
        <v>-0.2388571429</v>
      </c>
      <c r="S38" s="12">
        <v>0.898</v>
      </c>
    </row>
    <row r="39">
      <c r="A39" s="6" t="s">
        <v>51</v>
      </c>
      <c r="B39" s="12">
        <v>24.0</v>
      </c>
      <c r="C39" s="14">
        <v>-15.34</v>
      </c>
      <c r="D39" s="12">
        <v>36.0</v>
      </c>
      <c r="E39" s="14">
        <v>-2.81</v>
      </c>
      <c r="F39" s="12">
        <v>37.0</v>
      </c>
      <c r="G39" s="14">
        <v>-21.58</v>
      </c>
      <c r="H39" s="12">
        <v>38.0</v>
      </c>
      <c r="I39" s="29">
        <v>-2.68</v>
      </c>
      <c r="J39" s="12"/>
      <c r="K39" s="9">
        <f t="shared" si="1"/>
        <v>-10.14533333</v>
      </c>
      <c r="L39" s="8">
        <f t="shared" si="2"/>
        <v>-6.668888889</v>
      </c>
      <c r="M39" s="8">
        <f t="shared" si="3"/>
        <v>-2.727111111</v>
      </c>
      <c r="N39" s="9">
        <f t="shared" si="4"/>
        <v>-0.7493333333</v>
      </c>
      <c r="O39" s="9">
        <f t="shared" si="5"/>
        <v>-5.914518519</v>
      </c>
      <c r="P39" s="9">
        <f t="shared" si="6"/>
        <v>-0.7543703704</v>
      </c>
      <c r="S39" s="12">
        <v>0.899</v>
      </c>
    </row>
    <row r="40">
      <c r="A40" s="6" t="s">
        <v>52</v>
      </c>
      <c r="B40" s="12">
        <v>40.0</v>
      </c>
      <c r="C40" s="14">
        <v>4.79</v>
      </c>
      <c r="D40" s="12">
        <v>55.0</v>
      </c>
      <c r="E40" s="14">
        <v>-24.64</v>
      </c>
      <c r="F40" s="12">
        <v>39.0</v>
      </c>
      <c r="G40" s="14">
        <v>4.94</v>
      </c>
      <c r="H40" s="12">
        <v>36.0</v>
      </c>
      <c r="I40" s="29">
        <v>-0.04</v>
      </c>
      <c r="J40" s="12"/>
      <c r="K40" s="9">
        <f t="shared" si="1"/>
        <v>-5.719882353</v>
      </c>
      <c r="L40" s="8">
        <f t="shared" si="2"/>
        <v>1.124823529</v>
      </c>
      <c r="M40" s="8">
        <f t="shared" si="3"/>
        <v>1.127058824</v>
      </c>
      <c r="N40" s="9">
        <f t="shared" si="4"/>
        <v>-7.971764706</v>
      </c>
      <c r="O40" s="9">
        <f t="shared" si="5"/>
        <v>1.133294118</v>
      </c>
      <c r="P40" s="9">
        <f t="shared" si="6"/>
        <v>-0.008470588235</v>
      </c>
      <c r="S40" s="12">
        <v>0.911</v>
      </c>
    </row>
    <row r="41">
      <c r="A41" s="6" t="s">
        <v>53</v>
      </c>
      <c r="B41" s="12">
        <v>29.0</v>
      </c>
      <c r="C41" s="14">
        <v>-3.33</v>
      </c>
      <c r="D41" s="12">
        <v>35.0</v>
      </c>
      <c r="E41" s="14">
        <v>2.98</v>
      </c>
      <c r="F41" s="12">
        <v>42.0</v>
      </c>
      <c r="G41" s="14">
        <v>-2.0</v>
      </c>
      <c r="H41" s="12">
        <v>34.0</v>
      </c>
      <c r="I41" s="29">
        <v>0.91</v>
      </c>
      <c r="J41" s="12"/>
      <c r="K41" s="9">
        <f t="shared" si="1"/>
        <v>-0.3237857143</v>
      </c>
      <c r="L41" s="8">
        <f t="shared" si="2"/>
        <v>-0.379</v>
      </c>
      <c r="M41" s="8">
        <f t="shared" si="3"/>
        <v>-0.6897857143</v>
      </c>
      <c r="N41" s="9">
        <f t="shared" si="4"/>
        <v>0.745</v>
      </c>
      <c r="O41" s="9">
        <f t="shared" si="5"/>
        <v>-0.6</v>
      </c>
      <c r="P41" s="9">
        <f t="shared" si="6"/>
        <v>0.221</v>
      </c>
      <c r="S41" s="12">
        <v>0.907</v>
      </c>
    </row>
    <row r="42">
      <c r="A42" s="6" t="s">
        <v>54</v>
      </c>
      <c r="B42" s="12">
        <v>27.0</v>
      </c>
      <c r="C42" s="14">
        <v>-0.95</v>
      </c>
      <c r="D42" s="12">
        <v>57.0</v>
      </c>
      <c r="E42" s="14">
        <v>15.86</v>
      </c>
      <c r="F42" s="12">
        <v>57.0</v>
      </c>
      <c r="G42" s="14">
        <v>13.21</v>
      </c>
      <c r="H42" s="12">
        <v>33.0</v>
      </c>
      <c r="I42" s="29">
        <v>-1.73</v>
      </c>
      <c r="J42" s="12"/>
      <c r="K42" s="9">
        <f t="shared" si="1"/>
        <v>9.047413793</v>
      </c>
      <c r="L42" s="8">
        <f t="shared" si="2"/>
        <v>3.999310345</v>
      </c>
      <c r="M42" s="8">
        <f t="shared" si="3"/>
        <v>-0.1474137931</v>
      </c>
      <c r="N42" s="9">
        <f t="shared" si="4"/>
        <v>5.195517241</v>
      </c>
      <c r="O42" s="9">
        <f t="shared" si="5"/>
        <v>4.327413793</v>
      </c>
      <c r="P42" s="9">
        <f t="shared" si="6"/>
        <v>-0.3281034483</v>
      </c>
      <c r="S42" s="12">
        <v>0.914</v>
      </c>
    </row>
    <row r="43">
      <c r="A43" s="6" t="s">
        <v>55</v>
      </c>
      <c r="B43" s="12">
        <v>16.0</v>
      </c>
      <c r="C43" s="14">
        <v>-5.51</v>
      </c>
      <c r="D43" s="12">
        <v>37.0</v>
      </c>
      <c r="E43" s="14">
        <v>3.33</v>
      </c>
      <c r="F43" s="12">
        <v>21.0</v>
      </c>
      <c r="G43" s="14">
        <v>3.14</v>
      </c>
      <c r="H43" s="12">
        <v>33.0</v>
      </c>
      <c r="I43" s="29">
        <v>-7.38</v>
      </c>
      <c r="J43" s="12"/>
      <c r="K43" s="9">
        <f t="shared" si="1"/>
        <v>-1.332242991</v>
      </c>
      <c r="L43" s="8">
        <f t="shared" si="2"/>
        <v>-1.659813084</v>
      </c>
      <c r="M43" s="8">
        <f t="shared" si="3"/>
        <v>-0.8239252336</v>
      </c>
      <c r="N43" s="9">
        <f t="shared" si="4"/>
        <v>1.151495327</v>
      </c>
      <c r="O43" s="9">
        <f t="shared" si="5"/>
        <v>0.6162616822</v>
      </c>
      <c r="P43" s="9">
        <f t="shared" si="6"/>
        <v>-2.276074766</v>
      </c>
      <c r="S43" s="12">
        <v>0.906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9" t="s">
        <v>118</v>
      </c>
      <c r="C1" s="14" t="s">
        <v>127</v>
      </c>
      <c r="D1" s="39" t="s">
        <v>118</v>
      </c>
      <c r="E1" s="14" t="s">
        <v>128</v>
      </c>
      <c r="F1" s="39" t="s">
        <v>118</v>
      </c>
      <c r="G1" s="14" t="s">
        <v>129</v>
      </c>
      <c r="H1" s="39" t="s">
        <v>118</v>
      </c>
      <c r="I1" s="14" t="s">
        <v>130</v>
      </c>
      <c r="J1" s="5"/>
      <c r="K1" s="5" t="s">
        <v>131</v>
      </c>
      <c r="L1" s="37"/>
      <c r="M1" s="37"/>
      <c r="N1" s="37"/>
      <c r="T1" s="37" t="s">
        <v>125</v>
      </c>
    </row>
    <row r="2">
      <c r="A2" s="6" t="s">
        <v>9</v>
      </c>
      <c r="B2" s="12">
        <v>31.0</v>
      </c>
      <c r="C2" s="14">
        <v>-1.35</v>
      </c>
      <c r="D2" s="12">
        <v>54.0</v>
      </c>
      <c r="E2" s="14">
        <v>3.9</v>
      </c>
      <c r="F2" s="12">
        <v>50.0</v>
      </c>
      <c r="G2" s="14">
        <v>1.03</v>
      </c>
      <c r="H2" s="12">
        <v>58.0</v>
      </c>
      <c r="I2" s="14">
        <v>2.59</v>
      </c>
      <c r="J2" s="12"/>
      <c r="K2" s="9">
        <f t="shared" ref="K2:K43" si="1">SUM(N2:Q2)</f>
        <v>1.919533679</v>
      </c>
      <c r="L2" s="12"/>
      <c r="M2" s="12"/>
      <c r="N2" s="8">
        <f t="shared" ref="N2:N43" si="2">C2*(B2/(B2+D2+F2+H2))</f>
        <v>-0.2168393782</v>
      </c>
      <c r="O2" s="9">
        <f t="shared" ref="O2:O43" si="3">E2*(D2/(B2+D2+F2+H2))</f>
        <v>1.09119171</v>
      </c>
      <c r="P2" s="9">
        <f t="shared" ref="P2:P43" si="4">G2*(F2/(B2+D2+F2+H2))</f>
        <v>0.2668393782</v>
      </c>
      <c r="Q2" s="9">
        <f t="shared" ref="Q2:Q43" si="5">I2*(H2/(B2+D2+F2+H2))</f>
        <v>0.7783419689</v>
      </c>
      <c r="T2" s="12">
        <v>0.915</v>
      </c>
    </row>
    <row r="3">
      <c r="A3" s="6" t="s">
        <v>10</v>
      </c>
      <c r="B3" s="22"/>
      <c r="C3" s="22"/>
      <c r="D3" s="12">
        <v>13.0</v>
      </c>
      <c r="E3" s="14">
        <v>0.14</v>
      </c>
      <c r="F3" s="12">
        <v>50.0</v>
      </c>
      <c r="G3" s="14">
        <v>1.13</v>
      </c>
      <c r="H3" s="12">
        <v>59.0</v>
      </c>
      <c r="I3" s="14">
        <v>0.33</v>
      </c>
      <c r="J3" s="12"/>
      <c r="K3" s="9">
        <f t="shared" si="1"/>
        <v>0.6376229508</v>
      </c>
      <c r="L3" s="12"/>
      <c r="M3" s="12"/>
      <c r="N3" s="8">
        <f t="shared" si="2"/>
        <v>0</v>
      </c>
      <c r="O3" s="9">
        <f t="shared" si="3"/>
        <v>0.01491803279</v>
      </c>
      <c r="P3" s="9">
        <f t="shared" si="4"/>
        <v>0.4631147541</v>
      </c>
      <c r="Q3" s="9">
        <f t="shared" si="5"/>
        <v>0.1595901639</v>
      </c>
      <c r="T3" s="12">
        <v>0.909</v>
      </c>
    </row>
    <row r="4">
      <c r="A4" s="6" t="s">
        <v>11</v>
      </c>
      <c r="B4" s="12">
        <v>29.0</v>
      </c>
      <c r="C4" s="14">
        <v>-0.79</v>
      </c>
      <c r="D4" s="12">
        <v>48.0</v>
      </c>
      <c r="E4" s="14">
        <v>0.24</v>
      </c>
      <c r="F4" s="12">
        <v>62.0</v>
      </c>
      <c r="G4" s="14">
        <v>1.97</v>
      </c>
      <c r="H4" s="12">
        <v>54.0</v>
      </c>
      <c r="I4" s="14">
        <v>0.32</v>
      </c>
      <c r="J4" s="12"/>
      <c r="K4" s="9">
        <f t="shared" si="1"/>
        <v>0.6633678756</v>
      </c>
      <c r="L4" s="12"/>
      <c r="M4" s="12"/>
      <c r="N4" s="8">
        <f t="shared" si="2"/>
        <v>-0.1187046632</v>
      </c>
      <c r="O4" s="9">
        <f t="shared" si="3"/>
        <v>0.05968911917</v>
      </c>
      <c r="P4" s="9">
        <f t="shared" si="4"/>
        <v>0.6328497409</v>
      </c>
      <c r="Q4" s="9">
        <f t="shared" si="5"/>
        <v>0.08953367876</v>
      </c>
      <c r="T4" s="12">
        <v>0.913</v>
      </c>
    </row>
    <row r="5">
      <c r="A5" s="6" t="s">
        <v>12</v>
      </c>
      <c r="B5" s="12">
        <v>35.0</v>
      </c>
      <c r="C5" s="14">
        <v>0.5</v>
      </c>
      <c r="D5" s="12">
        <v>53.0</v>
      </c>
      <c r="E5" s="14">
        <v>5.68</v>
      </c>
      <c r="F5" s="12">
        <v>58.0</v>
      </c>
      <c r="G5" s="14">
        <v>4.68</v>
      </c>
      <c r="H5" s="12">
        <v>55.0</v>
      </c>
      <c r="I5" s="14">
        <v>2.01</v>
      </c>
      <c r="J5" s="12"/>
      <c r="K5" s="9">
        <f t="shared" si="1"/>
        <v>3.485223881</v>
      </c>
      <c r="L5" s="12"/>
      <c r="M5" s="12"/>
      <c r="N5" s="8">
        <f t="shared" si="2"/>
        <v>0.08706467662</v>
      </c>
      <c r="O5" s="9">
        <f t="shared" si="3"/>
        <v>1.497711443</v>
      </c>
      <c r="P5" s="9">
        <f t="shared" si="4"/>
        <v>1.350447761</v>
      </c>
      <c r="Q5" s="9">
        <f t="shared" si="5"/>
        <v>0.55</v>
      </c>
      <c r="T5" s="12">
        <v>0.921</v>
      </c>
    </row>
    <row r="6">
      <c r="A6" s="6" t="s">
        <v>13</v>
      </c>
      <c r="B6" s="12">
        <v>10.0</v>
      </c>
      <c r="C6" s="14">
        <v>0.94</v>
      </c>
      <c r="D6" s="12">
        <v>41.0</v>
      </c>
      <c r="E6" s="14">
        <v>0.69</v>
      </c>
      <c r="F6" s="12">
        <v>37.0</v>
      </c>
      <c r="G6" s="14">
        <v>4.0</v>
      </c>
      <c r="H6" s="12">
        <v>44.0</v>
      </c>
      <c r="I6" s="14">
        <v>3.07</v>
      </c>
      <c r="J6" s="12"/>
      <c r="K6" s="9">
        <f t="shared" si="1"/>
        <v>2.430075758</v>
      </c>
      <c r="L6" s="12"/>
      <c r="M6" s="12"/>
      <c r="N6" s="8">
        <f t="shared" si="2"/>
        <v>0.07121212121</v>
      </c>
      <c r="O6" s="9">
        <f t="shared" si="3"/>
        <v>0.2143181818</v>
      </c>
      <c r="P6" s="9">
        <f t="shared" si="4"/>
        <v>1.121212121</v>
      </c>
      <c r="Q6" s="9">
        <f t="shared" si="5"/>
        <v>1.023333333</v>
      </c>
      <c r="T6" s="12">
        <v>0.919</v>
      </c>
    </row>
    <row r="7">
      <c r="A7" s="6" t="s">
        <v>14</v>
      </c>
      <c r="B7" s="12">
        <v>19.0</v>
      </c>
      <c r="C7" s="14">
        <v>-1.2</v>
      </c>
      <c r="D7" s="12">
        <v>33.0</v>
      </c>
      <c r="E7" s="14">
        <v>-1.14</v>
      </c>
      <c r="F7" s="12">
        <v>62.0</v>
      </c>
      <c r="G7" s="14">
        <v>3.65</v>
      </c>
      <c r="H7" s="12">
        <v>63.0</v>
      </c>
      <c r="I7" s="14">
        <v>0.83</v>
      </c>
      <c r="J7" s="12"/>
      <c r="K7" s="9">
        <f t="shared" si="1"/>
        <v>1.23259887</v>
      </c>
      <c r="L7" s="12"/>
      <c r="M7" s="12"/>
      <c r="N7" s="8">
        <f t="shared" si="2"/>
        <v>-0.1288135593</v>
      </c>
      <c r="O7" s="9">
        <f t="shared" si="3"/>
        <v>-0.2125423729</v>
      </c>
      <c r="P7" s="9">
        <f t="shared" si="4"/>
        <v>1.278531073</v>
      </c>
      <c r="Q7" s="9">
        <f t="shared" si="5"/>
        <v>0.2954237288</v>
      </c>
      <c r="T7" s="12">
        <v>0.908</v>
      </c>
    </row>
    <row r="8">
      <c r="A8" s="6" t="s">
        <v>15</v>
      </c>
      <c r="B8" s="12">
        <v>36.0</v>
      </c>
      <c r="C8" s="14">
        <v>2.19</v>
      </c>
      <c r="D8" s="12">
        <v>67.0</v>
      </c>
      <c r="E8" s="14">
        <v>3.45</v>
      </c>
      <c r="F8" s="12">
        <v>64.0</v>
      </c>
      <c r="G8" s="14">
        <v>7.78</v>
      </c>
      <c r="H8" s="12">
        <v>64.0</v>
      </c>
      <c r="I8" s="14">
        <v>-0.49</v>
      </c>
      <c r="J8" s="12"/>
      <c r="K8" s="9">
        <f t="shared" si="1"/>
        <v>3.361688312</v>
      </c>
      <c r="L8" s="12"/>
      <c r="M8" s="12"/>
      <c r="N8" s="8">
        <f t="shared" si="2"/>
        <v>0.3412987013</v>
      </c>
      <c r="O8" s="9">
        <f t="shared" si="3"/>
        <v>1.000649351</v>
      </c>
      <c r="P8" s="9">
        <f t="shared" si="4"/>
        <v>2.155497835</v>
      </c>
      <c r="Q8" s="9">
        <f t="shared" si="5"/>
        <v>-0.1357575758</v>
      </c>
      <c r="T8" s="12">
        <v>0.917</v>
      </c>
    </row>
    <row r="9">
      <c r="A9" s="6" t="s">
        <v>16</v>
      </c>
      <c r="B9" s="12">
        <v>45.0</v>
      </c>
      <c r="C9" s="14">
        <v>3.21</v>
      </c>
      <c r="D9" s="12">
        <v>66.0</v>
      </c>
      <c r="E9" s="14">
        <v>2.78</v>
      </c>
      <c r="F9" s="12">
        <v>64.0</v>
      </c>
      <c r="G9" s="14">
        <v>5.13</v>
      </c>
      <c r="H9" s="12">
        <v>60.0</v>
      </c>
      <c r="I9" s="14">
        <v>5.52</v>
      </c>
      <c r="J9" s="12"/>
      <c r="K9" s="9">
        <f t="shared" si="1"/>
        <v>4.201914894</v>
      </c>
      <c r="L9" s="12"/>
      <c r="M9" s="12"/>
      <c r="N9" s="8">
        <f t="shared" si="2"/>
        <v>0.6146808511</v>
      </c>
      <c r="O9" s="9">
        <f t="shared" si="3"/>
        <v>0.7807659574</v>
      </c>
      <c r="P9" s="9">
        <f t="shared" si="4"/>
        <v>1.397106383</v>
      </c>
      <c r="Q9" s="9">
        <f t="shared" si="5"/>
        <v>1.409361702</v>
      </c>
      <c r="T9" s="12">
        <v>0.917</v>
      </c>
    </row>
    <row r="10">
      <c r="A10" s="6" t="s">
        <v>21</v>
      </c>
      <c r="B10" s="12">
        <v>19.0</v>
      </c>
      <c r="C10" s="14">
        <v>-0.93</v>
      </c>
      <c r="D10" s="12">
        <v>44.0</v>
      </c>
      <c r="E10" s="14">
        <v>-2.01</v>
      </c>
      <c r="F10" s="12">
        <v>42.0</v>
      </c>
      <c r="G10" s="14">
        <v>3.01</v>
      </c>
      <c r="H10" s="12">
        <v>40.0</v>
      </c>
      <c r="I10" s="14">
        <v>-1.36</v>
      </c>
      <c r="J10" s="12"/>
      <c r="K10" s="9">
        <f t="shared" si="1"/>
        <v>-0.2351034483</v>
      </c>
      <c r="L10" s="12"/>
      <c r="M10" s="12"/>
      <c r="N10" s="8">
        <f t="shared" si="2"/>
        <v>-0.121862069</v>
      </c>
      <c r="O10" s="9">
        <f t="shared" si="3"/>
        <v>-0.6099310345</v>
      </c>
      <c r="P10" s="9">
        <f t="shared" si="4"/>
        <v>0.871862069</v>
      </c>
      <c r="Q10" s="9">
        <f t="shared" si="5"/>
        <v>-0.3751724138</v>
      </c>
      <c r="T10" s="12">
        <v>0.904</v>
      </c>
    </row>
    <row r="11">
      <c r="A11" s="6" t="s">
        <v>22</v>
      </c>
      <c r="B11" s="12">
        <v>42.0</v>
      </c>
      <c r="C11" s="14">
        <v>3.04</v>
      </c>
      <c r="D11" s="12">
        <v>63.0</v>
      </c>
      <c r="E11" s="14">
        <v>4.73</v>
      </c>
      <c r="F11" s="12">
        <v>60.0</v>
      </c>
      <c r="G11" s="14">
        <v>4.22</v>
      </c>
      <c r="H11" s="12">
        <v>52.0</v>
      </c>
      <c r="I11" s="14">
        <v>-0.42</v>
      </c>
      <c r="J11" s="12"/>
      <c r="K11" s="9">
        <f t="shared" si="1"/>
        <v>3.027788018</v>
      </c>
      <c r="L11" s="12"/>
      <c r="M11" s="12"/>
      <c r="N11" s="8">
        <f t="shared" si="2"/>
        <v>0.5883870968</v>
      </c>
      <c r="O11" s="9">
        <f t="shared" si="3"/>
        <v>1.373225806</v>
      </c>
      <c r="P11" s="9">
        <f t="shared" si="4"/>
        <v>1.166820276</v>
      </c>
      <c r="Q11" s="9">
        <f t="shared" si="5"/>
        <v>-0.1006451613</v>
      </c>
      <c r="T11" s="12">
        <v>0.917</v>
      </c>
    </row>
    <row r="12">
      <c r="A12" s="6" t="s">
        <v>23</v>
      </c>
      <c r="B12" s="22"/>
      <c r="C12" s="22"/>
      <c r="D12" s="12">
        <v>5.0</v>
      </c>
      <c r="E12" s="14">
        <v>0.75</v>
      </c>
      <c r="F12" s="12">
        <v>31.0</v>
      </c>
      <c r="G12" s="14">
        <v>-0.65</v>
      </c>
      <c r="H12" s="12">
        <v>50.0</v>
      </c>
      <c r="I12" s="14">
        <v>1.76</v>
      </c>
      <c r="J12" s="12"/>
      <c r="K12" s="9">
        <f t="shared" si="1"/>
        <v>0.8325581395</v>
      </c>
      <c r="L12" s="12"/>
      <c r="M12" s="12"/>
      <c r="N12" s="8">
        <f t="shared" si="2"/>
        <v>0</v>
      </c>
      <c r="O12" s="9">
        <f t="shared" si="3"/>
        <v>0.04360465116</v>
      </c>
      <c r="P12" s="9">
        <f t="shared" si="4"/>
        <v>-0.2343023256</v>
      </c>
      <c r="Q12" s="9">
        <f t="shared" si="5"/>
        <v>1.023255814</v>
      </c>
      <c r="T12" s="12">
        <v>0.909</v>
      </c>
    </row>
    <row r="13">
      <c r="A13" s="6" t="s">
        <v>25</v>
      </c>
      <c r="B13" s="22"/>
      <c r="C13" s="22"/>
      <c r="D13" s="12">
        <v>19.0</v>
      </c>
      <c r="E13" s="14">
        <v>0.11</v>
      </c>
      <c r="F13" s="12">
        <v>37.0</v>
      </c>
      <c r="G13" s="14">
        <v>0.01</v>
      </c>
      <c r="H13" s="12">
        <v>46.0</v>
      </c>
      <c r="I13" s="14">
        <v>0.76</v>
      </c>
      <c r="J13" s="12"/>
      <c r="K13" s="9">
        <f t="shared" si="1"/>
        <v>0.3668627451</v>
      </c>
      <c r="L13" s="12"/>
      <c r="M13" s="12"/>
      <c r="N13" s="8">
        <f t="shared" si="2"/>
        <v>0</v>
      </c>
      <c r="O13" s="9">
        <f t="shared" si="3"/>
        <v>0.02049019608</v>
      </c>
      <c r="P13" s="9">
        <f t="shared" si="4"/>
        <v>0.00362745098</v>
      </c>
      <c r="Q13" s="9">
        <f t="shared" si="5"/>
        <v>0.342745098</v>
      </c>
      <c r="T13" s="12">
        <v>0.912</v>
      </c>
    </row>
    <row r="14">
      <c r="A14" s="6" t="s">
        <v>26</v>
      </c>
      <c r="B14" s="12">
        <v>33.0</v>
      </c>
      <c r="C14" s="14">
        <v>-0.36</v>
      </c>
      <c r="D14" s="12">
        <v>49.0</v>
      </c>
      <c r="E14" s="14">
        <v>-0.97</v>
      </c>
      <c r="F14" s="12">
        <v>36.0</v>
      </c>
      <c r="G14" s="14">
        <v>-0.12</v>
      </c>
      <c r="H14" s="12">
        <v>54.0</v>
      </c>
      <c r="I14" s="14">
        <v>1.79</v>
      </c>
      <c r="J14" s="12"/>
      <c r="K14" s="9">
        <f t="shared" si="1"/>
        <v>0.1914534884</v>
      </c>
      <c r="L14" s="12"/>
      <c r="M14" s="12"/>
      <c r="N14" s="8">
        <f t="shared" si="2"/>
        <v>-0.06906976744</v>
      </c>
      <c r="O14" s="9">
        <f t="shared" si="3"/>
        <v>-0.2763372093</v>
      </c>
      <c r="P14" s="9">
        <f t="shared" si="4"/>
        <v>-0.02511627907</v>
      </c>
      <c r="Q14" s="9">
        <f t="shared" si="5"/>
        <v>0.5619767442</v>
      </c>
      <c r="T14" s="12">
        <v>0.913</v>
      </c>
    </row>
    <row r="15">
      <c r="A15" s="6" t="s">
        <v>27</v>
      </c>
      <c r="B15" s="12">
        <v>19.0</v>
      </c>
      <c r="C15" s="14">
        <v>0.01</v>
      </c>
      <c r="D15" s="12">
        <v>25.0</v>
      </c>
      <c r="E15" s="14">
        <v>-0.68</v>
      </c>
      <c r="F15" s="12">
        <v>27.0</v>
      </c>
      <c r="G15" s="14">
        <v>0.14</v>
      </c>
      <c r="H15" s="12">
        <v>35.0</v>
      </c>
      <c r="I15" s="14">
        <v>1.07</v>
      </c>
      <c r="J15" s="12"/>
      <c r="K15" s="9">
        <f t="shared" si="1"/>
        <v>0.2303773585</v>
      </c>
      <c r="L15" s="12"/>
      <c r="M15" s="12"/>
      <c r="N15" s="8">
        <f t="shared" si="2"/>
        <v>0.00179245283</v>
      </c>
      <c r="O15" s="9">
        <f t="shared" si="3"/>
        <v>-0.1603773585</v>
      </c>
      <c r="P15" s="9">
        <f t="shared" si="4"/>
        <v>0.03566037736</v>
      </c>
      <c r="Q15" s="9">
        <f t="shared" si="5"/>
        <v>0.3533018868</v>
      </c>
      <c r="T15" s="12">
        <v>0.91</v>
      </c>
    </row>
    <row r="16">
      <c r="A16" s="6" t="s">
        <v>28</v>
      </c>
      <c r="B16" s="12">
        <v>42.0</v>
      </c>
      <c r="C16" s="14">
        <v>0.01</v>
      </c>
      <c r="D16" s="12">
        <v>37.0</v>
      </c>
      <c r="E16" s="14">
        <v>-1.37</v>
      </c>
      <c r="F16" s="12">
        <v>61.0</v>
      </c>
      <c r="G16" s="14">
        <v>-1.53</v>
      </c>
      <c r="H16" s="12">
        <v>57.0</v>
      </c>
      <c r="I16" s="14">
        <v>2.75</v>
      </c>
      <c r="J16" s="12"/>
      <c r="K16" s="9">
        <f t="shared" si="1"/>
        <v>0.06675126904</v>
      </c>
      <c r="L16" s="12"/>
      <c r="M16" s="12"/>
      <c r="N16" s="8">
        <f t="shared" si="2"/>
        <v>0.002131979695</v>
      </c>
      <c r="O16" s="9">
        <f t="shared" si="3"/>
        <v>-0.2573096447</v>
      </c>
      <c r="P16" s="9">
        <f t="shared" si="4"/>
        <v>-0.4737563452</v>
      </c>
      <c r="Q16" s="9">
        <f t="shared" si="5"/>
        <v>0.7956852792</v>
      </c>
      <c r="T16" s="12">
        <v>0.908</v>
      </c>
    </row>
    <row r="17">
      <c r="A17" s="6" t="s">
        <v>29</v>
      </c>
      <c r="B17" s="12">
        <v>22.0</v>
      </c>
      <c r="C17" s="14">
        <v>0.42</v>
      </c>
      <c r="D17" s="12">
        <v>52.0</v>
      </c>
      <c r="E17" s="14">
        <v>2.13</v>
      </c>
      <c r="F17" s="12">
        <v>62.0</v>
      </c>
      <c r="G17" s="14">
        <v>6.44</v>
      </c>
      <c r="H17" s="12">
        <v>56.0</v>
      </c>
      <c r="I17" s="14">
        <v>0.24</v>
      </c>
      <c r="J17" s="12"/>
      <c r="K17" s="9">
        <f t="shared" si="1"/>
        <v>2.774583333</v>
      </c>
      <c r="L17" s="12"/>
      <c r="M17" s="12"/>
      <c r="N17" s="8">
        <f t="shared" si="2"/>
        <v>0.048125</v>
      </c>
      <c r="O17" s="9">
        <f t="shared" si="3"/>
        <v>0.576875</v>
      </c>
      <c r="P17" s="9">
        <f t="shared" si="4"/>
        <v>2.079583333</v>
      </c>
      <c r="Q17" s="9">
        <f t="shared" si="5"/>
        <v>0.07</v>
      </c>
      <c r="T17" s="12">
        <v>0.919</v>
      </c>
    </row>
    <row r="18">
      <c r="A18" s="6" t="s">
        <v>30</v>
      </c>
      <c r="B18" s="12">
        <v>12.0</v>
      </c>
      <c r="C18" s="14">
        <v>1.19</v>
      </c>
      <c r="D18" s="12">
        <v>20.0</v>
      </c>
      <c r="E18" s="14">
        <v>-1.94</v>
      </c>
      <c r="F18" s="12">
        <v>39.0</v>
      </c>
      <c r="G18" s="14">
        <v>-1.04</v>
      </c>
      <c r="H18" s="12">
        <v>56.0</v>
      </c>
      <c r="I18" s="14">
        <v>0.27</v>
      </c>
      <c r="J18" s="12"/>
      <c r="K18" s="9">
        <f t="shared" si="1"/>
        <v>-0.3933858268</v>
      </c>
      <c r="L18" s="12"/>
      <c r="M18" s="12"/>
      <c r="N18" s="8">
        <f t="shared" si="2"/>
        <v>0.1124409449</v>
      </c>
      <c r="O18" s="9">
        <f t="shared" si="3"/>
        <v>-0.305511811</v>
      </c>
      <c r="P18" s="9">
        <f t="shared" si="4"/>
        <v>-0.3193700787</v>
      </c>
      <c r="Q18" s="9">
        <f t="shared" si="5"/>
        <v>0.1190551181</v>
      </c>
      <c r="T18" s="12">
        <v>0.907</v>
      </c>
    </row>
    <row r="19">
      <c r="A19" s="6" t="s">
        <v>31</v>
      </c>
      <c r="B19" s="12">
        <v>33.0</v>
      </c>
      <c r="C19" s="14">
        <v>-2.3</v>
      </c>
      <c r="D19" s="12">
        <v>22.0</v>
      </c>
      <c r="E19" s="14">
        <v>-2.19</v>
      </c>
      <c r="F19" s="12">
        <v>39.0</v>
      </c>
      <c r="G19" s="14">
        <v>2.12</v>
      </c>
      <c r="H19" s="12">
        <v>55.0</v>
      </c>
      <c r="I19" s="14">
        <v>-2.68</v>
      </c>
      <c r="J19" s="12"/>
      <c r="K19" s="9">
        <f t="shared" si="1"/>
        <v>-1.267114094</v>
      </c>
      <c r="L19" s="12"/>
      <c r="M19" s="12"/>
      <c r="N19" s="8">
        <f t="shared" si="2"/>
        <v>-0.5093959732</v>
      </c>
      <c r="O19" s="9">
        <f t="shared" si="3"/>
        <v>-0.3233557047</v>
      </c>
      <c r="P19" s="9">
        <f t="shared" si="4"/>
        <v>0.5548993289</v>
      </c>
      <c r="Q19" s="9">
        <f t="shared" si="5"/>
        <v>-0.989261745</v>
      </c>
      <c r="T19" s="12">
        <v>0.901</v>
      </c>
    </row>
    <row r="20">
      <c r="A20" s="6" t="s">
        <v>32</v>
      </c>
      <c r="B20" s="22"/>
      <c r="C20" s="22"/>
      <c r="D20" s="12">
        <v>9.0</v>
      </c>
      <c r="E20" s="14">
        <v>-0.07</v>
      </c>
      <c r="F20" s="12">
        <v>33.0</v>
      </c>
      <c r="G20" s="14">
        <v>-0.84</v>
      </c>
      <c r="H20" s="12">
        <v>54.0</v>
      </c>
      <c r="I20" s="14">
        <v>1.57</v>
      </c>
      <c r="J20" s="12"/>
      <c r="K20" s="9">
        <f t="shared" si="1"/>
        <v>0.5878125</v>
      </c>
      <c r="L20" s="12"/>
      <c r="M20" s="12"/>
      <c r="N20" s="8">
        <f t="shared" si="2"/>
        <v>0</v>
      </c>
      <c r="O20" s="9">
        <f t="shared" si="3"/>
        <v>-0.0065625</v>
      </c>
      <c r="P20" s="9">
        <f t="shared" si="4"/>
        <v>-0.28875</v>
      </c>
      <c r="Q20" s="9">
        <f t="shared" si="5"/>
        <v>0.883125</v>
      </c>
      <c r="T20" s="12">
        <v>0.904</v>
      </c>
    </row>
    <row r="21">
      <c r="A21" s="6" t="s">
        <v>33</v>
      </c>
      <c r="B21" s="12">
        <v>35.0</v>
      </c>
      <c r="C21" s="14">
        <v>1.13</v>
      </c>
      <c r="D21" s="12">
        <v>64.0</v>
      </c>
      <c r="E21" s="14">
        <v>1.75</v>
      </c>
      <c r="F21" s="12">
        <v>32.0</v>
      </c>
      <c r="G21" s="14">
        <v>-0.94</v>
      </c>
      <c r="H21" s="12">
        <v>51.0</v>
      </c>
      <c r="I21" s="14">
        <v>3.67</v>
      </c>
      <c r="J21" s="12"/>
      <c r="K21" s="9">
        <f t="shared" si="1"/>
        <v>1.695824176</v>
      </c>
      <c r="L21" s="12"/>
      <c r="M21" s="12"/>
      <c r="N21" s="8">
        <f t="shared" si="2"/>
        <v>0.2173076923</v>
      </c>
      <c r="O21" s="9">
        <f t="shared" si="3"/>
        <v>0.6153846154</v>
      </c>
      <c r="P21" s="9">
        <f t="shared" si="4"/>
        <v>-0.1652747253</v>
      </c>
      <c r="Q21" s="9">
        <f t="shared" si="5"/>
        <v>1.028406593</v>
      </c>
      <c r="T21" s="12">
        <v>0.912</v>
      </c>
    </row>
    <row r="22">
      <c r="A22" s="6" t="s">
        <v>34</v>
      </c>
      <c r="B22" s="12">
        <v>8.0</v>
      </c>
      <c r="C22" s="14">
        <v>-0.16</v>
      </c>
      <c r="D22" s="12">
        <v>5.0</v>
      </c>
      <c r="E22" s="14">
        <v>-0.97</v>
      </c>
      <c r="F22" s="12">
        <v>5.0</v>
      </c>
      <c r="G22" s="14">
        <v>-0.09</v>
      </c>
      <c r="H22" s="12">
        <v>51.0</v>
      </c>
      <c r="I22" s="14">
        <v>0.63</v>
      </c>
      <c r="J22" s="12"/>
      <c r="K22" s="9">
        <f t="shared" si="1"/>
        <v>0.3702898551</v>
      </c>
      <c r="L22" s="12"/>
      <c r="M22" s="12"/>
      <c r="N22" s="8">
        <f t="shared" si="2"/>
        <v>-0.01855072464</v>
      </c>
      <c r="O22" s="9">
        <f t="shared" si="3"/>
        <v>-0.07028985507</v>
      </c>
      <c r="P22" s="9">
        <f t="shared" si="4"/>
        <v>-0.00652173913</v>
      </c>
      <c r="Q22" s="9">
        <f t="shared" si="5"/>
        <v>0.4656521739</v>
      </c>
      <c r="T22" s="12">
        <v>0.907</v>
      </c>
    </row>
    <row r="23">
      <c r="A23" s="6" t="s">
        <v>35</v>
      </c>
      <c r="B23" s="22"/>
      <c r="C23" s="22"/>
      <c r="D23" s="22"/>
      <c r="E23" s="22"/>
      <c r="F23" s="12">
        <v>12.0</v>
      </c>
      <c r="G23" s="14">
        <v>0.28</v>
      </c>
      <c r="H23" s="12">
        <v>51.0</v>
      </c>
      <c r="I23" s="14">
        <v>-0.79</v>
      </c>
      <c r="J23" s="12"/>
      <c r="K23" s="9">
        <f t="shared" si="1"/>
        <v>-0.5861904762</v>
      </c>
      <c r="L23" s="12"/>
      <c r="M23" s="12"/>
      <c r="N23" s="8">
        <f t="shared" si="2"/>
        <v>0</v>
      </c>
      <c r="O23" s="9">
        <f t="shared" si="3"/>
        <v>0</v>
      </c>
      <c r="P23" s="9">
        <f t="shared" si="4"/>
        <v>0.05333333333</v>
      </c>
      <c r="Q23" s="9">
        <f t="shared" si="5"/>
        <v>-0.6395238095</v>
      </c>
      <c r="T23" s="12">
        <v>0.892</v>
      </c>
    </row>
    <row r="24">
      <c r="A24" s="6" t="s">
        <v>36</v>
      </c>
      <c r="B24" s="12">
        <v>39.0</v>
      </c>
      <c r="C24" s="14">
        <v>-1.96</v>
      </c>
      <c r="D24" s="12">
        <v>58.0</v>
      </c>
      <c r="E24" s="14">
        <v>2.13</v>
      </c>
      <c r="F24" s="12">
        <v>47.0</v>
      </c>
      <c r="G24" s="14">
        <v>-0.47</v>
      </c>
      <c r="H24" s="12">
        <v>51.0</v>
      </c>
      <c r="I24" s="14">
        <v>0.44</v>
      </c>
      <c r="J24" s="12"/>
      <c r="K24" s="9">
        <f t="shared" si="1"/>
        <v>0.2433333333</v>
      </c>
      <c r="L24" s="12"/>
      <c r="M24" s="12"/>
      <c r="N24" s="8">
        <f t="shared" si="2"/>
        <v>-0.392</v>
      </c>
      <c r="O24" s="9">
        <f t="shared" si="3"/>
        <v>0.6335384615</v>
      </c>
      <c r="P24" s="9">
        <f t="shared" si="4"/>
        <v>-0.1132820513</v>
      </c>
      <c r="Q24" s="9">
        <f t="shared" si="5"/>
        <v>0.1150769231</v>
      </c>
      <c r="T24" s="12">
        <v>0.912</v>
      </c>
    </row>
    <row r="25">
      <c r="A25" s="6" t="s">
        <v>37</v>
      </c>
      <c r="B25" s="22"/>
      <c r="C25" s="22"/>
      <c r="D25" s="22"/>
      <c r="E25" s="25"/>
      <c r="F25" s="12">
        <v>27.0</v>
      </c>
      <c r="G25" s="14">
        <v>0.61</v>
      </c>
      <c r="H25" s="12">
        <v>50.0</v>
      </c>
      <c r="I25" s="14">
        <v>1.39</v>
      </c>
      <c r="J25" s="12"/>
      <c r="K25" s="9">
        <f t="shared" si="1"/>
        <v>1.116493506</v>
      </c>
      <c r="L25" s="12"/>
      <c r="M25" s="12"/>
      <c r="N25" s="8">
        <f t="shared" si="2"/>
        <v>0</v>
      </c>
      <c r="O25" s="9">
        <f t="shared" si="3"/>
        <v>0</v>
      </c>
      <c r="P25" s="9">
        <f t="shared" si="4"/>
        <v>0.2138961039</v>
      </c>
      <c r="Q25" s="9">
        <f t="shared" si="5"/>
        <v>0.9025974026</v>
      </c>
      <c r="T25" s="12">
        <v>0.906</v>
      </c>
    </row>
    <row r="26">
      <c r="A26" s="6" t="s">
        <v>38</v>
      </c>
      <c r="B26" s="12">
        <v>43.0</v>
      </c>
      <c r="C26" s="14">
        <v>-1.54</v>
      </c>
      <c r="D26" s="12">
        <v>63.0</v>
      </c>
      <c r="E26" s="14">
        <v>1.81</v>
      </c>
      <c r="F26" s="12">
        <v>59.0</v>
      </c>
      <c r="G26" s="14">
        <v>-0.52</v>
      </c>
      <c r="H26" s="12">
        <v>48.0</v>
      </c>
      <c r="I26" s="14">
        <v>2.28</v>
      </c>
      <c r="J26" s="12"/>
      <c r="K26" s="9">
        <f t="shared" si="1"/>
        <v>0.5942253521</v>
      </c>
      <c r="L26" s="12"/>
      <c r="M26" s="12"/>
      <c r="N26" s="8">
        <f t="shared" si="2"/>
        <v>-0.3108920188</v>
      </c>
      <c r="O26" s="9">
        <f t="shared" si="3"/>
        <v>0.5353521127</v>
      </c>
      <c r="P26" s="9">
        <f t="shared" si="4"/>
        <v>-0.1440375587</v>
      </c>
      <c r="Q26" s="9">
        <f t="shared" si="5"/>
        <v>0.5138028169</v>
      </c>
      <c r="T26" s="12">
        <v>0.909</v>
      </c>
    </row>
    <row r="27">
      <c r="A27" s="6" t="s">
        <v>39</v>
      </c>
      <c r="B27" s="12">
        <v>35.0</v>
      </c>
      <c r="C27" s="14">
        <v>-1.23</v>
      </c>
      <c r="D27" s="12">
        <v>56.0</v>
      </c>
      <c r="E27" s="14">
        <v>-2.38</v>
      </c>
      <c r="F27" s="12">
        <v>53.0</v>
      </c>
      <c r="G27" s="14">
        <v>-1.92</v>
      </c>
      <c r="H27" s="12">
        <v>46.0</v>
      </c>
      <c r="I27" s="14">
        <v>-1.6</v>
      </c>
      <c r="J27" s="12"/>
      <c r="K27" s="9">
        <f t="shared" si="1"/>
        <v>-1.851</v>
      </c>
      <c r="L27" s="12"/>
      <c r="M27" s="12"/>
      <c r="N27" s="8">
        <f t="shared" si="2"/>
        <v>-0.2265789474</v>
      </c>
      <c r="O27" s="9">
        <f t="shared" si="3"/>
        <v>-0.7014736842</v>
      </c>
      <c r="P27" s="9">
        <f t="shared" si="4"/>
        <v>-0.5355789474</v>
      </c>
      <c r="Q27" s="9">
        <f t="shared" si="5"/>
        <v>-0.3873684211</v>
      </c>
      <c r="T27" s="12">
        <v>0.91</v>
      </c>
    </row>
    <row r="28">
      <c r="A28" s="6" t="s">
        <v>40</v>
      </c>
      <c r="B28" s="12">
        <v>9.0</v>
      </c>
      <c r="C28" s="14">
        <v>0.18</v>
      </c>
      <c r="D28" s="12">
        <v>18.0</v>
      </c>
      <c r="E28" s="14">
        <v>-1.07</v>
      </c>
      <c r="F28" s="12">
        <v>39.0</v>
      </c>
      <c r="G28" s="14">
        <v>4.03</v>
      </c>
      <c r="H28" s="12">
        <v>45.0</v>
      </c>
      <c r="I28" s="14">
        <v>-0.81</v>
      </c>
      <c r="J28" s="12"/>
      <c r="K28" s="9">
        <f t="shared" si="1"/>
        <v>0.9286486486</v>
      </c>
      <c r="L28" s="12"/>
      <c r="M28" s="12"/>
      <c r="N28" s="8">
        <f t="shared" si="2"/>
        <v>0.01459459459</v>
      </c>
      <c r="O28" s="9">
        <f t="shared" si="3"/>
        <v>-0.1735135135</v>
      </c>
      <c r="P28" s="9">
        <f t="shared" si="4"/>
        <v>1.415945946</v>
      </c>
      <c r="Q28" s="9">
        <f t="shared" si="5"/>
        <v>-0.3283783784</v>
      </c>
      <c r="T28" s="12">
        <v>0.912</v>
      </c>
    </row>
    <row r="29">
      <c r="A29" s="6" t="s">
        <v>41</v>
      </c>
      <c r="B29" s="12">
        <v>6.0</v>
      </c>
      <c r="C29" s="14">
        <v>-0.25</v>
      </c>
      <c r="D29" s="22"/>
      <c r="E29" s="25"/>
      <c r="F29" s="12">
        <v>15.0</v>
      </c>
      <c r="G29" s="14">
        <v>1.26</v>
      </c>
      <c r="H29" s="12">
        <v>44.0</v>
      </c>
      <c r="I29" s="14">
        <v>0.35</v>
      </c>
      <c r="J29" s="12"/>
      <c r="K29" s="9">
        <f t="shared" si="1"/>
        <v>0.5046153846</v>
      </c>
      <c r="L29" s="12"/>
      <c r="M29" s="12"/>
      <c r="N29" s="8">
        <f t="shared" si="2"/>
        <v>-0.02307692308</v>
      </c>
      <c r="O29" s="9">
        <f t="shared" si="3"/>
        <v>0</v>
      </c>
      <c r="P29" s="9">
        <f t="shared" si="4"/>
        <v>0.2907692308</v>
      </c>
      <c r="Q29" s="9">
        <f t="shared" si="5"/>
        <v>0.2369230769</v>
      </c>
      <c r="T29" s="12">
        <v>0.904</v>
      </c>
    </row>
    <row r="30">
      <c r="A30" s="6" t="s">
        <v>42</v>
      </c>
      <c r="B30" s="12">
        <v>35.0</v>
      </c>
      <c r="C30" s="14">
        <v>-1.42</v>
      </c>
      <c r="D30" s="12">
        <v>25.0</v>
      </c>
      <c r="E30" s="14">
        <v>-2.12</v>
      </c>
      <c r="F30" s="12">
        <v>22.0</v>
      </c>
      <c r="G30" s="14">
        <v>-0.14</v>
      </c>
      <c r="H30" s="12">
        <v>44.0</v>
      </c>
      <c r="I30" s="14">
        <v>0.41</v>
      </c>
      <c r="J30" s="12"/>
      <c r="K30" s="9">
        <f t="shared" si="1"/>
        <v>-0.6963492063</v>
      </c>
      <c r="L30" s="12"/>
      <c r="M30" s="12"/>
      <c r="N30" s="8">
        <f t="shared" si="2"/>
        <v>-0.3944444444</v>
      </c>
      <c r="O30" s="9">
        <f t="shared" si="3"/>
        <v>-0.4206349206</v>
      </c>
      <c r="P30" s="9">
        <f t="shared" si="4"/>
        <v>-0.02444444444</v>
      </c>
      <c r="Q30" s="9">
        <f t="shared" si="5"/>
        <v>0.1431746032</v>
      </c>
      <c r="T30" s="12">
        <v>0.904</v>
      </c>
    </row>
    <row r="31">
      <c r="A31" s="6" t="s">
        <v>43</v>
      </c>
      <c r="B31" s="22"/>
      <c r="C31" s="22"/>
      <c r="D31" s="22"/>
      <c r="E31" s="25"/>
      <c r="F31" s="12">
        <v>19.0</v>
      </c>
      <c r="G31" s="14">
        <v>-0.05</v>
      </c>
      <c r="H31" s="12">
        <v>44.0</v>
      </c>
      <c r="I31" s="14">
        <v>-0.88</v>
      </c>
      <c r="J31" s="12"/>
      <c r="K31" s="9">
        <f t="shared" si="1"/>
        <v>-0.6296825397</v>
      </c>
      <c r="L31" s="12"/>
      <c r="M31" s="12"/>
      <c r="N31" s="8">
        <f t="shared" si="2"/>
        <v>0</v>
      </c>
      <c r="O31" s="9">
        <f t="shared" si="3"/>
        <v>0</v>
      </c>
      <c r="P31" s="9">
        <f t="shared" si="4"/>
        <v>-0.01507936508</v>
      </c>
      <c r="Q31" s="9">
        <f t="shared" si="5"/>
        <v>-0.6146031746</v>
      </c>
      <c r="T31" s="12">
        <v>0.902</v>
      </c>
    </row>
    <row r="32">
      <c r="A32" s="6" t="s">
        <v>44</v>
      </c>
      <c r="B32" s="22"/>
      <c r="C32" s="22"/>
      <c r="D32" s="22"/>
      <c r="E32" s="25"/>
      <c r="F32" s="12">
        <v>24.0</v>
      </c>
      <c r="G32" s="14">
        <v>0.82</v>
      </c>
      <c r="H32" s="12">
        <v>42.0</v>
      </c>
      <c r="I32" s="14">
        <v>0.11</v>
      </c>
      <c r="J32" s="12"/>
      <c r="K32" s="9">
        <f t="shared" si="1"/>
        <v>0.3681818182</v>
      </c>
      <c r="L32" s="12"/>
      <c r="M32" s="12"/>
      <c r="N32" s="8">
        <f t="shared" si="2"/>
        <v>0</v>
      </c>
      <c r="O32" s="9">
        <f t="shared" si="3"/>
        <v>0</v>
      </c>
      <c r="P32" s="9">
        <f t="shared" si="4"/>
        <v>0.2981818182</v>
      </c>
      <c r="Q32" s="9">
        <f t="shared" si="5"/>
        <v>0.07</v>
      </c>
      <c r="T32" s="12">
        <v>0.91</v>
      </c>
    </row>
    <row r="33">
      <c r="A33" s="6" t="s">
        <v>45</v>
      </c>
      <c r="B33" s="22"/>
      <c r="C33" s="22"/>
      <c r="D33" s="12">
        <v>38.0</v>
      </c>
      <c r="E33" s="14">
        <v>-2.88</v>
      </c>
      <c r="F33" s="12">
        <v>40.0</v>
      </c>
      <c r="G33" s="14">
        <v>1.97</v>
      </c>
      <c r="H33" s="12">
        <v>41.0</v>
      </c>
      <c r="I33" s="14">
        <v>0.56</v>
      </c>
      <c r="J33" s="12"/>
      <c r="K33" s="9">
        <f t="shared" si="1"/>
        <v>-0.06453781513</v>
      </c>
      <c r="L33" s="12"/>
      <c r="M33" s="12"/>
      <c r="N33" s="8">
        <f t="shared" si="2"/>
        <v>0</v>
      </c>
      <c r="O33" s="9">
        <f t="shared" si="3"/>
        <v>-0.9196638655</v>
      </c>
      <c r="P33" s="9">
        <f t="shared" si="4"/>
        <v>0.6621848739</v>
      </c>
      <c r="Q33" s="9">
        <f t="shared" si="5"/>
        <v>0.1929411765</v>
      </c>
      <c r="T33" s="12">
        <v>0.898</v>
      </c>
    </row>
    <row r="34">
      <c r="A34" s="6" t="s">
        <v>46</v>
      </c>
      <c r="B34" s="12">
        <v>20.0</v>
      </c>
      <c r="C34" s="14">
        <v>-0.6</v>
      </c>
      <c r="D34" s="12">
        <v>41.0</v>
      </c>
      <c r="E34" s="14">
        <v>0.95</v>
      </c>
      <c r="F34" s="12">
        <v>49.0</v>
      </c>
      <c r="G34" s="14">
        <v>7.07</v>
      </c>
      <c r="H34" s="12">
        <v>41.0</v>
      </c>
      <c r="I34" s="14">
        <v>2.46</v>
      </c>
      <c r="J34" s="12"/>
      <c r="K34" s="9">
        <f t="shared" si="1"/>
        <v>3.140662252</v>
      </c>
      <c r="L34" s="12"/>
      <c r="M34" s="12"/>
      <c r="N34" s="8">
        <f t="shared" si="2"/>
        <v>-0.07947019868</v>
      </c>
      <c r="O34" s="9">
        <f t="shared" si="3"/>
        <v>0.2579470199</v>
      </c>
      <c r="P34" s="9">
        <f t="shared" si="4"/>
        <v>2.294238411</v>
      </c>
      <c r="Q34" s="9">
        <f t="shared" si="5"/>
        <v>0.6679470199</v>
      </c>
      <c r="T34" s="12">
        <v>0.918</v>
      </c>
    </row>
    <row r="35">
      <c r="A35" s="6" t="s">
        <v>47</v>
      </c>
      <c r="B35" s="12">
        <v>28.0</v>
      </c>
      <c r="C35" s="14">
        <v>-0.47</v>
      </c>
      <c r="D35" s="12">
        <v>59.0</v>
      </c>
      <c r="E35" s="14">
        <v>0.67</v>
      </c>
      <c r="F35" s="12">
        <v>30.0</v>
      </c>
      <c r="G35" s="14">
        <v>-4.31</v>
      </c>
      <c r="H35" s="12">
        <v>41.0</v>
      </c>
      <c r="I35" s="14">
        <v>-1.06</v>
      </c>
      <c r="J35" s="12"/>
      <c r="K35" s="9">
        <f t="shared" si="1"/>
        <v>-0.9265189873</v>
      </c>
      <c r="L35" s="12"/>
      <c r="M35" s="12"/>
      <c r="N35" s="8">
        <f t="shared" si="2"/>
        <v>-0.08329113924</v>
      </c>
      <c r="O35" s="9">
        <f t="shared" si="3"/>
        <v>0.2501898734</v>
      </c>
      <c r="P35" s="9">
        <f t="shared" si="4"/>
        <v>-0.8183544304</v>
      </c>
      <c r="Q35" s="9">
        <f t="shared" si="5"/>
        <v>-0.2750632911</v>
      </c>
      <c r="T35" s="12">
        <v>0.904</v>
      </c>
    </row>
    <row r="36">
      <c r="A36" s="6" t="s">
        <v>48</v>
      </c>
      <c r="B36" s="12">
        <v>36.0</v>
      </c>
      <c r="C36" s="14">
        <v>2.99</v>
      </c>
      <c r="D36" s="12">
        <v>56.0</v>
      </c>
      <c r="E36" s="14">
        <v>-2.94</v>
      </c>
      <c r="F36" s="12">
        <v>46.0</v>
      </c>
      <c r="G36" s="14">
        <v>1.09</v>
      </c>
      <c r="H36" s="12">
        <v>40.0</v>
      </c>
      <c r="I36" s="14">
        <v>-1.85</v>
      </c>
      <c r="J36" s="12"/>
      <c r="K36" s="9">
        <f t="shared" si="1"/>
        <v>-0.4542696629</v>
      </c>
      <c r="L36" s="12"/>
      <c r="M36" s="12"/>
      <c r="N36" s="8">
        <f t="shared" si="2"/>
        <v>0.6047191011</v>
      </c>
      <c r="O36" s="9">
        <f t="shared" si="3"/>
        <v>-0.9249438202</v>
      </c>
      <c r="P36" s="9">
        <f t="shared" si="4"/>
        <v>0.2816853933</v>
      </c>
      <c r="Q36" s="9">
        <f t="shared" si="5"/>
        <v>-0.4157303371</v>
      </c>
      <c r="T36" s="12">
        <v>0.912</v>
      </c>
    </row>
    <row r="37">
      <c r="A37" s="6" t="s">
        <v>49</v>
      </c>
      <c r="B37" s="12">
        <v>23.0</v>
      </c>
      <c r="C37" s="14">
        <v>1.6</v>
      </c>
      <c r="D37" s="12">
        <v>59.0</v>
      </c>
      <c r="E37" s="14">
        <v>-1.16</v>
      </c>
      <c r="F37" s="12">
        <v>15.0</v>
      </c>
      <c r="G37" s="14">
        <v>-1.48</v>
      </c>
      <c r="H37" s="12">
        <v>38.0</v>
      </c>
      <c r="I37" s="14">
        <v>-0.55</v>
      </c>
      <c r="J37" s="12"/>
      <c r="K37" s="9">
        <f t="shared" si="1"/>
        <v>-0.5536296296</v>
      </c>
      <c r="L37" s="12"/>
      <c r="M37" s="12"/>
      <c r="N37" s="8">
        <f t="shared" si="2"/>
        <v>0.2725925926</v>
      </c>
      <c r="O37" s="9">
        <f t="shared" si="3"/>
        <v>-0.506962963</v>
      </c>
      <c r="P37" s="9">
        <f t="shared" si="4"/>
        <v>-0.1644444444</v>
      </c>
      <c r="Q37" s="9">
        <f t="shared" si="5"/>
        <v>-0.1548148148</v>
      </c>
      <c r="T37" s="12">
        <v>0.906</v>
      </c>
    </row>
    <row r="38">
      <c r="A38" s="6" t="s">
        <v>50</v>
      </c>
      <c r="B38" s="22"/>
      <c r="C38" s="22"/>
      <c r="D38" s="12">
        <v>52.0</v>
      </c>
      <c r="E38" s="14">
        <v>-3.87</v>
      </c>
      <c r="F38" s="12">
        <v>50.0</v>
      </c>
      <c r="G38" s="14">
        <v>1.85</v>
      </c>
      <c r="H38" s="12">
        <v>38.0</v>
      </c>
      <c r="I38" s="14">
        <v>-1.11</v>
      </c>
      <c r="J38" s="12"/>
      <c r="K38" s="9">
        <f t="shared" si="1"/>
        <v>-1.078</v>
      </c>
      <c r="L38" s="12"/>
      <c r="M38" s="12"/>
      <c r="N38" s="8">
        <f t="shared" si="2"/>
        <v>0</v>
      </c>
      <c r="O38" s="9">
        <f t="shared" si="3"/>
        <v>-1.437428571</v>
      </c>
      <c r="P38" s="9">
        <f t="shared" si="4"/>
        <v>0.6607142857</v>
      </c>
      <c r="Q38" s="9">
        <f t="shared" si="5"/>
        <v>-0.3012857143</v>
      </c>
      <c r="T38" s="12">
        <v>0.898</v>
      </c>
    </row>
    <row r="39">
      <c r="A39" s="6" t="s">
        <v>51</v>
      </c>
      <c r="B39" s="12">
        <v>24.0</v>
      </c>
      <c r="C39" s="14">
        <v>-2.18</v>
      </c>
      <c r="D39" s="12">
        <v>36.0</v>
      </c>
      <c r="E39" s="14">
        <v>0.86</v>
      </c>
      <c r="F39" s="12">
        <v>37.0</v>
      </c>
      <c r="G39" s="14">
        <v>-4.1</v>
      </c>
      <c r="H39" s="12">
        <v>38.0</v>
      </c>
      <c r="I39" s="14">
        <v>0.23</v>
      </c>
      <c r="J39" s="12"/>
      <c r="K39" s="9">
        <f t="shared" si="1"/>
        <v>-1.217185185</v>
      </c>
      <c r="L39" s="12"/>
      <c r="M39" s="12"/>
      <c r="N39" s="8">
        <f t="shared" si="2"/>
        <v>-0.3875555556</v>
      </c>
      <c r="O39" s="9">
        <f t="shared" si="3"/>
        <v>0.2293333333</v>
      </c>
      <c r="P39" s="9">
        <f t="shared" si="4"/>
        <v>-1.123703704</v>
      </c>
      <c r="Q39" s="9">
        <f t="shared" si="5"/>
        <v>0.06474074074</v>
      </c>
      <c r="T39" s="12">
        <v>0.899</v>
      </c>
    </row>
    <row r="40">
      <c r="A40" s="6" t="s">
        <v>52</v>
      </c>
      <c r="B40" s="12">
        <v>40.0</v>
      </c>
      <c r="C40" s="14">
        <v>0.87</v>
      </c>
      <c r="D40" s="12">
        <v>55.0</v>
      </c>
      <c r="E40" s="14">
        <v>-5.67</v>
      </c>
      <c r="F40" s="12">
        <v>39.0</v>
      </c>
      <c r="G40" s="14">
        <v>-0.11</v>
      </c>
      <c r="H40" s="12">
        <v>36.0</v>
      </c>
      <c r="I40" s="14">
        <v>-0.97</v>
      </c>
      <c r="J40" s="12"/>
      <c r="K40" s="9">
        <f t="shared" si="1"/>
        <v>-1.860352941</v>
      </c>
      <c r="L40" s="12"/>
      <c r="M40" s="12"/>
      <c r="N40" s="8">
        <f t="shared" si="2"/>
        <v>0.2047058824</v>
      </c>
      <c r="O40" s="9">
        <f t="shared" si="3"/>
        <v>-1.834411765</v>
      </c>
      <c r="P40" s="9">
        <f t="shared" si="4"/>
        <v>-0.02523529412</v>
      </c>
      <c r="Q40" s="9">
        <f t="shared" si="5"/>
        <v>-0.2054117647</v>
      </c>
      <c r="T40" s="12">
        <v>0.911</v>
      </c>
    </row>
    <row r="41">
      <c r="A41" s="6" t="s">
        <v>53</v>
      </c>
      <c r="B41" s="12">
        <v>29.0</v>
      </c>
      <c r="C41" s="14">
        <v>0.38</v>
      </c>
      <c r="D41" s="12">
        <v>35.0</v>
      </c>
      <c r="E41" s="14">
        <v>-0.36</v>
      </c>
      <c r="F41" s="12">
        <v>42.0</v>
      </c>
      <c r="G41" s="14">
        <v>-0.32</v>
      </c>
      <c r="H41" s="12">
        <v>34.0</v>
      </c>
      <c r="I41" s="14">
        <v>-0.32</v>
      </c>
      <c r="J41" s="12"/>
      <c r="K41" s="9">
        <f t="shared" si="1"/>
        <v>-0.185</v>
      </c>
      <c r="L41" s="12"/>
      <c r="M41" s="12"/>
      <c r="N41" s="8">
        <f t="shared" si="2"/>
        <v>0.07871428571</v>
      </c>
      <c r="O41" s="9">
        <f t="shared" si="3"/>
        <v>-0.09</v>
      </c>
      <c r="P41" s="9">
        <f t="shared" si="4"/>
        <v>-0.096</v>
      </c>
      <c r="Q41" s="9">
        <f t="shared" si="5"/>
        <v>-0.07771428571</v>
      </c>
      <c r="T41" s="12">
        <v>0.907</v>
      </c>
    </row>
    <row r="42">
      <c r="A42" s="6" t="s">
        <v>54</v>
      </c>
      <c r="B42" s="12">
        <v>27.0</v>
      </c>
      <c r="C42" s="14">
        <v>-0.04</v>
      </c>
      <c r="D42" s="12">
        <v>57.0</v>
      </c>
      <c r="E42" s="14">
        <v>3.49</v>
      </c>
      <c r="F42" s="12">
        <v>57.0</v>
      </c>
      <c r="G42" s="14">
        <v>1.46</v>
      </c>
      <c r="H42" s="12">
        <v>33.0</v>
      </c>
      <c r="I42" s="14">
        <v>-0.8</v>
      </c>
      <c r="J42" s="12"/>
      <c r="K42" s="9">
        <f t="shared" si="1"/>
        <v>1.46362069</v>
      </c>
      <c r="L42" s="12"/>
      <c r="M42" s="12"/>
      <c r="N42" s="8">
        <f t="shared" si="2"/>
        <v>-0.006206896552</v>
      </c>
      <c r="O42" s="9">
        <f t="shared" si="3"/>
        <v>1.143275862</v>
      </c>
      <c r="P42" s="9">
        <f t="shared" si="4"/>
        <v>0.4782758621</v>
      </c>
      <c r="Q42" s="9">
        <f t="shared" si="5"/>
        <v>-0.1517241379</v>
      </c>
      <c r="T42" s="12">
        <v>0.914</v>
      </c>
    </row>
    <row r="43">
      <c r="A43" s="6" t="s">
        <v>55</v>
      </c>
      <c r="B43" s="12">
        <v>16.0</v>
      </c>
      <c r="C43" s="14">
        <v>-0.76</v>
      </c>
      <c r="D43" s="12">
        <v>37.0</v>
      </c>
      <c r="E43" s="14">
        <v>0.27</v>
      </c>
      <c r="F43" s="12">
        <v>21.0</v>
      </c>
      <c r="G43" s="14">
        <v>0.76</v>
      </c>
      <c r="H43" s="12">
        <v>33.0</v>
      </c>
      <c r="I43" s="14">
        <v>-1.56</v>
      </c>
      <c r="J43" s="12"/>
      <c r="K43" s="9">
        <f t="shared" si="1"/>
        <v>-0.3522429907</v>
      </c>
      <c r="L43" s="12"/>
      <c r="M43" s="12"/>
      <c r="N43" s="8">
        <f t="shared" si="2"/>
        <v>-0.1136448598</v>
      </c>
      <c r="O43" s="9">
        <f t="shared" si="3"/>
        <v>0.09336448598</v>
      </c>
      <c r="P43" s="9">
        <f t="shared" si="4"/>
        <v>0.1491588785</v>
      </c>
      <c r="Q43" s="9">
        <f t="shared" si="5"/>
        <v>-0.4811214953</v>
      </c>
      <c r="T43" s="12">
        <v>0.906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.5"/>
    <col customWidth="1" min="6" max="6" width="5.5"/>
    <col customWidth="1" min="9" max="9" width="5.5"/>
  </cols>
  <sheetData>
    <row r="1">
      <c r="A1" s="1" t="s">
        <v>0</v>
      </c>
      <c r="B1" s="37" t="s">
        <v>118</v>
      </c>
      <c r="C1" s="37" t="s">
        <v>132</v>
      </c>
      <c r="D1" s="40" t="s">
        <v>133</v>
      </c>
      <c r="E1" s="40" t="s">
        <v>134</v>
      </c>
      <c r="F1" s="40" t="s">
        <v>133</v>
      </c>
      <c r="G1" s="40" t="s">
        <v>135</v>
      </c>
      <c r="H1" s="40" t="s">
        <v>136</v>
      </c>
      <c r="I1" s="40" t="s">
        <v>133</v>
      </c>
      <c r="J1" s="41"/>
      <c r="K1" s="40" t="s">
        <v>137</v>
      </c>
      <c r="L1" s="42" t="s">
        <v>138</v>
      </c>
      <c r="M1" s="5" t="s">
        <v>139</v>
      </c>
      <c r="N1" s="5" t="s">
        <v>140</v>
      </c>
      <c r="O1" s="5"/>
      <c r="P1" s="14" t="s">
        <v>141</v>
      </c>
      <c r="Q1" s="14" t="s">
        <v>142</v>
      </c>
      <c r="R1" s="14" t="s">
        <v>143</v>
      </c>
      <c r="S1" s="5"/>
      <c r="T1" s="5" t="s">
        <v>141</v>
      </c>
      <c r="U1" s="2" t="s">
        <v>142</v>
      </c>
      <c r="V1" s="2" t="s">
        <v>143</v>
      </c>
      <c r="W1" s="2" t="s">
        <v>144</v>
      </c>
      <c r="X1" s="2"/>
      <c r="Y1" s="14">
        <v>1.0</v>
      </c>
      <c r="Z1" s="43" t="s">
        <v>145</v>
      </c>
      <c r="AA1" s="14" t="s">
        <v>146</v>
      </c>
      <c r="AB1" s="14" t="s">
        <v>147</v>
      </c>
      <c r="AC1" s="14" t="s">
        <v>148</v>
      </c>
      <c r="AD1" s="2" t="s">
        <v>149</v>
      </c>
      <c r="AE1" s="2" t="s">
        <v>150</v>
      </c>
    </row>
    <row r="2">
      <c r="A2" s="6" t="s">
        <v>9</v>
      </c>
      <c r="B2" s="12">
        <v>58.0</v>
      </c>
      <c r="C2" s="44">
        <v>0.915</v>
      </c>
      <c r="D2" s="45">
        <f t="shared" ref="D2:D43" si="1">(C2-0.904)/0.00850251039</f>
        <v>1.293735555</v>
      </c>
      <c r="E2" s="45">
        <v>2.37</v>
      </c>
      <c r="F2" s="45">
        <f t="shared" ref="F2:F43" si="2">-(E2-2.91)/0.35</f>
        <v>1.542857143</v>
      </c>
      <c r="G2" s="46">
        <v>1584.0</v>
      </c>
      <c r="H2" s="47">
        <f t="shared" ref="H2:H43" si="3">(G2/B2)*1.001345^B2</f>
        <v>29.52458031</v>
      </c>
      <c r="I2" s="8">
        <f t="shared" ref="I2:I43" si="4">(H2-30.4)/2.119202805</f>
        <v>-0.4130891543</v>
      </c>
      <c r="J2" s="8"/>
      <c r="K2" s="11">
        <f>SUM(W2,('2022-23'!K2),('2021-22'!K2),('2020-21'!K2))</f>
        <v>1.868444143</v>
      </c>
      <c r="L2" s="48">
        <f t="shared" ref="L2:L43" si="5">(C2*B2)/SUM(B2,P2,Q2,R2)+(T2*P2)/SUM(B2,P2,Q2,R2)+(U2*Q2)/SUM(B2,P2,Q2,R2)+(V2*R2)/SUM(B2,P2,Q2,R2)</f>
        <v>0.1316491886</v>
      </c>
      <c r="M2" s="8">
        <f t="shared" ref="M2:M43" si="6">(K2-MIN($K$2:$K$43))/(MAX($K$2:$K$43)-MIN($K$2:$K$43))</f>
        <v>0.5428399934</v>
      </c>
      <c r="N2" s="8">
        <f t="shared" ref="N2:N43" si="7">(L2-MIN($L$2:$L$43))/(MAX($L$2:$L$43)-MIN($L$2:$L$43))</f>
        <v>0.3984427379</v>
      </c>
      <c r="O2" s="8"/>
      <c r="P2" s="33">
        <f>'2020-21'!B2</f>
        <v>31</v>
      </c>
      <c r="Q2" s="33">
        <f>'2021-22'!B2</f>
        <v>54</v>
      </c>
      <c r="R2" s="33">
        <f>'2022-23'!B2</f>
        <v>50</v>
      </c>
      <c r="S2" s="8"/>
      <c r="T2" s="8">
        <f>'2020-21'!K2</f>
        <v>-0.9491685351</v>
      </c>
      <c r="U2" s="9">
        <f>'2021-22'!K2</f>
        <v>0.6778797482</v>
      </c>
      <c r="V2" s="9">
        <f>'2022-23'!K2</f>
        <v>-0.6968597682</v>
      </c>
      <c r="W2" s="8">
        <f t="shared" ref="W2:W43" si="8">(D2+F2+IF((I2&gt;0.85),0.1))</f>
        <v>2.836592698</v>
      </c>
      <c r="Y2" s="14">
        <v>2.0</v>
      </c>
      <c r="Z2" s="49">
        <f t="shared" ref="Z2:Z22" si="9">CORREL(T2:W2,$Y$1:$Y$4)</f>
        <v>0.7432484033</v>
      </c>
      <c r="AA2" s="9">
        <f t="array" ref="AA2:AB2">LINEST(T2:V2)</f>
        <v>0.1261543834</v>
      </c>
      <c r="AB2" s="9">
        <v>-0.5750249519096889</v>
      </c>
      <c r="AC2" s="9">
        <f t="shared" ref="AC2:AC22" si="10">4*AA2+AB2</f>
        <v>-0.07040741814</v>
      </c>
      <c r="AD2" s="9">
        <f t="shared" ref="AD2:AD22" si="11">AC2-W2</f>
        <v>-2.907000116</v>
      </c>
      <c r="AE2" s="9">
        <f t="shared" ref="AE2:AE22" si="12">ABS(AD2)</f>
        <v>2.907000116</v>
      </c>
      <c r="AG2" s="50">
        <f t="shared" ref="AG2:AG43" si="13">-C2+E2</f>
        <v>1.455</v>
      </c>
    </row>
    <row r="3">
      <c r="A3" s="6" t="s">
        <v>10</v>
      </c>
      <c r="B3" s="12">
        <v>59.0</v>
      </c>
      <c r="C3" s="44">
        <v>0.905</v>
      </c>
      <c r="D3" s="45">
        <f t="shared" si="1"/>
        <v>0.1176123232</v>
      </c>
      <c r="E3" s="45">
        <v>2.62</v>
      </c>
      <c r="F3" s="45">
        <f t="shared" si="2"/>
        <v>0.8285714286</v>
      </c>
      <c r="G3" s="46">
        <v>1553.0</v>
      </c>
      <c r="H3" s="47">
        <f t="shared" si="3"/>
        <v>28.49441379</v>
      </c>
      <c r="I3" s="8">
        <f t="shared" si="4"/>
        <v>-0.8991995491</v>
      </c>
      <c r="J3" s="8"/>
      <c r="K3" s="11">
        <f>SUM(W3,('2022-23'!K3),('2021-22'!K3),('2020-21'!K3))</f>
        <v>2.175520646</v>
      </c>
      <c r="L3" s="48">
        <f t="shared" si="5"/>
        <v>0.8335773986</v>
      </c>
      <c r="M3" s="8">
        <f t="shared" si="6"/>
        <v>0.5585764323</v>
      </c>
      <c r="N3" s="8">
        <f t="shared" si="7"/>
        <v>0.6259142327</v>
      </c>
      <c r="O3" s="8"/>
      <c r="P3" s="33" t="str">
        <f>'2020-21'!B3</f>
        <v/>
      </c>
      <c r="Q3" s="33">
        <f>'2021-22'!B3</f>
        <v>13</v>
      </c>
      <c r="R3" s="33">
        <f>'2022-23'!B3</f>
        <v>50</v>
      </c>
      <c r="S3" s="8"/>
      <c r="T3" s="8" t="str">
        <f>'2020-21'!K3</f>
        <v/>
      </c>
      <c r="U3" s="9">
        <f>'2021-22'!K3</f>
        <v>0.3558216774</v>
      </c>
      <c r="V3" s="9">
        <f>'2022-23'!K3</f>
        <v>0.8735152165</v>
      </c>
      <c r="W3" s="8">
        <f t="shared" si="8"/>
        <v>0.9461837518</v>
      </c>
      <c r="Y3" s="14">
        <v>3.0</v>
      </c>
      <c r="Z3" s="49">
        <f t="shared" si="9"/>
        <v>0.9169245248</v>
      </c>
      <c r="AA3" s="51">
        <v>0.51</v>
      </c>
      <c r="AB3" s="51">
        <v>-0.15</v>
      </c>
      <c r="AC3" s="9">
        <f t="shared" si="10"/>
        <v>1.89</v>
      </c>
      <c r="AD3" s="9">
        <f t="shared" si="11"/>
        <v>0.9438162482</v>
      </c>
      <c r="AE3" s="9">
        <f t="shared" si="12"/>
        <v>0.9438162482</v>
      </c>
      <c r="AG3" s="50">
        <f t="shared" si="13"/>
        <v>1.715</v>
      </c>
    </row>
    <row r="4">
      <c r="A4" s="6" t="s">
        <v>11</v>
      </c>
      <c r="B4" s="12">
        <v>54.0</v>
      </c>
      <c r="C4" s="44">
        <v>0.905</v>
      </c>
      <c r="D4" s="45">
        <f t="shared" si="1"/>
        <v>0.1176123232</v>
      </c>
      <c r="E4" s="45">
        <v>2.72</v>
      </c>
      <c r="F4" s="45">
        <f t="shared" si="2"/>
        <v>0.5428571429</v>
      </c>
      <c r="G4" s="46">
        <v>1476.0</v>
      </c>
      <c r="H4" s="47">
        <f t="shared" si="3"/>
        <v>29.39098982</v>
      </c>
      <c r="I4" s="8">
        <f t="shared" si="4"/>
        <v>-0.4761272387</v>
      </c>
      <c r="J4" s="8"/>
      <c r="K4" s="11">
        <f>SUM(W4,('2022-23'!K4),('2021-22'!K4),('2020-21'!K4))</f>
        <v>4.056401827</v>
      </c>
      <c r="L4" s="48">
        <f t="shared" si="5"/>
        <v>1.18220761</v>
      </c>
      <c r="M4" s="8">
        <f t="shared" si="6"/>
        <v>0.6549640476</v>
      </c>
      <c r="N4" s="8">
        <f t="shared" si="7"/>
        <v>0.7388936432</v>
      </c>
      <c r="O4" s="8"/>
      <c r="P4" s="33">
        <f>'2020-21'!B4</f>
        <v>29</v>
      </c>
      <c r="Q4" s="33">
        <f>'2021-22'!B4</f>
        <v>48</v>
      </c>
      <c r="R4" s="33">
        <f>'2022-23'!B4</f>
        <v>62</v>
      </c>
      <c r="S4" s="8"/>
      <c r="T4" s="8">
        <f>'2020-21'!K4</f>
        <v>0.5343236957</v>
      </c>
      <c r="U4" s="9">
        <f>'2021-22'!K4</f>
        <v>0.9727896907</v>
      </c>
      <c r="V4" s="9">
        <f>'2022-23'!K4</f>
        <v>1.888818975</v>
      </c>
      <c r="W4" s="8">
        <f t="shared" si="8"/>
        <v>0.6604694661</v>
      </c>
      <c r="Y4" s="14">
        <v>4.0</v>
      </c>
      <c r="Z4" s="49">
        <f t="shared" si="9"/>
        <v>0.2732524095</v>
      </c>
      <c r="AA4" s="9">
        <f t="shared" ref="AA4:AA12" si="14">LINEST(T4:V4)</f>
        <v>0.6772476394</v>
      </c>
      <c r="AB4" s="9">
        <v>-0.2225178251882417</v>
      </c>
      <c r="AC4" s="9">
        <f t="shared" si="10"/>
        <v>2.486472733</v>
      </c>
      <c r="AD4" s="9">
        <f t="shared" si="11"/>
        <v>1.826003266</v>
      </c>
      <c r="AE4" s="9">
        <f t="shared" si="12"/>
        <v>1.826003266</v>
      </c>
      <c r="AG4" s="50">
        <f t="shared" si="13"/>
        <v>1.815</v>
      </c>
    </row>
    <row r="5">
      <c r="A5" s="6" t="s">
        <v>12</v>
      </c>
      <c r="B5" s="12">
        <v>55.0</v>
      </c>
      <c r="C5" s="44">
        <v>0.913</v>
      </c>
      <c r="D5" s="45">
        <f t="shared" si="1"/>
        <v>1.058510909</v>
      </c>
      <c r="E5" s="45">
        <v>2.58</v>
      </c>
      <c r="F5" s="45">
        <f t="shared" si="2"/>
        <v>0.9428571429</v>
      </c>
      <c r="G5" s="46">
        <v>1606.0</v>
      </c>
      <c r="H5" s="47">
        <f t="shared" si="3"/>
        <v>31.44040992</v>
      </c>
      <c r="I5" s="8">
        <f t="shared" si="4"/>
        <v>0.4909440086</v>
      </c>
      <c r="J5" s="8"/>
      <c r="K5" s="11">
        <f>SUM(W5,('2022-23'!K5),('2021-22'!K5),('2020-21'!K5))</f>
        <v>6.755238795</v>
      </c>
      <c r="L5" s="48">
        <f t="shared" si="5"/>
        <v>1.50781813</v>
      </c>
      <c r="M5" s="8">
        <f t="shared" si="6"/>
        <v>0.7932686157</v>
      </c>
      <c r="N5" s="8">
        <f t="shared" si="7"/>
        <v>0.8444131403</v>
      </c>
      <c r="O5" s="8"/>
      <c r="P5" s="33">
        <f>'2020-21'!B5</f>
        <v>35</v>
      </c>
      <c r="Q5" s="33">
        <f>'2021-22'!B5</f>
        <v>53</v>
      </c>
      <c r="R5" s="33">
        <f>'2022-23'!B5</f>
        <v>58</v>
      </c>
      <c r="S5" s="8"/>
      <c r="T5" s="8">
        <f>'2020-21'!K5</f>
        <v>0.3503084011</v>
      </c>
      <c r="U5" s="9">
        <f>'2021-22'!K5</f>
        <v>2.962193139</v>
      </c>
      <c r="V5" s="9">
        <f>'2022-23'!K5</f>
        <v>1.441369203</v>
      </c>
      <c r="W5" s="8">
        <f t="shared" si="8"/>
        <v>2.001368052</v>
      </c>
      <c r="Z5" s="49">
        <f t="shared" si="9"/>
        <v>0.406088632</v>
      </c>
      <c r="AA5" s="9">
        <f t="shared" si="14"/>
        <v>0.5455304009</v>
      </c>
      <c r="AB5" s="9">
        <v>0.4935627793508766</v>
      </c>
      <c r="AC5" s="9">
        <f t="shared" si="10"/>
        <v>2.675684383</v>
      </c>
      <c r="AD5" s="9">
        <f t="shared" si="11"/>
        <v>0.6743163312</v>
      </c>
      <c r="AE5" s="9">
        <f t="shared" si="12"/>
        <v>0.6743163312</v>
      </c>
      <c r="AG5" s="50">
        <f t="shared" si="13"/>
        <v>1.667</v>
      </c>
    </row>
    <row r="6">
      <c r="A6" s="6" t="s">
        <v>13</v>
      </c>
      <c r="B6" s="12">
        <v>44.0</v>
      </c>
      <c r="C6" s="44">
        <v>0.916</v>
      </c>
      <c r="D6" s="45">
        <f t="shared" si="1"/>
        <v>1.411347878</v>
      </c>
      <c r="E6" s="45">
        <v>2.53</v>
      </c>
      <c r="F6" s="45">
        <f t="shared" si="2"/>
        <v>1.085714286</v>
      </c>
      <c r="G6" s="46">
        <v>1287.0</v>
      </c>
      <c r="H6" s="47">
        <f t="shared" si="3"/>
        <v>31.03202733</v>
      </c>
      <c r="I6" s="8">
        <f t="shared" si="4"/>
        <v>0.2982382463</v>
      </c>
      <c r="J6" s="8"/>
      <c r="K6" s="11">
        <f>SUM(W6,('2022-23'!K6),('2021-22'!K6),('2020-21'!K6))</f>
        <v>10.78933767</v>
      </c>
      <c r="L6" s="48">
        <f t="shared" si="5"/>
        <v>1.638998348</v>
      </c>
      <c r="M6" s="8">
        <f t="shared" si="6"/>
        <v>1</v>
      </c>
      <c r="N6" s="8">
        <f t="shared" si="7"/>
        <v>0.8869242685</v>
      </c>
      <c r="O6" s="8"/>
      <c r="P6" s="33">
        <f>'2020-21'!B6</f>
        <v>10</v>
      </c>
      <c r="Q6" s="33">
        <f>'2021-22'!B6</f>
        <v>41</v>
      </c>
      <c r="R6" s="33">
        <f>'2022-23'!B6</f>
        <v>37</v>
      </c>
      <c r="S6" s="8"/>
      <c r="T6" s="8">
        <f>'2020-21'!K6</f>
        <v>5.017599664</v>
      </c>
      <c r="U6" s="9">
        <f>'2021-22'!K6</f>
        <v>1.176194788</v>
      </c>
      <c r="V6" s="9">
        <f>'2022-23'!K6</f>
        <v>2.098481052</v>
      </c>
      <c r="W6" s="8">
        <f t="shared" si="8"/>
        <v>2.497062164</v>
      </c>
      <c r="Z6" s="49">
        <f t="shared" si="9"/>
        <v>-0.5217561394</v>
      </c>
      <c r="AA6" s="9">
        <f t="shared" si="14"/>
        <v>-1.459559306</v>
      </c>
      <c r="AB6" s="9">
        <v>5.683210446128719</v>
      </c>
      <c r="AC6" s="9">
        <f t="shared" si="10"/>
        <v>-0.155026777</v>
      </c>
      <c r="AD6" s="9">
        <f t="shared" si="11"/>
        <v>-2.652088941</v>
      </c>
      <c r="AE6" s="9">
        <f t="shared" si="12"/>
        <v>2.652088941</v>
      </c>
      <c r="AG6" s="50">
        <f t="shared" si="13"/>
        <v>1.614</v>
      </c>
    </row>
    <row r="7">
      <c r="A7" s="6" t="s">
        <v>14</v>
      </c>
      <c r="B7" s="12">
        <v>63.0</v>
      </c>
      <c r="C7" s="44">
        <v>0.897</v>
      </c>
      <c r="D7" s="45">
        <f t="shared" si="1"/>
        <v>-0.8232862624</v>
      </c>
      <c r="E7" s="45">
        <v>3.02</v>
      </c>
      <c r="F7" s="45">
        <f t="shared" si="2"/>
        <v>-0.3142857143</v>
      </c>
      <c r="G7" s="46">
        <v>1770.0</v>
      </c>
      <c r="H7" s="47">
        <f t="shared" si="3"/>
        <v>30.57791957</v>
      </c>
      <c r="I7" s="8">
        <f t="shared" si="4"/>
        <v>0.0839558976</v>
      </c>
      <c r="J7" s="8"/>
      <c r="K7" s="11">
        <f>SUM(W7,('2022-23'!K7),('2021-22'!K7),('2020-21'!K7))</f>
        <v>-0.8121603258</v>
      </c>
      <c r="L7" s="48">
        <f t="shared" si="5"/>
        <v>0.7006756245</v>
      </c>
      <c r="M7" s="8">
        <f t="shared" si="6"/>
        <v>0.4054697677</v>
      </c>
      <c r="N7" s="8">
        <f t="shared" si="7"/>
        <v>0.5828452054</v>
      </c>
      <c r="O7" s="8"/>
      <c r="P7" s="33">
        <f>'2020-21'!B7</f>
        <v>19</v>
      </c>
      <c r="Q7" s="33">
        <f>'2021-22'!B7</f>
        <v>33</v>
      </c>
      <c r="R7" s="33">
        <f>'2022-23'!B7</f>
        <v>62</v>
      </c>
      <c r="S7" s="8"/>
      <c r="T7" s="8">
        <f>'2020-21'!K7</f>
        <v>-0.6894134839</v>
      </c>
      <c r="U7" s="9">
        <f>'2021-22'!K7</f>
        <v>-0.6099408062</v>
      </c>
      <c r="V7" s="9">
        <f>'2022-23'!K7</f>
        <v>1.624765941</v>
      </c>
      <c r="W7" s="8">
        <f t="shared" si="8"/>
        <v>-1.137571977</v>
      </c>
      <c r="Z7" s="49">
        <f t="shared" si="9"/>
        <v>0.09264849907</v>
      </c>
      <c r="AA7" s="9">
        <f t="shared" si="14"/>
        <v>1.157089712</v>
      </c>
      <c r="AB7" s="9">
        <v>-2.2057088744467213</v>
      </c>
      <c r="AC7" s="9">
        <f t="shared" si="10"/>
        <v>2.422649975</v>
      </c>
      <c r="AD7" s="9">
        <f t="shared" si="11"/>
        <v>3.560221952</v>
      </c>
      <c r="AE7" s="9">
        <f t="shared" si="12"/>
        <v>3.560221952</v>
      </c>
      <c r="AG7" s="50">
        <f t="shared" si="13"/>
        <v>2.123</v>
      </c>
    </row>
    <row r="8">
      <c r="A8" s="6" t="s">
        <v>15</v>
      </c>
      <c r="B8" s="12">
        <v>64.0</v>
      </c>
      <c r="C8" s="44">
        <v>0.906</v>
      </c>
      <c r="D8" s="45">
        <f t="shared" si="1"/>
        <v>0.2352246464</v>
      </c>
      <c r="E8" s="45">
        <v>2.86</v>
      </c>
      <c r="F8" s="45">
        <f t="shared" si="2"/>
        <v>0.1428571429</v>
      </c>
      <c r="G8" s="46">
        <v>1845.0</v>
      </c>
      <c r="H8" s="47">
        <f t="shared" si="3"/>
        <v>31.41776936</v>
      </c>
      <c r="I8" s="8">
        <f t="shared" si="4"/>
        <v>0.4802604837</v>
      </c>
      <c r="J8" s="8"/>
      <c r="K8" s="11">
        <f>SUM(W8,('2022-23'!K8),('2021-22'!K8),('2020-21'!K8))</f>
        <v>4.958096368</v>
      </c>
      <c r="L8" s="48">
        <f t="shared" si="5"/>
        <v>1.287703817</v>
      </c>
      <c r="M8" s="8">
        <f t="shared" si="6"/>
        <v>0.7011722757</v>
      </c>
      <c r="N8" s="8">
        <f t="shared" si="7"/>
        <v>0.7730814411</v>
      </c>
      <c r="O8" s="8"/>
      <c r="P8" s="33">
        <f>'2020-21'!B8</f>
        <v>36</v>
      </c>
      <c r="Q8" s="33">
        <f>'2021-22'!B8</f>
        <v>67</v>
      </c>
      <c r="R8" s="33">
        <f>'2022-23'!B8</f>
        <v>64</v>
      </c>
      <c r="S8" s="8"/>
      <c r="T8" s="8">
        <f>'2020-21'!K8</f>
        <v>2.0355573</v>
      </c>
      <c r="U8" s="9">
        <f>'2021-22'!K8</f>
        <v>1.116751001</v>
      </c>
      <c r="V8" s="9">
        <f>'2022-23'!K8</f>
        <v>1.427706278</v>
      </c>
      <c r="W8" s="8">
        <f t="shared" si="8"/>
        <v>0.3780817893</v>
      </c>
      <c r="Z8" s="49">
        <f t="shared" si="9"/>
        <v>-0.8727946806</v>
      </c>
      <c r="AA8" s="9">
        <f t="shared" si="14"/>
        <v>-0.303925511</v>
      </c>
      <c r="AB8" s="9">
        <v>2.1345225483477126</v>
      </c>
      <c r="AC8" s="9">
        <f t="shared" si="10"/>
        <v>0.9188205042</v>
      </c>
      <c r="AD8" s="9">
        <f t="shared" si="11"/>
        <v>0.540738715</v>
      </c>
      <c r="AE8" s="9">
        <f t="shared" si="12"/>
        <v>0.540738715</v>
      </c>
      <c r="AG8" s="50">
        <f t="shared" si="13"/>
        <v>1.954</v>
      </c>
    </row>
    <row r="9">
      <c r="A9" s="6" t="s">
        <v>16</v>
      </c>
      <c r="B9" s="12">
        <v>60.0</v>
      </c>
      <c r="C9" s="44">
        <v>0.921</v>
      </c>
      <c r="D9" s="45">
        <f t="shared" si="1"/>
        <v>1.999409494</v>
      </c>
      <c r="E9" s="45">
        <v>2.39</v>
      </c>
      <c r="F9" s="45">
        <f t="shared" si="2"/>
        <v>1.485714286</v>
      </c>
      <c r="G9" s="46">
        <v>1798.0</v>
      </c>
      <c r="H9" s="47">
        <f t="shared" si="3"/>
        <v>32.4834728</v>
      </c>
      <c r="I9" s="8">
        <f t="shared" si="4"/>
        <v>0.9831398827</v>
      </c>
      <c r="J9" s="8"/>
      <c r="K9" s="11">
        <f>SUM(W9,('2022-23'!K9),('2021-22'!K9),('2020-21'!K9))</f>
        <v>5.954679652</v>
      </c>
      <c r="L9" s="48">
        <f t="shared" si="5"/>
        <v>0.8378315919</v>
      </c>
      <c r="M9" s="8">
        <f t="shared" si="6"/>
        <v>0.7522431711</v>
      </c>
      <c r="N9" s="8">
        <f t="shared" si="7"/>
        <v>0.6272928747</v>
      </c>
      <c r="O9" s="8"/>
      <c r="P9" s="33">
        <f>'2020-21'!B9</f>
        <v>45</v>
      </c>
      <c r="Q9" s="33">
        <f>'2021-22'!B9</f>
        <v>66</v>
      </c>
      <c r="R9" s="33">
        <f>'2022-23'!B9</f>
        <v>64</v>
      </c>
      <c r="S9" s="8"/>
      <c r="T9" s="8">
        <f>'2020-21'!K9</f>
        <v>0.5375927233</v>
      </c>
      <c r="U9" s="9">
        <f>'2021-22'!K9</f>
        <v>0.09655501787</v>
      </c>
      <c r="V9" s="9">
        <f>'2022-23'!K9</f>
        <v>1.735408131</v>
      </c>
      <c r="W9" s="8">
        <f t="shared" si="8"/>
        <v>3.58512378</v>
      </c>
      <c r="Z9" s="49">
        <f t="shared" si="9"/>
        <v>0.8923686794</v>
      </c>
      <c r="AA9" s="9">
        <f t="shared" si="14"/>
        <v>0.5989077037</v>
      </c>
      <c r="AB9" s="9">
        <v>-0.4079634500812708</v>
      </c>
      <c r="AC9" s="9">
        <f t="shared" si="10"/>
        <v>1.987667365</v>
      </c>
      <c r="AD9" s="9">
        <f t="shared" si="11"/>
        <v>-1.597456415</v>
      </c>
      <c r="AE9" s="9">
        <f t="shared" si="12"/>
        <v>1.597456415</v>
      </c>
      <c r="AG9" s="50">
        <f t="shared" si="13"/>
        <v>1.469</v>
      </c>
    </row>
    <row r="10">
      <c r="A10" s="6" t="s">
        <v>21</v>
      </c>
      <c r="B10" s="12">
        <v>40.0</v>
      </c>
      <c r="C10" s="52">
        <v>0.89</v>
      </c>
      <c r="D10" s="45">
        <f t="shared" si="1"/>
        <v>-1.646572525</v>
      </c>
      <c r="E10" s="45">
        <v>3.13</v>
      </c>
      <c r="F10" s="45">
        <f t="shared" si="2"/>
        <v>-0.6285714286</v>
      </c>
      <c r="G10" s="46">
        <v>1087.0</v>
      </c>
      <c r="H10" s="47">
        <f t="shared" si="3"/>
        <v>28.67602148</v>
      </c>
      <c r="I10" s="8">
        <f t="shared" si="4"/>
        <v>-0.8135033229</v>
      </c>
      <c r="J10" s="8"/>
      <c r="K10" s="11">
        <f>SUM(W10,('2022-23'!K10),('2021-22'!K10),('2020-21'!K10))</f>
        <v>-2.123742398</v>
      </c>
      <c r="L10" s="48">
        <f t="shared" si="5"/>
        <v>0.4159468436</v>
      </c>
      <c r="M10" s="8">
        <f t="shared" si="6"/>
        <v>0.338256448</v>
      </c>
      <c r="N10" s="8">
        <f t="shared" si="7"/>
        <v>0.4905741149</v>
      </c>
      <c r="O10" s="8"/>
      <c r="P10" s="33">
        <f>'2020-21'!B10</f>
        <v>19</v>
      </c>
      <c r="Q10" s="33">
        <f>'2021-22'!B10</f>
        <v>44</v>
      </c>
      <c r="R10" s="33">
        <f>'2022-23'!B10</f>
        <v>42</v>
      </c>
      <c r="S10" s="8"/>
      <c r="T10" s="8">
        <f>'2020-21'!K10</f>
        <v>-0.8757710027</v>
      </c>
      <c r="U10" s="9">
        <f>'2021-22'!K10</f>
        <v>-0.8946530453</v>
      </c>
      <c r="V10" s="9">
        <f>'2022-23'!K10</f>
        <v>1.921825604</v>
      </c>
      <c r="W10" s="8">
        <f t="shared" si="8"/>
        <v>-2.275143953</v>
      </c>
      <c r="Z10" s="49">
        <f t="shared" si="9"/>
        <v>-0.1012550602</v>
      </c>
      <c r="AA10" s="9">
        <f t="shared" si="14"/>
        <v>1.398798303</v>
      </c>
      <c r="AB10" s="9">
        <v>-2.7471294212181543</v>
      </c>
      <c r="AC10" s="9">
        <f t="shared" si="10"/>
        <v>2.848063792</v>
      </c>
      <c r="AD10" s="9">
        <f t="shared" si="11"/>
        <v>5.123207745</v>
      </c>
      <c r="AE10" s="9">
        <f t="shared" si="12"/>
        <v>5.123207745</v>
      </c>
      <c r="AG10" s="50">
        <f t="shared" si="13"/>
        <v>2.24</v>
      </c>
    </row>
    <row r="11">
      <c r="A11" s="6" t="s">
        <v>22</v>
      </c>
      <c r="B11" s="12">
        <v>52.0</v>
      </c>
      <c r="C11" s="44">
        <v>0.9</v>
      </c>
      <c r="D11" s="45">
        <f t="shared" si="1"/>
        <v>-0.4704492928</v>
      </c>
      <c r="E11" s="45">
        <v>2.9</v>
      </c>
      <c r="F11" s="45">
        <f t="shared" si="2"/>
        <v>0.02857142857</v>
      </c>
      <c r="G11" s="46">
        <v>1477.0</v>
      </c>
      <c r="H11" s="47">
        <f t="shared" si="3"/>
        <v>30.4600982</v>
      </c>
      <c r="I11" s="8">
        <f t="shared" si="4"/>
        <v>0.02835887249</v>
      </c>
      <c r="J11" s="8"/>
      <c r="K11" s="11">
        <f>SUM(W11,('2022-23'!K11),('2021-22'!K11),('2020-21'!K11))</f>
        <v>3.832070555</v>
      </c>
      <c r="L11" s="48">
        <f t="shared" si="5"/>
        <v>1.244584387</v>
      </c>
      <c r="M11" s="8">
        <f t="shared" si="6"/>
        <v>0.6434679698</v>
      </c>
      <c r="N11" s="8">
        <f t="shared" si="7"/>
        <v>0.7591078736</v>
      </c>
      <c r="O11" s="8"/>
      <c r="P11" s="33">
        <f>'2020-21'!B11</f>
        <v>42</v>
      </c>
      <c r="Q11" s="33">
        <f>'2021-22'!B11</f>
        <v>63</v>
      </c>
      <c r="R11" s="33">
        <f>'2022-23'!B11</f>
        <v>60</v>
      </c>
      <c r="S11" s="8"/>
      <c r="T11" s="8">
        <f>'2020-21'!K11</f>
        <v>2.034971744</v>
      </c>
      <c r="U11" s="9">
        <f>'2021-22'!K11</f>
        <v>1.155799381</v>
      </c>
      <c r="V11" s="9">
        <f>'2022-23'!K11</f>
        <v>1.083177294</v>
      </c>
      <c r="W11" s="8">
        <f t="shared" si="8"/>
        <v>-0.4418778642</v>
      </c>
      <c r="Z11" s="49">
        <f t="shared" si="9"/>
        <v>-0.9416824582</v>
      </c>
      <c r="AA11" s="9">
        <f t="shared" si="14"/>
        <v>-0.475897225</v>
      </c>
      <c r="AB11" s="9">
        <v>2.376443923091165</v>
      </c>
      <c r="AC11" s="9">
        <f t="shared" si="10"/>
        <v>0.472855023</v>
      </c>
      <c r="AD11" s="9">
        <f t="shared" si="11"/>
        <v>0.9147328872</v>
      </c>
      <c r="AE11" s="9">
        <f t="shared" si="12"/>
        <v>0.9147328872</v>
      </c>
      <c r="AG11" s="50">
        <f t="shared" si="13"/>
        <v>2</v>
      </c>
    </row>
    <row r="12">
      <c r="A12" s="6" t="s">
        <v>23</v>
      </c>
      <c r="B12" s="12">
        <v>50.0</v>
      </c>
      <c r="C12" s="44">
        <v>0.911</v>
      </c>
      <c r="D12" s="45">
        <f t="shared" si="1"/>
        <v>0.8232862624</v>
      </c>
      <c r="E12" s="45">
        <v>2.67</v>
      </c>
      <c r="F12" s="45">
        <f t="shared" si="2"/>
        <v>0.6857142857</v>
      </c>
      <c r="G12" s="46">
        <v>1431.0</v>
      </c>
      <c r="H12" s="47">
        <f t="shared" si="3"/>
        <v>30.60950523</v>
      </c>
      <c r="I12" s="8">
        <f t="shared" si="4"/>
        <v>0.09886039468</v>
      </c>
      <c r="J12" s="8"/>
      <c r="K12" s="11">
        <f>SUM(W12,('2022-23'!K12),('2021-22'!K12),('2020-21'!K12))</f>
        <v>3.072095435</v>
      </c>
      <c r="L12" s="48">
        <f t="shared" si="5"/>
        <v>0.3122020834</v>
      </c>
      <c r="M12" s="8">
        <f t="shared" si="6"/>
        <v>0.6045222936</v>
      </c>
      <c r="N12" s="8">
        <f t="shared" si="7"/>
        <v>0.4569539022</v>
      </c>
      <c r="O12" s="8"/>
      <c r="P12" s="33">
        <f>'2020-21'!B12</f>
        <v>6</v>
      </c>
      <c r="Q12" s="33">
        <f>'2021-22'!B12</f>
        <v>5</v>
      </c>
      <c r="R12" s="33">
        <f>'2022-23'!B12</f>
        <v>31</v>
      </c>
      <c r="S12" s="8"/>
      <c r="T12" s="8">
        <f>'2020-21'!K12</f>
        <v>-3.345651998</v>
      </c>
      <c r="U12" s="9">
        <f>'2021-22'!K12</f>
        <v>5.727871146</v>
      </c>
      <c r="V12" s="9">
        <f>'2022-23'!K12</f>
        <v>-0.8191242602</v>
      </c>
      <c r="W12" s="8">
        <f t="shared" si="8"/>
        <v>1.509000548</v>
      </c>
      <c r="Z12" s="49">
        <f t="shared" si="9"/>
        <v>0.2684563431</v>
      </c>
      <c r="AA12" s="9">
        <f t="shared" si="14"/>
        <v>1.263263869</v>
      </c>
      <c r="AB12" s="9">
        <v>-2.00549610921528</v>
      </c>
      <c r="AC12" s="9">
        <f t="shared" si="10"/>
        <v>3.047559367</v>
      </c>
      <c r="AD12" s="9">
        <f t="shared" si="11"/>
        <v>1.538558819</v>
      </c>
      <c r="AE12" s="9">
        <f t="shared" si="12"/>
        <v>1.538558819</v>
      </c>
      <c r="AG12" s="50">
        <f t="shared" si="13"/>
        <v>1.759</v>
      </c>
    </row>
    <row r="13">
      <c r="A13" s="6" t="s">
        <v>25</v>
      </c>
      <c r="B13" s="12">
        <v>46.0</v>
      </c>
      <c r="C13" s="44">
        <v>0.908</v>
      </c>
      <c r="D13" s="45">
        <f t="shared" si="1"/>
        <v>0.4704492928</v>
      </c>
      <c r="E13" s="45">
        <v>2.7</v>
      </c>
      <c r="F13" s="45">
        <f t="shared" si="2"/>
        <v>0.6</v>
      </c>
      <c r="G13" s="46">
        <v>1298.0</v>
      </c>
      <c r="H13" s="47">
        <f t="shared" si="3"/>
        <v>30.01709133</v>
      </c>
      <c r="I13" s="8">
        <f t="shared" si="4"/>
        <v>-0.1806852408</v>
      </c>
      <c r="J13" s="8"/>
      <c r="K13" s="11">
        <f>SUM(W13,('2022-23'!K13),('2021-22'!K13),('2020-21'!K13))</f>
        <v>2.872159906</v>
      </c>
      <c r="L13" s="48">
        <f t="shared" si="5"/>
        <v>0.9362518915</v>
      </c>
      <c r="M13" s="8">
        <f t="shared" si="6"/>
        <v>0.5942763998</v>
      </c>
      <c r="N13" s="8">
        <f t="shared" si="7"/>
        <v>0.6591876075</v>
      </c>
      <c r="O13" s="8"/>
      <c r="P13" s="33" t="str">
        <f>'2020-21'!B13</f>
        <v/>
      </c>
      <c r="Q13" s="33">
        <f>'2021-22'!B13</f>
        <v>19</v>
      </c>
      <c r="R13" s="33">
        <f>'2022-23'!B13</f>
        <v>37</v>
      </c>
      <c r="S13" s="8"/>
      <c r="T13" s="8" t="str">
        <f>'2020-21'!K13</f>
        <v/>
      </c>
      <c r="U13" s="9">
        <f>'2021-22'!K13</f>
        <v>0.7185333191</v>
      </c>
      <c r="V13" s="9">
        <f>'2022-23'!K13</f>
        <v>1.083177294</v>
      </c>
      <c r="W13" s="8">
        <f t="shared" si="8"/>
        <v>1.070449293</v>
      </c>
      <c r="Z13" s="49">
        <f t="shared" si="9"/>
        <v>0.8502402048</v>
      </c>
      <c r="AA13" s="51">
        <v>0.36</v>
      </c>
      <c r="AB13" s="51">
        <v>-1.0</v>
      </c>
      <c r="AC13" s="9">
        <f t="shared" si="10"/>
        <v>0.44</v>
      </c>
      <c r="AD13" s="9">
        <f t="shared" si="11"/>
        <v>-0.6304492928</v>
      </c>
      <c r="AE13" s="9">
        <f t="shared" si="12"/>
        <v>0.6304492928</v>
      </c>
      <c r="AG13" s="50">
        <f t="shared" si="13"/>
        <v>1.792</v>
      </c>
    </row>
    <row r="14">
      <c r="A14" s="6" t="s">
        <v>26</v>
      </c>
      <c r="B14" s="12">
        <v>54.0</v>
      </c>
      <c r="C14" s="44">
        <v>0.913</v>
      </c>
      <c r="D14" s="45">
        <f t="shared" si="1"/>
        <v>1.058510909</v>
      </c>
      <c r="E14" s="45">
        <v>2.5</v>
      </c>
      <c r="F14" s="45">
        <f t="shared" si="2"/>
        <v>1.171428571</v>
      </c>
      <c r="G14" s="46">
        <v>1490.0</v>
      </c>
      <c r="H14" s="47">
        <f t="shared" si="3"/>
        <v>29.66976615</v>
      </c>
      <c r="I14" s="8">
        <f t="shared" si="4"/>
        <v>-0.344579505</v>
      </c>
      <c r="J14" s="8"/>
      <c r="K14" s="11">
        <f>SUM(W14,('2022-23'!K14),('2021-22'!K14),('2020-21'!K14))</f>
        <v>2.276207704</v>
      </c>
      <c r="L14" s="48">
        <f t="shared" si="5"/>
        <v>0.3199033221</v>
      </c>
      <c r="M14" s="8">
        <f t="shared" si="6"/>
        <v>0.5637362402</v>
      </c>
      <c r="N14" s="8">
        <f t="shared" si="7"/>
        <v>0.4594496165</v>
      </c>
      <c r="O14" s="8"/>
      <c r="P14" s="33">
        <f>'2020-21'!B14</f>
        <v>33</v>
      </c>
      <c r="Q14" s="33">
        <f>'2021-22'!B14</f>
        <v>49</v>
      </c>
      <c r="R14" s="33">
        <f>'2022-23'!B14</f>
        <v>36</v>
      </c>
      <c r="S14" s="8"/>
      <c r="T14" s="8">
        <f>'2020-21'!K14</f>
        <v>0.3518207605</v>
      </c>
      <c r="U14" s="9">
        <f>'2021-22'!K14</f>
        <v>0.3931675091</v>
      </c>
      <c r="V14" s="9">
        <f>'2022-23'!K14</f>
        <v>-0.6987200456</v>
      </c>
      <c r="W14" s="8">
        <f t="shared" si="8"/>
        <v>2.22993948</v>
      </c>
      <c r="Z14" s="49">
        <f t="shared" si="9"/>
        <v>0.4818300931</v>
      </c>
      <c r="AA14" s="9">
        <f t="shared" ref="AA14:AA19" si="15">LINEST(T14:V14)</f>
        <v>-0.5252704031</v>
      </c>
      <c r="AB14" s="9">
        <v>1.0659635474535356</v>
      </c>
      <c r="AC14" s="9">
        <f t="shared" si="10"/>
        <v>-1.035118065</v>
      </c>
      <c r="AD14" s="9">
        <f t="shared" si="11"/>
        <v>-3.265057545</v>
      </c>
      <c r="AE14" s="9">
        <f t="shared" si="12"/>
        <v>3.265057545</v>
      </c>
      <c r="AG14" s="50">
        <f t="shared" si="13"/>
        <v>1.587</v>
      </c>
    </row>
    <row r="15">
      <c r="A15" s="6" t="s">
        <v>27</v>
      </c>
      <c r="B15" s="12">
        <v>35.0</v>
      </c>
      <c r="C15" s="44">
        <v>0.909</v>
      </c>
      <c r="D15" s="45">
        <f t="shared" si="1"/>
        <v>0.588061616</v>
      </c>
      <c r="E15" s="45">
        <v>2.71</v>
      </c>
      <c r="F15" s="45">
        <f t="shared" si="2"/>
        <v>0.5714285714</v>
      </c>
      <c r="G15" s="46">
        <v>979.0</v>
      </c>
      <c r="H15" s="47">
        <f t="shared" si="3"/>
        <v>29.31874145</v>
      </c>
      <c r="I15" s="8">
        <f t="shared" si="4"/>
        <v>-0.5102194786</v>
      </c>
      <c r="J15" s="8"/>
      <c r="K15" s="11">
        <f>SUM(W15,('2022-23'!K15),('2021-22'!K15),('2020-21'!K15))</f>
        <v>2.706288417</v>
      </c>
      <c r="L15" s="48">
        <f t="shared" si="5"/>
        <v>0.699317941</v>
      </c>
      <c r="M15" s="8">
        <f t="shared" si="6"/>
        <v>0.5857761514</v>
      </c>
      <c r="N15" s="8">
        <f t="shared" si="7"/>
        <v>0.5824052255</v>
      </c>
      <c r="O15" s="8"/>
      <c r="P15" s="33">
        <f>'2020-21'!B15</f>
        <v>19</v>
      </c>
      <c r="Q15" s="33">
        <f>'2021-22'!B15</f>
        <v>25</v>
      </c>
      <c r="R15" s="33">
        <f>'2022-23'!B15</f>
        <v>27</v>
      </c>
      <c r="S15" s="8"/>
      <c r="T15" s="8">
        <f>'2020-21'!K15</f>
        <v>-0.1415442456</v>
      </c>
      <c r="U15" s="9">
        <f>'2021-22'!K15</f>
        <v>0.2916022034</v>
      </c>
      <c r="V15" s="9">
        <f>'2022-23'!K15</f>
        <v>1.396740271</v>
      </c>
      <c r="W15" s="8">
        <f t="shared" si="8"/>
        <v>1.159490187</v>
      </c>
      <c r="Z15" s="49">
        <f t="shared" si="9"/>
        <v>0.8939388712</v>
      </c>
      <c r="AA15" s="9">
        <f t="shared" si="15"/>
        <v>0.7691422585</v>
      </c>
      <c r="AB15" s="9">
        <v>-1.0226851073261467</v>
      </c>
      <c r="AC15" s="9">
        <f t="shared" si="10"/>
        <v>2.053883927</v>
      </c>
      <c r="AD15" s="9">
        <f t="shared" si="11"/>
        <v>0.8943937393</v>
      </c>
      <c r="AE15" s="9">
        <f t="shared" si="12"/>
        <v>0.8943937393</v>
      </c>
      <c r="AG15" s="50">
        <f t="shared" si="13"/>
        <v>1.801</v>
      </c>
    </row>
    <row r="16">
      <c r="A16" s="14" t="s">
        <v>28</v>
      </c>
      <c r="B16" s="14">
        <v>57.0</v>
      </c>
      <c r="C16" s="53">
        <v>0.913</v>
      </c>
      <c r="D16" s="45">
        <f t="shared" si="1"/>
        <v>1.058510909</v>
      </c>
      <c r="E16" s="51">
        <v>2.84</v>
      </c>
      <c r="F16" s="45">
        <f t="shared" si="2"/>
        <v>0.2</v>
      </c>
      <c r="G16" s="54">
        <v>1786.0</v>
      </c>
      <c r="H16" s="47">
        <f t="shared" si="3"/>
        <v>33.82824088</v>
      </c>
      <c r="I16" s="8">
        <f t="shared" si="4"/>
        <v>1.617703067</v>
      </c>
      <c r="J16" s="8"/>
      <c r="K16" s="11">
        <f>SUM(W16,('2022-23'!K16),('2021-22'!K16),('2020-21'!K16))</f>
        <v>-1.246119274</v>
      </c>
      <c r="L16" s="48">
        <f t="shared" si="5"/>
        <v>-0.4288294701</v>
      </c>
      <c r="M16" s="8">
        <f t="shared" si="6"/>
        <v>0.3832311125</v>
      </c>
      <c r="N16" s="8">
        <f t="shared" si="7"/>
        <v>0.2168103194</v>
      </c>
      <c r="O16" s="8"/>
      <c r="P16" s="33">
        <f>'2020-21'!B16</f>
        <v>42</v>
      </c>
      <c r="Q16" s="33">
        <f>'2021-22'!B16</f>
        <v>37</v>
      </c>
      <c r="R16" s="33">
        <f>'2022-23'!B16</f>
        <v>61</v>
      </c>
      <c r="S16" s="8"/>
      <c r="T16" s="8">
        <f>'2020-21'!K16</f>
        <v>-0.1751542005</v>
      </c>
      <c r="U16" s="9">
        <f>'2021-22'!K16</f>
        <v>-0.7930877395</v>
      </c>
      <c r="V16" s="9">
        <f>'2022-23'!K16</f>
        <v>-1.636388243</v>
      </c>
      <c r="W16" s="8">
        <f t="shared" si="8"/>
        <v>1.358510909</v>
      </c>
      <c r="Z16" s="49">
        <f t="shared" si="9"/>
        <v>0.3837267416</v>
      </c>
      <c r="AA16" s="9">
        <f t="shared" si="15"/>
        <v>-0.7306170213</v>
      </c>
      <c r="AB16" s="9">
        <v>0.5930239814884025</v>
      </c>
      <c r="AC16" s="9">
        <f t="shared" si="10"/>
        <v>-2.329444104</v>
      </c>
      <c r="AD16" s="9">
        <f t="shared" si="11"/>
        <v>-3.687955012</v>
      </c>
      <c r="AE16" s="9">
        <f t="shared" si="12"/>
        <v>3.687955012</v>
      </c>
      <c r="AG16" s="50">
        <f t="shared" si="13"/>
        <v>1.927</v>
      </c>
    </row>
    <row r="17">
      <c r="A17" s="14" t="s">
        <v>29</v>
      </c>
      <c r="B17" s="14">
        <v>56.0</v>
      </c>
      <c r="C17" s="53">
        <v>0.908</v>
      </c>
      <c r="D17" s="45">
        <f t="shared" si="1"/>
        <v>0.4704492928</v>
      </c>
      <c r="E17" s="51">
        <v>3.01</v>
      </c>
      <c r="F17" s="45">
        <f t="shared" si="2"/>
        <v>-0.2857142857</v>
      </c>
      <c r="G17" s="54">
        <v>1821.0</v>
      </c>
      <c r="H17" s="47">
        <f t="shared" si="3"/>
        <v>35.05992645</v>
      </c>
      <c r="I17" s="8">
        <f t="shared" si="4"/>
        <v>2.19890538</v>
      </c>
      <c r="J17" s="8"/>
      <c r="K17" s="11">
        <f>SUM(W17,('2022-23'!K17),('2021-22'!K17),('2020-21'!K17))</f>
        <v>6.566481743</v>
      </c>
      <c r="L17" s="48">
        <f t="shared" si="5"/>
        <v>1.854328958</v>
      </c>
      <c r="M17" s="8">
        <f t="shared" si="6"/>
        <v>0.783595574</v>
      </c>
      <c r="N17" s="8">
        <f t="shared" si="7"/>
        <v>0.9567057293</v>
      </c>
      <c r="O17" s="8"/>
      <c r="P17" s="33">
        <f>'2020-21'!B17</f>
        <v>22</v>
      </c>
      <c r="Q17" s="33">
        <f>'2021-22'!B17</f>
        <v>52</v>
      </c>
      <c r="R17" s="33">
        <f>'2022-23'!B17</f>
        <v>62</v>
      </c>
      <c r="S17" s="8"/>
      <c r="T17" s="8">
        <f>'2020-21'!K17</f>
        <v>1.485590146</v>
      </c>
      <c r="U17" s="9">
        <f>'2021-22'!K17</f>
        <v>2.486153183</v>
      </c>
      <c r="V17" s="9">
        <f>'2022-23'!K17</f>
        <v>2.310003407</v>
      </c>
      <c r="W17" s="8">
        <f t="shared" si="8"/>
        <v>0.2847350071</v>
      </c>
      <c r="Z17" s="49">
        <f t="shared" si="9"/>
        <v>-0.4857735031</v>
      </c>
      <c r="AA17" s="9">
        <f t="shared" si="15"/>
        <v>0.4122066303</v>
      </c>
      <c r="AB17" s="9">
        <v>1.269502318071076</v>
      </c>
      <c r="AC17" s="9">
        <f t="shared" si="10"/>
        <v>2.918328839</v>
      </c>
      <c r="AD17" s="9">
        <f t="shared" si="11"/>
        <v>2.633593832</v>
      </c>
      <c r="AE17" s="9">
        <f t="shared" si="12"/>
        <v>2.633593832</v>
      </c>
      <c r="AG17" s="50">
        <f t="shared" si="13"/>
        <v>2.102</v>
      </c>
    </row>
    <row r="18">
      <c r="A18" s="14" t="s">
        <v>30</v>
      </c>
      <c r="B18" s="14">
        <v>56.0</v>
      </c>
      <c r="C18" s="53">
        <v>0.907</v>
      </c>
      <c r="D18" s="45">
        <f t="shared" si="1"/>
        <v>0.3528369696</v>
      </c>
      <c r="E18" s="51">
        <v>3.05</v>
      </c>
      <c r="F18" s="45">
        <f t="shared" si="2"/>
        <v>-0.4</v>
      </c>
      <c r="G18" s="54">
        <v>1724.0</v>
      </c>
      <c r="H18" s="47">
        <f t="shared" si="3"/>
        <v>33.19237408</v>
      </c>
      <c r="I18" s="8">
        <f t="shared" si="4"/>
        <v>1.317653069</v>
      </c>
      <c r="J18" s="8"/>
      <c r="K18" s="11">
        <f>SUM(W18,('2022-23'!K18),('2021-22'!K18),('2020-21'!K18))</f>
        <v>-1.89250706</v>
      </c>
      <c r="L18" s="48">
        <f t="shared" si="5"/>
        <v>-0.370492914</v>
      </c>
      <c r="M18" s="8">
        <f t="shared" si="6"/>
        <v>0.3501063315</v>
      </c>
      <c r="N18" s="8">
        <f t="shared" si="7"/>
        <v>0.2357152494</v>
      </c>
      <c r="O18" s="8"/>
      <c r="P18" s="33">
        <f>'2020-21'!B18</f>
        <v>12</v>
      </c>
      <c r="Q18" s="33">
        <f>'2021-22'!B18</f>
        <v>20</v>
      </c>
      <c r="R18" s="33">
        <f>'2022-23'!B18</f>
        <v>39</v>
      </c>
      <c r="S18" s="8"/>
      <c r="T18" s="8">
        <f>'2020-21'!K18</f>
        <v>2.108954832</v>
      </c>
      <c r="U18" s="9">
        <f>'2021-22'!K18</f>
        <v>-1.840294608</v>
      </c>
      <c r="V18" s="9">
        <f>'2022-23'!K18</f>
        <v>-2.214004254</v>
      </c>
      <c r="W18" s="8">
        <f t="shared" si="8"/>
        <v>0.0528369696</v>
      </c>
      <c r="Z18" s="49">
        <f t="shared" si="9"/>
        <v>-0.4250677329</v>
      </c>
      <c r="AA18" s="9">
        <f t="shared" si="15"/>
        <v>-2.161479543</v>
      </c>
      <c r="AB18" s="9">
        <v>3.6745110768123546</v>
      </c>
      <c r="AC18" s="9">
        <f t="shared" si="10"/>
        <v>-4.971407097</v>
      </c>
      <c r="AD18" s="9">
        <f t="shared" si="11"/>
        <v>-5.024244066</v>
      </c>
      <c r="AE18" s="9">
        <f t="shared" si="12"/>
        <v>5.024244066</v>
      </c>
      <c r="AG18" s="50">
        <f t="shared" si="13"/>
        <v>2.143</v>
      </c>
    </row>
    <row r="19">
      <c r="A19" s="14" t="s">
        <v>31</v>
      </c>
      <c r="B19" s="14">
        <v>55.0</v>
      </c>
      <c r="C19" s="53">
        <v>0.89</v>
      </c>
      <c r="D19" s="45">
        <f t="shared" si="1"/>
        <v>-1.646572525</v>
      </c>
      <c r="E19" s="51">
        <v>3.27</v>
      </c>
      <c r="F19" s="45">
        <f t="shared" si="2"/>
        <v>-1.028571429</v>
      </c>
      <c r="G19" s="54">
        <v>1523.0</v>
      </c>
      <c r="H19" s="47">
        <f t="shared" si="3"/>
        <v>29.81553195</v>
      </c>
      <c r="I19" s="8">
        <f t="shared" si="4"/>
        <v>-0.2757961865</v>
      </c>
      <c r="J19" s="8"/>
      <c r="K19" s="11">
        <f>SUM(W19,('2022-23'!K19),('2021-22'!K19),('2020-21'!K19))</f>
        <v>-8.724384872</v>
      </c>
      <c r="L19" s="48">
        <f t="shared" si="5"/>
        <v>-0.6957872555</v>
      </c>
      <c r="M19" s="8">
        <f t="shared" si="6"/>
        <v>0</v>
      </c>
      <c r="N19" s="8">
        <f t="shared" si="7"/>
        <v>0.1302982152</v>
      </c>
      <c r="O19" s="8"/>
      <c r="P19" s="33">
        <f>'2020-21'!B19</f>
        <v>33</v>
      </c>
      <c r="Q19" s="33">
        <f>'2021-22'!B19</f>
        <v>22</v>
      </c>
      <c r="R19" s="33">
        <f>'2022-23'!B19</f>
        <v>39</v>
      </c>
      <c r="S19" s="8"/>
      <c r="T19" s="8">
        <f>'2020-21'!K19</f>
        <v>-2.820189397</v>
      </c>
      <c r="U19" s="9">
        <f>'2021-22'!K19</f>
        <v>-3.904526963</v>
      </c>
      <c r="V19" s="9">
        <f>'2022-23'!K19</f>
        <v>0.6754754412</v>
      </c>
      <c r="W19" s="8">
        <f t="shared" si="8"/>
        <v>-2.675143953</v>
      </c>
      <c r="Z19" s="49">
        <f t="shared" si="9"/>
        <v>0.3266967659</v>
      </c>
      <c r="AA19" s="9">
        <f t="shared" si="15"/>
        <v>1.747832419</v>
      </c>
      <c r="AB19" s="9">
        <v>-5.512078477466096</v>
      </c>
      <c r="AC19" s="9">
        <f t="shared" si="10"/>
        <v>1.479251199</v>
      </c>
      <c r="AD19" s="9">
        <f t="shared" si="11"/>
        <v>4.154395152</v>
      </c>
      <c r="AE19" s="9">
        <f t="shared" si="12"/>
        <v>4.154395152</v>
      </c>
      <c r="AG19" s="50">
        <f t="shared" si="13"/>
        <v>2.38</v>
      </c>
    </row>
    <row r="20">
      <c r="A20" s="14" t="s">
        <v>32</v>
      </c>
      <c r="B20" s="14">
        <v>54.0</v>
      </c>
      <c r="C20" s="53">
        <v>0.91</v>
      </c>
      <c r="D20" s="45">
        <f t="shared" si="1"/>
        <v>0.7056739392</v>
      </c>
      <c r="E20" s="51">
        <v>2.57</v>
      </c>
      <c r="F20" s="45">
        <f t="shared" si="2"/>
        <v>0.9714285714</v>
      </c>
      <c r="G20" s="54">
        <v>1470.0</v>
      </c>
      <c r="H20" s="47">
        <f t="shared" si="3"/>
        <v>29.27151425</v>
      </c>
      <c r="I20" s="8">
        <f t="shared" si="4"/>
        <v>-0.5325048388</v>
      </c>
      <c r="J20" s="8"/>
      <c r="K20" s="11">
        <f>SUM(W20,('2022-23'!K20),('2021-22'!K20),('2020-21'!K20))</f>
        <v>0.2294964093</v>
      </c>
      <c r="L20" s="48">
        <f t="shared" si="5"/>
        <v>-0.1831502867</v>
      </c>
      <c r="M20" s="8">
        <f t="shared" si="6"/>
        <v>0.4588504968</v>
      </c>
      <c r="N20" s="8">
        <f t="shared" si="7"/>
        <v>0.2964267393</v>
      </c>
      <c r="O20" s="8"/>
      <c r="P20" s="33" t="str">
        <f>'2020-21'!B20</f>
        <v/>
      </c>
      <c r="Q20" s="33">
        <f>'2021-22'!B20</f>
        <v>9</v>
      </c>
      <c r="R20" s="33">
        <f>'2022-23'!B20</f>
        <v>33</v>
      </c>
      <c r="S20" s="8"/>
      <c r="T20" s="8" t="str">
        <f>'2020-21'!K20</f>
        <v/>
      </c>
      <c r="U20" s="9">
        <f>'2021-22'!K20</f>
        <v>0.7896427574</v>
      </c>
      <c r="V20" s="9">
        <f>'2022-23'!K20</f>
        <v>-2.237248859</v>
      </c>
      <c r="W20" s="8">
        <f t="shared" si="8"/>
        <v>1.677102511</v>
      </c>
      <c r="Z20" s="49">
        <f t="shared" si="9"/>
        <v>0.2162101964</v>
      </c>
      <c r="AA20" s="51">
        <v>-3.03</v>
      </c>
      <c r="AB20" s="51">
        <v>3.82</v>
      </c>
      <c r="AC20" s="9">
        <f t="shared" si="10"/>
        <v>-8.3</v>
      </c>
      <c r="AD20" s="9">
        <f t="shared" si="11"/>
        <v>-9.977102511</v>
      </c>
      <c r="AE20" s="9">
        <f t="shared" si="12"/>
        <v>9.977102511</v>
      </c>
      <c r="AG20" s="50">
        <f t="shared" si="13"/>
        <v>1.66</v>
      </c>
    </row>
    <row r="21">
      <c r="A21" s="14" t="s">
        <v>33</v>
      </c>
      <c r="B21" s="14">
        <v>51.0</v>
      </c>
      <c r="C21" s="53">
        <v>0.917</v>
      </c>
      <c r="D21" s="45">
        <f t="shared" si="1"/>
        <v>1.528960202</v>
      </c>
      <c r="E21" s="51">
        <v>2.45</v>
      </c>
      <c r="F21" s="45">
        <f t="shared" si="2"/>
        <v>1.314285714</v>
      </c>
      <c r="G21" s="54">
        <v>1489.0</v>
      </c>
      <c r="H21" s="47">
        <f t="shared" si="3"/>
        <v>31.26762794</v>
      </c>
      <c r="I21" s="8">
        <f t="shared" si="4"/>
        <v>0.4094124147</v>
      </c>
      <c r="J21" s="8"/>
      <c r="K21" s="11">
        <f>SUM(W21,('2022-23'!K21),('2021-22'!K21),('2020-21'!K21))</f>
        <v>2.655584481</v>
      </c>
      <c r="L21" s="48">
        <f t="shared" si="5"/>
        <v>0.3463947513</v>
      </c>
      <c r="M21" s="8">
        <f t="shared" si="6"/>
        <v>0.5831777781</v>
      </c>
      <c r="N21" s="8">
        <f t="shared" si="7"/>
        <v>0.4680346042</v>
      </c>
      <c r="O21" s="8"/>
      <c r="P21" s="33">
        <f>'2020-21'!B21</f>
        <v>35</v>
      </c>
      <c r="Q21" s="33">
        <f>'2021-22'!B21</f>
        <v>64</v>
      </c>
      <c r="R21" s="33">
        <f>'2022-23'!B21</f>
        <v>32</v>
      </c>
      <c r="S21" s="8"/>
      <c r="T21" s="8">
        <f>'2020-21'!K21</f>
        <v>-0.1282430118</v>
      </c>
      <c r="U21" s="9">
        <f>'2021-22'!K21</f>
        <v>0.7083356156</v>
      </c>
      <c r="V21" s="9">
        <f>'2022-23'!K21</f>
        <v>-0.767754039</v>
      </c>
      <c r="W21" s="8">
        <f t="shared" si="8"/>
        <v>2.843245916</v>
      </c>
      <c r="Z21" s="49">
        <f t="shared" si="9"/>
        <v>0.6102507689</v>
      </c>
      <c r="AA21" s="9">
        <f t="shared" ref="AA21:AA22" si="16">LINEST(T21:V21)</f>
        <v>-0.3197555136</v>
      </c>
      <c r="AB21" s="9">
        <v>0.5769572154922309</v>
      </c>
      <c r="AC21" s="9">
        <f t="shared" si="10"/>
        <v>-0.702064839</v>
      </c>
      <c r="AD21" s="9">
        <f t="shared" si="11"/>
        <v>-3.545310755</v>
      </c>
      <c r="AE21" s="9">
        <f t="shared" si="12"/>
        <v>3.545310755</v>
      </c>
      <c r="AG21" s="50">
        <f t="shared" si="13"/>
        <v>1.533</v>
      </c>
    </row>
    <row r="22">
      <c r="A22" s="14" t="s">
        <v>34</v>
      </c>
      <c r="B22" s="14">
        <v>51.0</v>
      </c>
      <c r="C22" s="53">
        <v>0.916</v>
      </c>
      <c r="D22" s="45">
        <f t="shared" si="1"/>
        <v>1.411347878</v>
      </c>
      <c r="E22" s="51">
        <v>2.46</v>
      </c>
      <c r="F22" s="45">
        <f t="shared" si="2"/>
        <v>1.285714286</v>
      </c>
      <c r="G22" s="14">
        <v>1374.0</v>
      </c>
      <c r="H22" s="47">
        <f t="shared" si="3"/>
        <v>28.85273391</v>
      </c>
      <c r="I22" s="8">
        <f t="shared" si="4"/>
        <v>-0.7301170469</v>
      </c>
      <c r="J22" s="8"/>
      <c r="K22" s="11">
        <f>SUM(W22,('2022-23'!K22),('2021-22'!K22),('2020-21'!K22))</f>
        <v>1.464425214</v>
      </c>
      <c r="L22" s="48">
        <f t="shared" si="5"/>
        <v>0.5728255071</v>
      </c>
      <c r="M22" s="8">
        <f t="shared" si="6"/>
        <v>0.522135644</v>
      </c>
      <c r="N22" s="8">
        <f t="shared" si="7"/>
        <v>0.5414132514</v>
      </c>
      <c r="O22" s="8"/>
      <c r="P22" s="33">
        <f>'2020-21'!B22</f>
        <v>8</v>
      </c>
      <c r="Q22" s="33">
        <f>'2021-22'!B22</f>
        <v>5</v>
      </c>
      <c r="R22" s="33">
        <f>'2022-23'!B22</f>
        <v>5</v>
      </c>
      <c r="S22" s="8"/>
      <c r="T22" s="8">
        <f>'2020-21'!K22</f>
        <v>-0.3426184191</v>
      </c>
      <c r="U22" s="33" t="str">
        <f>'2021-22'!K22</f>
        <v/>
      </c>
      <c r="V22" s="9">
        <f>'2022-23'!K22</f>
        <v>-0.8900185311</v>
      </c>
      <c r="W22" s="8">
        <f t="shared" si="8"/>
        <v>2.697062164</v>
      </c>
      <c r="Z22" s="49">
        <f t="shared" si="9"/>
        <v>0.6555881649</v>
      </c>
      <c r="AA22" s="9" t="str">
        <f t="shared" si="16"/>
        <v>#VALUE!</v>
      </c>
      <c r="AB22" s="9"/>
      <c r="AC22" s="33" t="str">
        <f t="shared" si="10"/>
        <v>#VALUE!</v>
      </c>
      <c r="AD22" s="33" t="str">
        <f t="shared" si="11"/>
        <v>#VALUE!</v>
      </c>
      <c r="AE22" s="9" t="str">
        <f t="shared" si="12"/>
        <v>#VALUE!</v>
      </c>
      <c r="AG22" s="50">
        <f t="shared" si="13"/>
        <v>1.544</v>
      </c>
    </row>
    <row r="23">
      <c r="A23" s="14" t="s">
        <v>35</v>
      </c>
      <c r="B23" s="14">
        <v>51.0</v>
      </c>
      <c r="C23" s="53">
        <v>0.89</v>
      </c>
      <c r="D23" s="45">
        <f t="shared" si="1"/>
        <v>-1.646572525</v>
      </c>
      <c r="E23" s="51">
        <v>2.82</v>
      </c>
      <c r="F23" s="45">
        <f t="shared" si="2"/>
        <v>0.2571428571</v>
      </c>
      <c r="G23" s="14">
        <v>1204.0</v>
      </c>
      <c r="H23" s="47">
        <f t="shared" si="3"/>
        <v>25.28289056</v>
      </c>
      <c r="I23" s="8">
        <f t="shared" si="4"/>
        <v>-2.41463886</v>
      </c>
      <c r="J23" s="8"/>
      <c r="K23" s="11">
        <f>SUM(W23,('2022-23'!K23),('2021-22'!K23),('2020-21'!K23))</f>
        <v>-2.241560557</v>
      </c>
      <c r="L23" s="48">
        <f t="shared" si="5"/>
        <v>0.5581655449</v>
      </c>
      <c r="M23" s="8">
        <f t="shared" si="6"/>
        <v>0.33221874</v>
      </c>
      <c r="N23" s="8">
        <f t="shared" si="7"/>
        <v>0.5366624471</v>
      </c>
      <c r="O23" s="8"/>
      <c r="P23" s="33" t="str">
        <f>'2020-21'!B23</f>
        <v/>
      </c>
      <c r="Q23" s="33" t="str">
        <f>'2021-22'!B23</f>
        <v/>
      </c>
      <c r="R23" s="33">
        <f>'2022-23'!B23</f>
        <v>12</v>
      </c>
      <c r="S23" s="8"/>
      <c r="T23" s="8" t="str">
        <f>'2020-21'!K23</f>
        <v/>
      </c>
      <c r="U23" s="33" t="str">
        <f>'2021-22'!K23</f>
        <v/>
      </c>
      <c r="V23" s="9">
        <f>'2022-23'!K23</f>
        <v>-0.8521308894</v>
      </c>
      <c r="W23" s="8">
        <f t="shared" si="8"/>
        <v>-1.389429668</v>
      </c>
      <c r="Z23" s="49"/>
      <c r="AA23" s="9"/>
      <c r="AB23" s="9"/>
      <c r="AE23" s="9"/>
      <c r="AG23" s="50">
        <f t="shared" si="13"/>
        <v>1.93</v>
      </c>
    </row>
    <row r="24">
      <c r="A24" s="14" t="s">
        <v>36</v>
      </c>
      <c r="B24" s="14">
        <v>51.0</v>
      </c>
      <c r="C24" s="53">
        <v>0.903</v>
      </c>
      <c r="D24" s="45">
        <f t="shared" si="1"/>
        <v>-0.1176123232</v>
      </c>
      <c r="E24" s="51">
        <v>2.91</v>
      </c>
      <c r="F24" s="45">
        <f t="shared" si="2"/>
        <v>0</v>
      </c>
      <c r="G24" s="14">
        <v>1369.0</v>
      </c>
      <c r="H24" s="47">
        <f t="shared" si="3"/>
        <v>28.74773851</v>
      </c>
      <c r="I24" s="8">
        <f t="shared" si="4"/>
        <v>-0.7796618061</v>
      </c>
      <c r="J24" s="8"/>
      <c r="K24" s="11">
        <f>SUM(W24,('2022-23'!K24),('2021-22'!K24),('2020-21'!K24))</f>
        <v>1.142037078</v>
      </c>
      <c r="L24" s="48">
        <f t="shared" si="5"/>
        <v>0.6407009341</v>
      </c>
      <c r="M24" s="8">
        <f t="shared" si="6"/>
        <v>0.5056145453</v>
      </c>
      <c r="N24" s="8">
        <f t="shared" si="7"/>
        <v>0.5634094109</v>
      </c>
      <c r="O24" s="8"/>
      <c r="P24" s="33">
        <f>'2020-21'!B24</f>
        <v>39</v>
      </c>
      <c r="Q24" s="33">
        <f>'2021-22'!B24</f>
        <v>58</v>
      </c>
      <c r="R24" s="33">
        <f>'2022-23'!B24</f>
        <v>47</v>
      </c>
      <c r="S24" s="8"/>
      <c r="T24" s="8">
        <f>'2020-21'!K24</f>
        <v>-0.4700315661</v>
      </c>
      <c r="U24" s="9">
        <f>'2021-22'!K24</f>
        <v>1.447264342</v>
      </c>
      <c r="V24" s="9">
        <f>'2022-23'!K24</f>
        <v>0.2824166257</v>
      </c>
      <c r="W24" s="8">
        <f t="shared" si="8"/>
        <v>-0.1176123232</v>
      </c>
      <c r="Z24" s="49">
        <f>CORREL(T24:W24,$Y$1:$Y$4)</f>
        <v>-0.01666896914</v>
      </c>
      <c r="AA24" s="9">
        <f t="array" ref="AA24:AB24">LINEST(T24:V24)</f>
        <v>0.3762240959</v>
      </c>
      <c r="AB24" s="9">
        <v>-0.3325650580979938</v>
      </c>
      <c r="AC24" s="9">
        <f>4*AA24+AB24</f>
        <v>1.172331326</v>
      </c>
      <c r="AD24" s="9">
        <f>AC24-W24</f>
        <v>1.289943649</v>
      </c>
      <c r="AE24" s="9">
        <f>ABS(AD24)</f>
        <v>1.289943649</v>
      </c>
      <c r="AG24" s="50">
        <f t="shared" si="13"/>
        <v>2.007</v>
      </c>
    </row>
    <row r="25">
      <c r="A25" s="14" t="s">
        <v>37</v>
      </c>
      <c r="B25" s="14">
        <v>50.0</v>
      </c>
      <c r="C25" s="53">
        <v>0.907</v>
      </c>
      <c r="D25" s="45">
        <f t="shared" si="1"/>
        <v>0.3528369696</v>
      </c>
      <c r="E25" s="51">
        <v>2.91</v>
      </c>
      <c r="F25" s="45">
        <f t="shared" si="2"/>
        <v>0</v>
      </c>
      <c r="G25" s="14">
        <v>1461.0</v>
      </c>
      <c r="H25" s="47">
        <f t="shared" si="3"/>
        <v>31.25121393</v>
      </c>
      <c r="I25" s="8">
        <f t="shared" si="4"/>
        <v>0.401667046</v>
      </c>
      <c r="J25" s="8"/>
      <c r="K25" s="11">
        <f>SUM(W25,('2022-23'!K25),('2021-22'!K25),('2020-21'!K25))</f>
        <v>-0.2733088731</v>
      </c>
      <c r="L25" s="48">
        <f t="shared" si="5"/>
        <v>0.3694034058</v>
      </c>
      <c r="M25" s="8">
        <f t="shared" si="6"/>
        <v>0.4330837431</v>
      </c>
      <c r="N25" s="8">
        <f t="shared" si="7"/>
        <v>0.4754909408</v>
      </c>
      <c r="O25" s="8"/>
      <c r="P25" s="33" t="str">
        <f>'2020-21'!B25</f>
        <v/>
      </c>
      <c r="Q25" s="33" t="str">
        <f>'2021-22'!B25</f>
        <v/>
      </c>
      <c r="R25" s="33">
        <f>'2022-23'!B25</f>
        <v>27</v>
      </c>
      <c r="S25" s="8"/>
      <c r="T25" s="8" t="str">
        <f>'2020-21'!K25</f>
        <v/>
      </c>
      <c r="U25" s="33" t="str">
        <f>'2021-22'!K25</f>
        <v/>
      </c>
      <c r="V25" s="9">
        <f>'2022-23'!K25</f>
        <v>-0.6261458427</v>
      </c>
      <c r="W25" s="8">
        <f t="shared" si="8"/>
        <v>0.3528369696</v>
      </c>
      <c r="Z25" s="49"/>
      <c r="AA25" s="9"/>
      <c r="AB25" s="9"/>
      <c r="AE25" s="9"/>
      <c r="AG25" s="50">
        <f t="shared" si="13"/>
        <v>2.003</v>
      </c>
    </row>
    <row r="26">
      <c r="A26" s="14" t="s">
        <v>38</v>
      </c>
      <c r="B26" s="14">
        <v>48.0</v>
      </c>
      <c r="C26" s="53">
        <v>0.905</v>
      </c>
      <c r="D26" s="45">
        <f t="shared" si="1"/>
        <v>0.1176123232</v>
      </c>
      <c r="E26" s="51">
        <v>2.78</v>
      </c>
      <c r="F26" s="45">
        <f t="shared" si="2"/>
        <v>0.3714285714</v>
      </c>
      <c r="G26" s="14">
        <v>1379.0</v>
      </c>
      <c r="H26" s="47">
        <f t="shared" si="3"/>
        <v>30.64377337</v>
      </c>
      <c r="I26" s="8">
        <f t="shared" si="4"/>
        <v>0.1150306961</v>
      </c>
      <c r="J26" s="8"/>
      <c r="K26" s="11">
        <f>SUM(W26,('2022-23'!K26),('2021-22'!K26),('2020-21'!K26))</f>
        <v>0.6431209831</v>
      </c>
      <c r="L26" s="48">
        <f t="shared" si="5"/>
        <v>0.3327636562</v>
      </c>
      <c r="M26" s="8">
        <f t="shared" si="6"/>
        <v>0.4800470969</v>
      </c>
      <c r="N26" s="8">
        <f t="shared" si="7"/>
        <v>0.4636172214</v>
      </c>
      <c r="O26" s="8"/>
      <c r="P26" s="33">
        <f>'2020-21'!B26</f>
        <v>43</v>
      </c>
      <c r="Q26" s="33">
        <f>'2021-22'!B26</f>
        <v>63</v>
      </c>
      <c r="R26" s="33">
        <f>'2022-23'!B26</f>
        <v>59</v>
      </c>
      <c r="S26" s="8"/>
      <c r="T26" s="8">
        <f>'2020-21'!K26</f>
        <v>-0.656974641</v>
      </c>
      <c r="U26" s="9">
        <f>'2021-22'!K26</f>
        <v>1.959084824</v>
      </c>
      <c r="V26" s="9">
        <f>'2022-23'!K26</f>
        <v>-1.148030095</v>
      </c>
      <c r="W26" s="8">
        <f t="shared" si="8"/>
        <v>0.4890408946</v>
      </c>
      <c r="Z26" s="49">
        <f t="shared" ref="Z26:Z30" si="17">CORREL(T26:W26,$Y$1:$Y$4)</f>
        <v>0.03093126987</v>
      </c>
      <c r="AA26" s="9">
        <f t="shared" ref="AA26:AA28" si="18">LINEST(T26:V26)</f>
        <v>-0.2455277268</v>
      </c>
      <c r="AB26" s="9">
        <v>0.5424154831099899</v>
      </c>
      <c r="AC26" s="9">
        <f t="shared" ref="AC26:AC30" si="19">4*AA26+AB26</f>
        <v>-0.4396954242</v>
      </c>
      <c r="AD26" s="9">
        <f t="shared" ref="AD26:AD30" si="20">AC26-W26</f>
        <v>-0.9287363188</v>
      </c>
      <c r="AE26" s="9">
        <f t="shared" ref="AE26:AE30" si="21">ABS(AD26)</f>
        <v>0.9287363188</v>
      </c>
      <c r="AG26" s="50">
        <f t="shared" si="13"/>
        <v>1.875</v>
      </c>
    </row>
    <row r="27">
      <c r="A27" s="14" t="s">
        <v>39</v>
      </c>
      <c r="B27" s="14">
        <v>46.0</v>
      </c>
      <c r="C27" s="53">
        <v>0.888</v>
      </c>
      <c r="D27" s="45">
        <f t="shared" si="1"/>
        <v>-1.881797171</v>
      </c>
      <c r="E27" s="51">
        <v>3.54</v>
      </c>
      <c r="F27" s="45">
        <f t="shared" si="2"/>
        <v>-1.8</v>
      </c>
      <c r="G27" s="14">
        <v>1343.0</v>
      </c>
      <c r="H27" s="47">
        <f t="shared" si="3"/>
        <v>31.0577455</v>
      </c>
      <c r="I27" s="8">
        <f t="shared" si="4"/>
        <v>0.3103740224</v>
      </c>
      <c r="J27" s="8"/>
      <c r="K27" s="11">
        <f>SUM(W27,('2022-23'!K27),('2021-22'!K27),('2020-21'!K27))</f>
        <v>-7.906127085</v>
      </c>
      <c r="L27" s="48">
        <f t="shared" si="5"/>
        <v>-0.8470154542</v>
      </c>
      <c r="M27" s="8">
        <f t="shared" si="6"/>
        <v>0.04193242912</v>
      </c>
      <c r="N27" s="8">
        <f t="shared" si="7"/>
        <v>0.08129020562</v>
      </c>
      <c r="O27" s="8"/>
      <c r="P27" s="33">
        <f>'2020-21'!B27</f>
        <v>35</v>
      </c>
      <c r="Q27" s="33">
        <f>'2021-22'!B27</f>
        <v>56</v>
      </c>
      <c r="R27" s="33">
        <f>'2022-23'!B27</f>
        <v>53</v>
      </c>
      <c r="S27" s="8"/>
      <c r="T27" s="8">
        <f>'2020-21'!K27</f>
        <v>-1.331915779</v>
      </c>
      <c r="U27" s="9">
        <f>'2021-22'!K27</f>
        <v>-0.6219783012</v>
      </c>
      <c r="V27" s="9">
        <f>'2022-23'!K27</f>
        <v>-2.270435833</v>
      </c>
      <c r="W27" s="8">
        <f t="shared" si="8"/>
        <v>-3.681797171</v>
      </c>
      <c r="Z27" s="49">
        <f t="shared" si="17"/>
        <v>-0.8492802788</v>
      </c>
      <c r="AA27" s="9">
        <f t="shared" si="18"/>
        <v>-0.4692600271</v>
      </c>
      <c r="AB27" s="9">
        <v>-0.4695899169109053</v>
      </c>
      <c r="AC27" s="9">
        <f t="shared" si="19"/>
        <v>-2.346630025</v>
      </c>
      <c r="AD27" s="9">
        <f t="shared" si="20"/>
        <v>1.335167146</v>
      </c>
      <c r="AE27" s="9">
        <f t="shared" si="21"/>
        <v>1.335167146</v>
      </c>
      <c r="AG27" s="50">
        <f t="shared" si="13"/>
        <v>2.652</v>
      </c>
    </row>
    <row r="28">
      <c r="A28" s="14" t="s">
        <v>40</v>
      </c>
      <c r="B28" s="14">
        <v>45.0</v>
      </c>
      <c r="C28" s="53">
        <v>0.9</v>
      </c>
      <c r="D28" s="45">
        <f t="shared" si="1"/>
        <v>-0.4704492928</v>
      </c>
      <c r="E28" s="51">
        <v>3.06</v>
      </c>
      <c r="F28" s="45">
        <f t="shared" si="2"/>
        <v>-0.4285714286</v>
      </c>
      <c r="G28" s="14">
        <v>1283.0</v>
      </c>
      <c r="H28" s="47">
        <f t="shared" si="3"/>
        <v>30.28880609</v>
      </c>
      <c r="I28" s="8">
        <f t="shared" si="4"/>
        <v>-0.05246968858</v>
      </c>
      <c r="J28" s="8"/>
      <c r="K28" s="11">
        <f>SUM(W28,('2022-23'!K28),('2021-22'!K28),('2020-21'!K28))</f>
        <v>2.967975931</v>
      </c>
      <c r="L28" s="48">
        <f t="shared" si="5"/>
        <v>1.388133811</v>
      </c>
      <c r="M28" s="8">
        <f t="shared" si="6"/>
        <v>0.5991865867</v>
      </c>
      <c r="N28" s="8">
        <f t="shared" si="7"/>
        <v>0.8056274488</v>
      </c>
      <c r="O28" s="8"/>
      <c r="P28" s="33">
        <f>'2020-21'!B28</f>
        <v>9</v>
      </c>
      <c r="Q28" s="33">
        <f>'2021-22'!B28</f>
        <v>18</v>
      </c>
      <c r="R28" s="33">
        <f>'2022-23'!B28</f>
        <v>39</v>
      </c>
      <c r="S28" s="8"/>
      <c r="T28" s="8">
        <f>'2020-21'!K28</f>
        <v>2.657409627</v>
      </c>
      <c r="U28" s="9">
        <f>'2021-22'!K28</f>
        <v>-2.023441541</v>
      </c>
      <c r="V28" s="9">
        <f>'2022-23'!K28</f>
        <v>3.233028567</v>
      </c>
      <c r="W28" s="8">
        <f t="shared" si="8"/>
        <v>-0.8990207214</v>
      </c>
      <c r="Z28" s="49">
        <f t="shared" si="17"/>
        <v>-0.2692004173</v>
      </c>
      <c r="AA28" s="9">
        <f t="shared" si="18"/>
        <v>0.2878094702</v>
      </c>
      <c r="AB28" s="9">
        <v>0.7133799437983803</v>
      </c>
      <c r="AC28" s="9">
        <f t="shared" si="19"/>
        <v>1.864617825</v>
      </c>
      <c r="AD28" s="9">
        <f t="shared" si="20"/>
        <v>2.763638546</v>
      </c>
      <c r="AE28" s="9">
        <f t="shared" si="21"/>
        <v>2.763638546</v>
      </c>
      <c r="AG28" s="50">
        <f t="shared" si="13"/>
        <v>2.16</v>
      </c>
    </row>
    <row r="29">
      <c r="A29" s="14" t="s">
        <v>41</v>
      </c>
      <c r="B29" s="14">
        <v>44.0</v>
      </c>
      <c r="C29" s="53">
        <v>0.904</v>
      </c>
      <c r="D29" s="45">
        <f t="shared" si="1"/>
        <v>0</v>
      </c>
      <c r="E29" s="51">
        <v>3.05</v>
      </c>
      <c r="F29" s="45">
        <f t="shared" si="2"/>
        <v>-0.4</v>
      </c>
      <c r="G29" s="14">
        <v>1325.0</v>
      </c>
      <c r="H29" s="47">
        <f t="shared" si="3"/>
        <v>31.94827988</v>
      </c>
      <c r="I29" s="8">
        <f t="shared" si="4"/>
        <v>0.7305954293</v>
      </c>
      <c r="J29" s="8"/>
      <c r="K29" s="11">
        <f>SUM(W29,('2022-23'!K29),('2021-22'!K29),('2020-21'!K29))</f>
        <v>-2.560667254</v>
      </c>
      <c r="L29" s="48">
        <f t="shared" si="5"/>
        <v>0.5128748453</v>
      </c>
      <c r="M29" s="8">
        <f t="shared" si="6"/>
        <v>0.3158658019</v>
      </c>
      <c r="N29" s="8">
        <f t="shared" si="7"/>
        <v>0.5219852437</v>
      </c>
      <c r="O29" s="8"/>
      <c r="P29" s="33">
        <f>'2020-21'!B29</f>
        <v>6</v>
      </c>
      <c r="Q29" s="33" t="str">
        <f>'2021-22'!B29</f>
        <v/>
      </c>
      <c r="R29" s="33">
        <f>'2022-23'!B29</f>
        <v>15</v>
      </c>
      <c r="S29" s="8"/>
      <c r="T29" s="8">
        <f>'2020-21'!K29</f>
        <v>-2.885652639</v>
      </c>
      <c r="U29" s="33" t="str">
        <f>'2021-22'!K29</f>
        <v/>
      </c>
      <c r="V29" s="9">
        <f>'2022-23'!K29</f>
        <v>0.724985385</v>
      </c>
      <c r="W29" s="8">
        <f t="shared" si="8"/>
        <v>-0.4</v>
      </c>
      <c r="Z29" s="49">
        <f t="shared" si="17"/>
        <v>0.8003984996</v>
      </c>
      <c r="AA29" s="51">
        <v>3.61</v>
      </c>
      <c r="AB29" s="51">
        <v>-6.5</v>
      </c>
      <c r="AC29" s="9">
        <f t="shared" si="19"/>
        <v>7.94</v>
      </c>
      <c r="AD29" s="9">
        <f t="shared" si="20"/>
        <v>8.34</v>
      </c>
      <c r="AE29" s="9">
        <f t="shared" si="21"/>
        <v>8.34</v>
      </c>
      <c r="AG29" s="50">
        <f t="shared" si="13"/>
        <v>2.146</v>
      </c>
    </row>
    <row r="30">
      <c r="A30" s="14" t="s">
        <v>42</v>
      </c>
      <c r="B30" s="14">
        <v>44.0</v>
      </c>
      <c r="C30" s="53">
        <v>0.899</v>
      </c>
      <c r="D30" s="45">
        <f t="shared" si="1"/>
        <v>-0.588061616</v>
      </c>
      <c r="E30" s="51">
        <v>3.45</v>
      </c>
      <c r="F30" s="45">
        <f t="shared" si="2"/>
        <v>-1.542857143</v>
      </c>
      <c r="G30" s="14">
        <v>1383.0</v>
      </c>
      <c r="H30" s="47">
        <f t="shared" si="3"/>
        <v>33.34677063</v>
      </c>
      <c r="I30" s="8">
        <f t="shared" si="4"/>
        <v>1.390509025</v>
      </c>
      <c r="J30" s="8"/>
      <c r="K30" s="11">
        <f>SUM(W30,('2022-23'!K30),('2021-22'!K30),('2020-21'!K30))</f>
        <v>-6.855149669</v>
      </c>
      <c r="L30" s="48">
        <f t="shared" si="5"/>
        <v>-0.7289476107</v>
      </c>
      <c r="M30" s="8">
        <f t="shared" si="6"/>
        <v>0.09579080563</v>
      </c>
      <c r="N30" s="8">
        <f t="shared" si="7"/>
        <v>0.1195520513</v>
      </c>
      <c r="O30" s="8"/>
      <c r="P30" s="33">
        <f>'2020-21'!B30</f>
        <v>35</v>
      </c>
      <c r="Q30" s="33">
        <f>'2021-22'!B30</f>
        <v>25</v>
      </c>
      <c r="R30" s="33">
        <f>'2022-23'!B30</f>
        <v>22</v>
      </c>
      <c r="S30" s="8"/>
      <c r="T30" s="8">
        <f>'2020-21'!K30</f>
        <v>-1.539508822</v>
      </c>
      <c r="U30" s="9">
        <f>'2021-22'!K30</f>
        <v>-1.752234745</v>
      </c>
      <c r="V30" s="9">
        <f>'2022-23'!K30</f>
        <v>-1.532487343</v>
      </c>
      <c r="W30" s="8">
        <f t="shared" si="8"/>
        <v>-2.030918759</v>
      </c>
      <c r="Z30" s="49">
        <f t="shared" si="17"/>
        <v>-0.6899570298</v>
      </c>
      <c r="AA30" s="9">
        <f t="array" ref="AA30:AB30">LINEST(T30:V30)</f>
        <v>0.003510739652</v>
      </c>
      <c r="AB30" s="9">
        <v>-1.6150984493177913</v>
      </c>
      <c r="AC30" s="9">
        <f t="shared" si="19"/>
        <v>-1.601055491</v>
      </c>
      <c r="AD30" s="9">
        <f t="shared" si="20"/>
        <v>0.4298632681</v>
      </c>
      <c r="AE30" s="9">
        <f t="shared" si="21"/>
        <v>0.4298632681</v>
      </c>
      <c r="AG30" s="50">
        <f t="shared" si="13"/>
        <v>2.551</v>
      </c>
    </row>
    <row r="31">
      <c r="A31" s="14" t="s">
        <v>43</v>
      </c>
      <c r="B31" s="14">
        <v>44.0</v>
      </c>
      <c r="C31" s="53">
        <v>0.902</v>
      </c>
      <c r="D31" s="45">
        <f t="shared" si="1"/>
        <v>-0.2352246464</v>
      </c>
      <c r="E31" s="51">
        <v>3.33</v>
      </c>
      <c r="F31" s="45">
        <f t="shared" si="2"/>
        <v>-1.2</v>
      </c>
      <c r="G31" s="14">
        <v>1310.0</v>
      </c>
      <c r="H31" s="47">
        <f t="shared" si="3"/>
        <v>31.58660124</v>
      </c>
      <c r="I31" s="8">
        <f t="shared" si="4"/>
        <v>0.5599281202</v>
      </c>
      <c r="J31" s="8"/>
      <c r="K31" s="11">
        <f>SUM(W31,('2022-23'!K31),('2021-22'!K31),('2020-21'!K31))</f>
        <v>-3.203819752</v>
      </c>
      <c r="L31" s="48">
        <f t="shared" si="5"/>
        <v>0.09658242858</v>
      </c>
      <c r="M31" s="8">
        <f t="shared" si="6"/>
        <v>0.2829068164</v>
      </c>
      <c r="N31" s="8">
        <f t="shared" si="7"/>
        <v>0.3870787718</v>
      </c>
      <c r="O31" s="8"/>
      <c r="P31" s="33" t="str">
        <f>'2020-21'!B31</f>
        <v/>
      </c>
      <c r="Q31" s="33" t="str">
        <f>'2021-22'!B31</f>
        <v/>
      </c>
      <c r="R31" s="33">
        <f>'2022-23'!B31</f>
        <v>19</v>
      </c>
      <c r="S31" s="8"/>
      <c r="T31" s="8" t="str">
        <f>'2020-21'!K31</f>
        <v/>
      </c>
      <c r="U31" s="33" t="str">
        <f>'2021-22'!K31</f>
        <v/>
      </c>
      <c r="V31" s="9">
        <f>'2022-23'!K31</f>
        <v>-1.768595105</v>
      </c>
      <c r="W31" s="8">
        <f t="shared" si="8"/>
        <v>-1.435224646</v>
      </c>
      <c r="Z31" s="49"/>
      <c r="AA31" s="9"/>
      <c r="AB31" s="9"/>
      <c r="AE31" s="9"/>
      <c r="AG31" s="50">
        <f t="shared" si="13"/>
        <v>2.428</v>
      </c>
    </row>
    <row r="32">
      <c r="A32" s="14" t="s">
        <v>44</v>
      </c>
      <c r="B32" s="14">
        <v>42.0</v>
      </c>
      <c r="C32" s="53">
        <v>0.911</v>
      </c>
      <c r="D32" s="45">
        <f t="shared" si="1"/>
        <v>0.8232862624</v>
      </c>
      <c r="E32" s="51">
        <v>2.33</v>
      </c>
      <c r="F32" s="45">
        <f t="shared" si="2"/>
        <v>1.657142857</v>
      </c>
      <c r="G32" s="14">
        <v>1031.0</v>
      </c>
      <c r="H32" s="47">
        <f t="shared" si="3"/>
        <v>25.97324345</v>
      </c>
      <c r="I32" s="8">
        <f t="shared" si="4"/>
        <v>-2.088878202</v>
      </c>
      <c r="J32" s="8"/>
      <c r="K32" s="11">
        <f>SUM(W32,('2022-23'!K32),('2021-22'!K32),('2020-21'!K32))</f>
        <v>3.444362656</v>
      </c>
      <c r="L32" s="48">
        <f t="shared" si="5"/>
        <v>0.9302485589</v>
      </c>
      <c r="M32" s="8">
        <f t="shared" si="6"/>
        <v>0.6235994954</v>
      </c>
      <c r="N32" s="8">
        <f t="shared" si="7"/>
        <v>0.6572421278</v>
      </c>
      <c r="O32" s="8"/>
      <c r="P32" s="33" t="str">
        <f>'2020-21'!B32</f>
        <v/>
      </c>
      <c r="Q32" s="33" t="str">
        <f>'2021-22'!B32</f>
        <v/>
      </c>
      <c r="R32" s="33">
        <f>'2022-23'!B32</f>
        <v>24</v>
      </c>
      <c r="S32" s="8"/>
      <c r="T32" s="8" t="str">
        <f>'2020-21'!K32</f>
        <v/>
      </c>
      <c r="U32" s="33" t="str">
        <f>'2021-22'!K32</f>
        <v/>
      </c>
      <c r="V32" s="9">
        <f>'2022-23'!K32</f>
        <v>0.9639335369</v>
      </c>
      <c r="W32" s="8">
        <f t="shared" si="8"/>
        <v>2.48042912</v>
      </c>
      <c r="Z32" s="49"/>
      <c r="AA32" s="9"/>
      <c r="AB32" s="9"/>
      <c r="AE32" s="9"/>
      <c r="AG32" s="50">
        <f t="shared" si="13"/>
        <v>1.419</v>
      </c>
    </row>
    <row r="33">
      <c r="A33" s="14" t="s">
        <v>45</v>
      </c>
      <c r="B33" s="14">
        <v>41.0</v>
      </c>
      <c r="C33" s="53">
        <v>0.903</v>
      </c>
      <c r="D33" s="45">
        <f t="shared" si="1"/>
        <v>-0.1176123232</v>
      </c>
      <c r="E33" s="51">
        <v>3.14</v>
      </c>
      <c r="F33" s="45">
        <f t="shared" si="2"/>
        <v>-0.6571428571</v>
      </c>
      <c r="G33" s="14">
        <v>1307.0</v>
      </c>
      <c r="H33" s="47">
        <f t="shared" si="3"/>
        <v>33.68408919</v>
      </c>
      <c r="I33" s="8">
        <f t="shared" si="4"/>
        <v>1.549681411</v>
      </c>
      <c r="J33" s="8"/>
      <c r="K33" s="11">
        <f>SUM(W33,('2022-23'!K33),('2021-22'!K33),('2020-21'!K33))</f>
        <v>-7.459721805</v>
      </c>
      <c r="L33" s="48">
        <f t="shared" si="5"/>
        <v>-1.097859581</v>
      </c>
      <c r="M33" s="8">
        <f t="shared" si="6"/>
        <v>0.06480890892</v>
      </c>
      <c r="N33" s="8">
        <f t="shared" si="7"/>
        <v>0</v>
      </c>
      <c r="O33" s="8"/>
      <c r="P33" s="33">
        <f>'2020-21'!B33</f>
        <v>14</v>
      </c>
      <c r="Q33" s="33">
        <f>'2021-22'!B33</f>
        <v>38</v>
      </c>
      <c r="R33" s="33">
        <f>'2022-23'!B33</f>
        <v>40</v>
      </c>
      <c r="S33" s="8"/>
      <c r="T33" s="8">
        <f>'2020-21'!K33</f>
        <v>-3.214139959</v>
      </c>
      <c r="U33" s="9">
        <f>'2021-22'!K33</f>
        <v>-2.396350886</v>
      </c>
      <c r="V33" s="9">
        <f>'2022-23'!K33</f>
        <v>-1.174475779</v>
      </c>
      <c r="W33" s="8">
        <f t="shared" si="8"/>
        <v>-0.6747551803</v>
      </c>
      <c r="Z33" s="49">
        <f t="shared" ref="Z33:Z43" si="22">CORREL(T33:W33,$Y$1:$Y$4)</f>
        <v>0.9888375549</v>
      </c>
      <c r="AA33" s="9">
        <f t="shared" ref="AA33:AA37" si="23">LINEST(T33:V33)</f>
        <v>1.01983209</v>
      </c>
      <c r="AB33" s="9">
        <v>-4.301319721190384</v>
      </c>
      <c r="AC33" s="9">
        <f t="shared" ref="AC33:AC43" si="24">4*AA33+AB33</f>
        <v>-0.2219913619</v>
      </c>
      <c r="AD33" s="9">
        <f t="shared" ref="AD33:AD43" si="25">AC33-W33</f>
        <v>0.4527638184</v>
      </c>
      <c r="AE33" s="9">
        <f t="shared" ref="AE33:AE43" si="26">ABS(AD33)</f>
        <v>0.4527638184</v>
      </c>
      <c r="AG33" s="50">
        <f t="shared" si="13"/>
        <v>2.237</v>
      </c>
    </row>
    <row r="34">
      <c r="A34" s="14" t="s">
        <v>46</v>
      </c>
      <c r="B34" s="14">
        <v>41.0</v>
      </c>
      <c r="C34" s="53">
        <v>0.915</v>
      </c>
      <c r="D34" s="45">
        <f t="shared" si="1"/>
        <v>1.293735555</v>
      </c>
      <c r="E34" s="51">
        <v>2.58</v>
      </c>
      <c r="F34" s="45">
        <f t="shared" si="2"/>
        <v>0.9428571429</v>
      </c>
      <c r="G34" s="14">
        <v>1207.0</v>
      </c>
      <c r="H34" s="47">
        <f t="shared" si="3"/>
        <v>31.10688268</v>
      </c>
      <c r="I34" s="8">
        <f t="shared" si="4"/>
        <v>0.333560655</v>
      </c>
      <c r="J34" s="8"/>
      <c r="K34" s="11">
        <f>SUM(W34,('2022-23'!K34),('2021-22'!K34),('2020-21'!K34))</f>
        <v>8.045998753</v>
      </c>
      <c r="L34" s="48">
        <f t="shared" si="5"/>
        <v>1.987925785</v>
      </c>
      <c r="M34" s="8">
        <f t="shared" si="6"/>
        <v>0.8594148856</v>
      </c>
      <c r="N34" s="8">
        <f t="shared" si="7"/>
        <v>1</v>
      </c>
      <c r="O34" s="8"/>
      <c r="P34" s="33">
        <f>'2020-21'!B34</f>
        <v>20</v>
      </c>
      <c r="Q34" s="33">
        <f>'2021-22'!B34</f>
        <v>41</v>
      </c>
      <c r="R34" s="33">
        <f>'2022-23'!B34</f>
        <v>49</v>
      </c>
      <c r="S34" s="8"/>
      <c r="T34" s="8">
        <f>'2020-21'!K34</f>
        <v>0.4051538805</v>
      </c>
      <c r="U34" s="9">
        <f>'2021-22'!K34</f>
        <v>1.281205076</v>
      </c>
      <c r="V34" s="9">
        <f>'2022-23'!K34</f>
        <v>4.123047098</v>
      </c>
      <c r="W34" s="8">
        <f t="shared" si="8"/>
        <v>2.236592698</v>
      </c>
      <c r="Z34" s="49">
        <f t="shared" si="22"/>
        <v>0.6751319743</v>
      </c>
      <c r="AA34" s="9">
        <f t="shared" si="23"/>
        <v>1.858946609</v>
      </c>
      <c r="AB34" s="9">
        <v>-1.781424532805073</v>
      </c>
      <c r="AC34" s="9">
        <f t="shared" si="24"/>
        <v>5.654361903</v>
      </c>
      <c r="AD34" s="9">
        <f t="shared" si="25"/>
        <v>3.417769205</v>
      </c>
      <c r="AE34" s="9">
        <f t="shared" si="26"/>
        <v>3.417769205</v>
      </c>
      <c r="AG34" s="50">
        <f t="shared" si="13"/>
        <v>1.665</v>
      </c>
    </row>
    <row r="35">
      <c r="A35" s="14" t="s">
        <v>47</v>
      </c>
      <c r="B35" s="14">
        <v>41.0</v>
      </c>
      <c r="C35" s="53">
        <v>0.897</v>
      </c>
      <c r="D35" s="45">
        <f t="shared" si="1"/>
        <v>-0.8232862624</v>
      </c>
      <c r="E35" s="51">
        <v>3.45</v>
      </c>
      <c r="F35" s="45">
        <f t="shared" si="2"/>
        <v>-1.542857143</v>
      </c>
      <c r="G35" s="14">
        <v>1266.0</v>
      </c>
      <c r="H35" s="47">
        <f t="shared" si="3"/>
        <v>32.62743452</v>
      </c>
      <c r="I35" s="8">
        <f t="shared" si="4"/>
        <v>1.051071901</v>
      </c>
      <c r="J35" s="8"/>
      <c r="K35" s="11">
        <f>SUM(W35,('2022-23'!K35),('2021-22'!K35),('2020-21'!K35))</f>
        <v>-7.295302079</v>
      </c>
      <c r="L35" s="48">
        <f t="shared" si="5"/>
        <v>-0.8142041435</v>
      </c>
      <c r="M35" s="8">
        <f t="shared" si="6"/>
        <v>0.07323476029</v>
      </c>
      <c r="N35" s="8">
        <f t="shared" si="7"/>
        <v>0.09192325581</v>
      </c>
      <c r="O35" s="8"/>
      <c r="P35" s="33">
        <f>'2020-21'!B35</f>
        <v>28</v>
      </c>
      <c r="Q35" s="33">
        <f>'2021-22'!B35</f>
        <v>59</v>
      </c>
      <c r="R35" s="33">
        <f>'2022-23'!B35</f>
        <v>30</v>
      </c>
      <c r="S35" s="8"/>
      <c r="T35" s="8">
        <f>'2020-21'!K35</f>
        <v>0.02299219267</v>
      </c>
      <c r="U35" s="9">
        <f>'2021-22'!K35</f>
        <v>-0.5000175886</v>
      </c>
      <c r="V35" s="9">
        <f>'2022-23'!K35</f>
        <v>-4.552133278</v>
      </c>
      <c r="W35" s="8">
        <f t="shared" si="8"/>
        <v>-2.266143405</v>
      </c>
      <c r="Z35" s="49">
        <f t="shared" si="22"/>
        <v>-0.6824032127</v>
      </c>
      <c r="AA35" s="9">
        <f t="shared" si="23"/>
        <v>-2.287562735</v>
      </c>
      <c r="AB35" s="9">
        <v>2.898739246019882</v>
      </c>
      <c r="AC35" s="9">
        <f t="shared" si="24"/>
        <v>-6.251511695</v>
      </c>
      <c r="AD35" s="9">
        <f t="shared" si="25"/>
        <v>-3.98536829</v>
      </c>
      <c r="AE35" s="9">
        <f t="shared" si="26"/>
        <v>3.98536829</v>
      </c>
      <c r="AG35" s="50">
        <f t="shared" si="13"/>
        <v>2.553</v>
      </c>
    </row>
    <row r="36">
      <c r="A36" s="14" t="s">
        <v>48</v>
      </c>
      <c r="B36" s="14">
        <v>40.0</v>
      </c>
      <c r="C36" s="53">
        <v>0.895</v>
      </c>
      <c r="D36" s="45">
        <f t="shared" si="1"/>
        <v>-1.058510909</v>
      </c>
      <c r="E36" s="51">
        <v>2.98</v>
      </c>
      <c r="F36" s="45">
        <f t="shared" si="2"/>
        <v>-0.2</v>
      </c>
      <c r="G36" s="14">
        <v>1056.0</v>
      </c>
      <c r="H36" s="47">
        <f t="shared" si="3"/>
        <v>27.85821406</v>
      </c>
      <c r="I36" s="8">
        <f t="shared" si="4"/>
        <v>-1.199406653</v>
      </c>
      <c r="J36" s="8"/>
      <c r="K36" s="11">
        <f>SUM(W36,('2022-23'!K36),('2021-22'!K36),('2020-21'!K36))</f>
        <v>1.596186365</v>
      </c>
      <c r="L36" s="48">
        <f t="shared" si="5"/>
        <v>0.7902568687</v>
      </c>
      <c r="M36" s="8">
        <f t="shared" si="6"/>
        <v>0.5288878745</v>
      </c>
      <c r="N36" s="8">
        <f t="shared" si="7"/>
        <v>0.6118754955</v>
      </c>
      <c r="O36" s="8"/>
      <c r="P36" s="33">
        <f>'2020-21'!B36</f>
        <v>36</v>
      </c>
      <c r="Q36" s="33">
        <f>'2021-22'!B36</f>
        <v>56</v>
      </c>
      <c r="R36" s="33">
        <f>'2022-23'!B36</f>
        <v>46</v>
      </c>
      <c r="S36" s="8"/>
      <c r="T36" s="8">
        <f>'2020-21'!K36</f>
        <v>2.645035196</v>
      </c>
      <c r="U36" s="9">
        <f>'2021-22'!K36</f>
        <v>0</v>
      </c>
      <c r="V36" s="9">
        <f>'2022-23'!K36</f>
        <v>0.2096620775</v>
      </c>
      <c r="W36" s="8">
        <f t="shared" si="8"/>
        <v>-1.258510909</v>
      </c>
      <c r="Z36" s="49">
        <f t="shared" si="22"/>
        <v>-0.9099678783</v>
      </c>
      <c r="AA36" s="9">
        <f t="shared" si="23"/>
        <v>-1.217686559</v>
      </c>
      <c r="AB36" s="9">
        <v>3.3869388767396</v>
      </c>
      <c r="AC36" s="9">
        <f t="shared" si="24"/>
        <v>-1.483807361</v>
      </c>
      <c r="AD36" s="9">
        <f t="shared" si="25"/>
        <v>-0.2252964521</v>
      </c>
      <c r="AE36" s="9">
        <f t="shared" si="26"/>
        <v>0.2252964521</v>
      </c>
      <c r="AG36" s="50">
        <f t="shared" si="13"/>
        <v>2.085</v>
      </c>
    </row>
    <row r="37">
      <c r="A37" s="14" t="s">
        <v>49</v>
      </c>
      <c r="B37" s="14">
        <v>38.0</v>
      </c>
      <c r="C37" s="53">
        <v>0.902</v>
      </c>
      <c r="D37" s="45">
        <f t="shared" si="1"/>
        <v>-0.2352246464</v>
      </c>
      <c r="E37" s="51">
        <v>2.97</v>
      </c>
      <c r="F37" s="45">
        <f t="shared" si="2"/>
        <v>-0.1714285714</v>
      </c>
      <c r="G37" s="14">
        <v>1039.0</v>
      </c>
      <c r="H37" s="47">
        <f t="shared" si="3"/>
        <v>28.77490033</v>
      </c>
      <c r="I37" s="8">
        <f t="shared" si="4"/>
        <v>-0.7668448109</v>
      </c>
      <c r="J37" s="8"/>
      <c r="K37" s="11">
        <f>SUM(W37,('2022-23'!K37),('2021-22'!K37),('2020-21'!K37))</f>
        <v>-0.2785830458</v>
      </c>
      <c r="L37" s="48">
        <f t="shared" si="5"/>
        <v>0.09674951783</v>
      </c>
      <c r="M37" s="8">
        <f t="shared" si="6"/>
        <v>0.4328134629</v>
      </c>
      <c r="N37" s="8">
        <f t="shared" si="7"/>
        <v>0.3871329199</v>
      </c>
      <c r="O37" s="8"/>
      <c r="P37" s="33">
        <f>'2020-21'!B37</f>
        <v>23</v>
      </c>
      <c r="Q37" s="33">
        <f>'2021-22'!B37</f>
        <v>59</v>
      </c>
      <c r="R37" s="33">
        <f>'2022-23'!B37</f>
        <v>15</v>
      </c>
      <c r="S37" s="8"/>
      <c r="T37" s="8">
        <f>'2020-21'!K37</f>
        <v>3.148091161</v>
      </c>
      <c r="U37" s="9">
        <f>'2021-22'!K37</f>
        <v>-1.098195386</v>
      </c>
      <c r="V37" s="9">
        <f>'2022-23'!K37</f>
        <v>-1.921825604</v>
      </c>
      <c r="W37" s="8">
        <f t="shared" si="8"/>
        <v>-0.4066532178</v>
      </c>
      <c r="Z37" s="49">
        <f t="shared" si="22"/>
        <v>-0.6642294706</v>
      </c>
      <c r="AA37" s="9">
        <f t="shared" si="23"/>
        <v>-2.534958383</v>
      </c>
      <c r="AB37" s="9">
        <v>5.112606822410665</v>
      </c>
      <c r="AC37" s="9">
        <f t="shared" si="24"/>
        <v>-5.027226708</v>
      </c>
      <c r="AD37" s="9">
        <f t="shared" si="25"/>
        <v>-4.62057349</v>
      </c>
      <c r="AE37" s="9">
        <f t="shared" si="26"/>
        <v>4.62057349</v>
      </c>
      <c r="AG37" s="50">
        <f t="shared" si="13"/>
        <v>2.068</v>
      </c>
    </row>
    <row r="38">
      <c r="A38" s="14" t="s">
        <v>50</v>
      </c>
      <c r="B38" s="14">
        <v>38.0</v>
      </c>
      <c r="C38" s="53">
        <v>0.896</v>
      </c>
      <c r="D38" s="45">
        <f t="shared" si="1"/>
        <v>-0.9408985856</v>
      </c>
      <c r="E38" s="51">
        <v>3.35</v>
      </c>
      <c r="F38" s="45">
        <f t="shared" si="2"/>
        <v>-1.257142857</v>
      </c>
      <c r="G38" s="14">
        <v>1089.0</v>
      </c>
      <c r="H38" s="47">
        <f t="shared" si="3"/>
        <v>30.15964048</v>
      </c>
      <c r="I38" s="8">
        <f t="shared" si="4"/>
        <v>-0.1134197837</v>
      </c>
      <c r="J38" s="8"/>
      <c r="K38" s="11">
        <f>SUM(W38,('2022-23'!K38),('2021-22'!K38),('2020-21'!K38))</f>
        <v>-5.231822557</v>
      </c>
      <c r="L38" s="48">
        <f t="shared" si="5"/>
        <v>-0.8659814422</v>
      </c>
      <c r="M38" s="8">
        <f t="shared" si="6"/>
        <v>0.178979808</v>
      </c>
      <c r="N38" s="8">
        <f t="shared" si="7"/>
        <v>0.07514396217</v>
      </c>
      <c r="O38" s="8"/>
      <c r="P38" s="33" t="str">
        <f>'2020-21'!B38</f>
        <v/>
      </c>
      <c r="Q38" s="33">
        <f>'2021-22'!B38</f>
        <v>52</v>
      </c>
      <c r="R38" s="33">
        <f>'2022-23'!B38</f>
        <v>50</v>
      </c>
      <c r="S38" s="8"/>
      <c r="T38" s="8" t="str">
        <f>'2020-21'!K38</f>
        <v/>
      </c>
      <c r="U38" s="9">
        <f>'2021-22'!K38</f>
        <v>-1.798173089</v>
      </c>
      <c r="V38" s="9">
        <f>'2022-23'!K38</f>
        <v>-1.235608025</v>
      </c>
      <c r="W38" s="8">
        <f t="shared" si="8"/>
        <v>-2.198041443</v>
      </c>
      <c r="Z38" s="49">
        <f t="shared" si="22"/>
        <v>-0.4135115647</v>
      </c>
      <c r="AA38" s="51">
        <v>0.56</v>
      </c>
      <c r="AB38" s="51">
        <v>-2.36</v>
      </c>
      <c r="AC38" s="9">
        <f t="shared" si="24"/>
        <v>-0.12</v>
      </c>
      <c r="AD38" s="9">
        <f t="shared" si="25"/>
        <v>2.078041443</v>
      </c>
      <c r="AE38" s="9">
        <f t="shared" si="26"/>
        <v>2.078041443</v>
      </c>
      <c r="AG38" s="50">
        <f t="shared" si="13"/>
        <v>2.454</v>
      </c>
    </row>
    <row r="39">
      <c r="A39" s="14" t="s">
        <v>51</v>
      </c>
      <c r="B39" s="14">
        <v>38.0</v>
      </c>
      <c r="C39" s="53">
        <v>0.898</v>
      </c>
      <c r="D39" s="45">
        <f t="shared" si="1"/>
        <v>-0.7056739392</v>
      </c>
      <c r="E39" s="51">
        <v>3.64</v>
      </c>
      <c r="F39" s="45">
        <f t="shared" si="2"/>
        <v>-2.085714286</v>
      </c>
      <c r="G39" s="14">
        <v>1139.0</v>
      </c>
      <c r="H39" s="47">
        <f t="shared" si="3"/>
        <v>31.54438063</v>
      </c>
      <c r="I39" s="8">
        <f t="shared" si="4"/>
        <v>0.5400052435</v>
      </c>
      <c r="J39" s="8"/>
      <c r="K39" s="11">
        <f>SUM(W39,('2022-23'!K39),('2021-22'!K39),('2020-21'!K39))</f>
        <v>-7.1820509</v>
      </c>
      <c r="L39" s="48">
        <f t="shared" si="5"/>
        <v>-0.8284218985</v>
      </c>
      <c r="M39" s="8">
        <f t="shared" si="6"/>
        <v>0.07903842892</v>
      </c>
      <c r="N39" s="8">
        <f t="shared" si="7"/>
        <v>0.08731575615</v>
      </c>
      <c r="O39" s="8"/>
      <c r="P39" s="33">
        <f>'2020-21'!B39</f>
        <v>24</v>
      </c>
      <c r="Q39" s="33">
        <f>'2021-22'!B39</f>
        <v>36</v>
      </c>
      <c r="R39" s="33">
        <f>'2022-23'!B39</f>
        <v>37</v>
      </c>
      <c r="S39" s="8"/>
      <c r="T39" s="8">
        <f>'2020-21'!K39</f>
        <v>-1.290371533</v>
      </c>
      <c r="U39" s="9">
        <f>'2021-22'!K39</f>
        <v>0.281267257</v>
      </c>
      <c r="V39" s="9">
        <f>'2022-23'!K39</f>
        <v>-3.381558399</v>
      </c>
      <c r="W39" s="8">
        <f t="shared" si="8"/>
        <v>-2.791388225</v>
      </c>
      <c r="Z39" s="49">
        <f t="shared" si="22"/>
        <v>-0.6425446081</v>
      </c>
      <c r="AA39" s="9">
        <f t="shared" ref="AA39:AA43" si="27">LINEST(T39:V39)</f>
        <v>-1.045593433</v>
      </c>
      <c r="AB39" s="9">
        <v>0.6276326402493829</v>
      </c>
      <c r="AC39" s="9">
        <f t="shared" si="24"/>
        <v>-3.55474109</v>
      </c>
      <c r="AD39" s="9">
        <f t="shared" si="25"/>
        <v>-0.7633528653</v>
      </c>
      <c r="AE39" s="9">
        <f t="shared" si="26"/>
        <v>0.7633528653</v>
      </c>
      <c r="AG39" s="50">
        <f t="shared" si="13"/>
        <v>2.742</v>
      </c>
    </row>
    <row r="40">
      <c r="A40" s="14" t="s">
        <v>52</v>
      </c>
      <c r="B40" s="14">
        <v>36.0</v>
      </c>
      <c r="C40" s="53">
        <v>0.899</v>
      </c>
      <c r="D40" s="45">
        <f t="shared" si="1"/>
        <v>-0.588061616</v>
      </c>
      <c r="E40" s="51">
        <v>2.86</v>
      </c>
      <c r="F40" s="45">
        <f t="shared" si="2"/>
        <v>0.1428571429</v>
      </c>
      <c r="G40" s="14">
        <v>941.0</v>
      </c>
      <c r="H40" s="47">
        <f t="shared" si="3"/>
        <v>27.43478319</v>
      </c>
      <c r="I40" s="8">
        <f t="shared" si="4"/>
        <v>-1.399213328</v>
      </c>
      <c r="J40" s="8"/>
      <c r="K40" s="11">
        <f>SUM(W40,('2022-23'!K40),('2021-22'!K40),('2020-21'!K40))</f>
        <v>-0.4310049269</v>
      </c>
      <c r="L40" s="48">
        <f t="shared" si="5"/>
        <v>0.06296339784</v>
      </c>
      <c r="M40" s="8">
        <f t="shared" si="6"/>
        <v>0.4250024529</v>
      </c>
      <c r="N40" s="8">
        <f t="shared" si="7"/>
        <v>0.3761839665</v>
      </c>
      <c r="O40" s="8"/>
      <c r="P40" s="33">
        <f>'2020-21'!B40</f>
        <v>40</v>
      </c>
      <c r="Q40" s="33">
        <f>'2021-22'!B40</f>
        <v>55</v>
      </c>
      <c r="R40" s="33">
        <f>'2022-23'!B40</f>
        <v>39</v>
      </c>
      <c r="S40" s="8"/>
      <c r="T40" s="8">
        <f>'2020-21'!K40</f>
        <v>2.348986719</v>
      </c>
      <c r="U40" s="9">
        <f>'2021-22'!K40</f>
        <v>-1.535186962</v>
      </c>
      <c r="V40" s="9">
        <f>'2022-23'!K40</f>
        <v>-0.7996002106</v>
      </c>
      <c r="W40" s="8">
        <f t="shared" si="8"/>
        <v>-0.4452044731</v>
      </c>
      <c r="Z40" s="49">
        <f t="shared" si="22"/>
        <v>-0.5808639525</v>
      </c>
      <c r="AA40" s="9">
        <f t="shared" si="27"/>
        <v>-1.574293465</v>
      </c>
      <c r="AB40" s="9">
        <v>3.1533201112343234</v>
      </c>
      <c r="AC40" s="9">
        <f t="shared" si="24"/>
        <v>-3.143853747</v>
      </c>
      <c r="AD40" s="9">
        <f t="shared" si="25"/>
        <v>-2.698649274</v>
      </c>
      <c r="AE40" s="9">
        <f t="shared" si="26"/>
        <v>2.698649274</v>
      </c>
      <c r="AG40" s="50">
        <f t="shared" si="13"/>
        <v>1.961</v>
      </c>
    </row>
    <row r="41">
      <c r="A41" s="14" t="s">
        <v>53</v>
      </c>
      <c r="B41" s="14">
        <v>34.0</v>
      </c>
      <c r="C41" s="53">
        <v>0.895</v>
      </c>
      <c r="D41" s="45">
        <f t="shared" si="1"/>
        <v>-1.058510909</v>
      </c>
      <c r="E41" s="51">
        <v>3.44</v>
      </c>
      <c r="F41" s="45">
        <f t="shared" si="2"/>
        <v>-1.514285714</v>
      </c>
      <c r="G41" s="14">
        <v>1087.0</v>
      </c>
      <c r="H41" s="47">
        <f t="shared" si="3"/>
        <v>33.46551938</v>
      </c>
      <c r="I41" s="8">
        <f t="shared" si="4"/>
        <v>1.446543661</v>
      </c>
      <c r="J41" s="8"/>
      <c r="K41" s="11">
        <f>SUM(W41,('2022-23'!K41),('2021-22'!K41),('2020-21'!K41))</f>
        <v>-5.959617199</v>
      </c>
      <c r="L41" s="48">
        <f t="shared" si="5"/>
        <v>-0.7474474196</v>
      </c>
      <c r="M41" s="8">
        <f t="shared" si="6"/>
        <v>0.1416832522</v>
      </c>
      <c r="N41" s="8">
        <f t="shared" si="7"/>
        <v>0.1135568809</v>
      </c>
      <c r="O41" s="8"/>
      <c r="P41" s="33">
        <f>'2020-21'!B41</f>
        <v>29</v>
      </c>
      <c r="Q41" s="33">
        <f>'2021-22'!B41</f>
        <v>35</v>
      </c>
      <c r="R41" s="33">
        <f>'2022-23'!B41</f>
        <v>42</v>
      </c>
      <c r="S41" s="8"/>
      <c r="T41" s="8">
        <f>'2020-21'!K41</f>
        <v>-0.4706171222</v>
      </c>
      <c r="U41" s="9">
        <f>'2021-22'!K41</f>
        <v>-0.7508289781</v>
      </c>
      <c r="V41" s="9">
        <f>'2022-23'!K41</f>
        <v>-2.265374475</v>
      </c>
      <c r="W41" s="8">
        <f t="shared" si="8"/>
        <v>-2.472796623</v>
      </c>
      <c r="Z41" s="49">
        <f t="shared" si="22"/>
        <v>-0.9471751978</v>
      </c>
      <c r="AA41" s="9">
        <f t="shared" si="27"/>
        <v>-0.8973786766</v>
      </c>
      <c r="AB41" s="9">
        <v>0.632483828022872</v>
      </c>
      <c r="AC41" s="9">
        <f t="shared" si="24"/>
        <v>-2.957030879</v>
      </c>
      <c r="AD41" s="9">
        <f t="shared" si="25"/>
        <v>-0.4842342555</v>
      </c>
      <c r="AE41" s="9">
        <f t="shared" si="26"/>
        <v>0.4842342555</v>
      </c>
      <c r="AG41" s="50">
        <f t="shared" si="13"/>
        <v>2.545</v>
      </c>
    </row>
    <row r="42">
      <c r="A42" s="14" t="s">
        <v>54</v>
      </c>
      <c r="B42" s="14">
        <v>33.0</v>
      </c>
      <c r="C42" s="53">
        <v>0.89</v>
      </c>
      <c r="D42" s="45">
        <f t="shared" si="1"/>
        <v>-1.646572525</v>
      </c>
      <c r="E42" s="51">
        <v>3.31</v>
      </c>
      <c r="F42" s="45">
        <f t="shared" si="2"/>
        <v>-1.142857143</v>
      </c>
      <c r="G42" s="14">
        <v>940.0</v>
      </c>
      <c r="H42" s="47">
        <f t="shared" si="3"/>
        <v>29.77673821</v>
      </c>
      <c r="I42" s="8">
        <f t="shared" si="4"/>
        <v>-0.2941020043</v>
      </c>
      <c r="J42" s="8"/>
      <c r="K42" s="11">
        <f>SUM(W42,('2022-23'!K42),('2021-22'!K42),('2020-21'!K42))</f>
        <v>-1.351828949</v>
      </c>
      <c r="L42" s="48">
        <f t="shared" si="5"/>
        <v>0.6757250897</v>
      </c>
      <c r="M42" s="8">
        <f t="shared" si="6"/>
        <v>0.3778139157</v>
      </c>
      <c r="N42" s="8">
        <f t="shared" si="7"/>
        <v>0.5747595702</v>
      </c>
      <c r="O42" s="8"/>
      <c r="P42" s="33">
        <f>'2020-21'!B42</f>
        <v>27</v>
      </c>
      <c r="Q42" s="33">
        <f>'2021-22'!B42</f>
        <v>57</v>
      </c>
      <c r="R42" s="33">
        <f>'2022-23'!B42</f>
        <v>57</v>
      </c>
      <c r="S42" s="8"/>
      <c r="T42" s="8">
        <f>'2020-21'!K42</f>
        <v>-0.2087641555</v>
      </c>
      <c r="U42" s="9">
        <f>'2021-22'!K42</f>
        <v>1.359067236</v>
      </c>
      <c r="V42" s="9">
        <f>'2022-23'!K42</f>
        <v>0.2872976381</v>
      </c>
      <c r="W42" s="8">
        <f t="shared" si="8"/>
        <v>-2.789429668</v>
      </c>
      <c r="Z42" s="49">
        <f t="shared" si="22"/>
        <v>-0.6463524786</v>
      </c>
      <c r="AA42" s="9">
        <f t="shared" si="27"/>
        <v>0.2480308968</v>
      </c>
      <c r="AB42" s="9">
        <v>-0.016861554147731134</v>
      </c>
      <c r="AC42" s="9">
        <f t="shared" si="24"/>
        <v>0.975262033</v>
      </c>
      <c r="AD42" s="9">
        <f t="shared" si="25"/>
        <v>3.764691701</v>
      </c>
      <c r="AE42" s="9">
        <f t="shared" si="26"/>
        <v>3.764691701</v>
      </c>
      <c r="AG42" s="50">
        <f t="shared" si="13"/>
        <v>2.42</v>
      </c>
    </row>
    <row r="43">
      <c r="A43" s="14" t="s">
        <v>55</v>
      </c>
      <c r="B43" s="14">
        <v>33.0</v>
      </c>
      <c r="C43" s="53">
        <v>0.899</v>
      </c>
      <c r="D43" s="45">
        <f t="shared" si="1"/>
        <v>-0.588061616</v>
      </c>
      <c r="E43" s="51">
        <v>2.85</v>
      </c>
      <c r="F43" s="45">
        <f t="shared" si="2"/>
        <v>0.1714285714</v>
      </c>
      <c r="G43" s="14">
        <v>844.0</v>
      </c>
      <c r="H43" s="47">
        <f t="shared" si="3"/>
        <v>26.73570962</v>
      </c>
      <c r="I43" s="8">
        <f t="shared" si="4"/>
        <v>-1.729089055</v>
      </c>
      <c r="J43" s="8"/>
      <c r="K43" s="11">
        <f>SUM(W43,('2022-23'!K43),('2021-22'!K43),('2020-21'!K43))</f>
        <v>-1.586170662</v>
      </c>
      <c r="L43" s="48">
        <f t="shared" si="5"/>
        <v>0.1099908626</v>
      </c>
      <c r="M43" s="8">
        <f t="shared" si="6"/>
        <v>0.365804843</v>
      </c>
      <c r="N43" s="8">
        <f t="shared" si="7"/>
        <v>0.3914239976</v>
      </c>
      <c r="O43" s="8"/>
      <c r="P43" s="33">
        <f>'2020-21'!B43</f>
        <v>16</v>
      </c>
      <c r="Q43" s="33">
        <f>'2021-22'!B43</f>
        <v>37</v>
      </c>
      <c r="R43" s="33">
        <f>'2022-23'!B43</f>
        <v>21</v>
      </c>
      <c r="S43" s="8"/>
      <c r="T43" s="8">
        <f>'2020-21'!K43</f>
        <v>-1.945589506</v>
      </c>
      <c r="U43" s="9">
        <f>'2021-22'!K43</f>
        <v>-0.1916022034</v>
      </c>
      <c r="V43" s="9">
        <f>'2022-23'!K43</f>
        <v>0.9676540917</v>
      </c>
      <c r="W43" s="8">
        <f t="shared" si="8"/>
        <v>-0.4166330446</v>
      </c>
      <c r="Z43" s="49">
        <f t="shared" si="22"/>
        <v>0.6194058482</v>
      </c>
      <c r="AA43" s="9">
        <f t="shared" si="27"/>
        <v>1.456621799</v>
      </c>
      <c r="AB43" s="9">
        <v>-3.303089470548746</v>
      </c>
      <c r="AC43" s="9">
        <f t="shared" si="24"/>
        <v>2.523397725</v>
      </c>
      <c r="AD43" s="9">
        <f t="shared" si="25"/>
        <v>2.94003077</v>
      </c>
      <c r="AE43" s="9">
        <f t="shared" si="26"/>
        <v>2.94003077</v>
      </c>
      <c r="AG43" s="50">
        <f t="shared" si="13"/>
        <v>1.951</v>
      </c>
    </row>
    <row r="44">
      <c r="D44" s="9"/>
      <c r="E44" s="9"/>
    </row>
    <row r="45">
      <c r="D45" s="9"/>
      <c r="E45" s="9"/>
      <c r="AB45" s="9"/>
    </row>
    <row r="46">
      <c r="D46" s="9"/>
      <c r="E46" s="9"/>
      <c r="AA46" s="14" t="s">
        <v>151</v>
      </c>
      <c r="AE46" s="33" t="str">
        <f>AVERAGE(AE2:AE43)</f>
        <v>#VALUE!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7" t="s">
        <v>118</v>
      </c>
      <c r="C1" s="37" t="s">
        <v>132</v>
      </c>
      <c r="D1" s="41" t="s">
        <v>133</v>
      </c>
      <c r="E1" s="41" t="s">
        <v>134</v>
      </c>
      <c r="F1" s="41" t="s">
        <v>133</v>
      </c>
      <c r="G1" s="41" t="s">
        <v>135</v>
      </c>
      <c r="H1" s="41" t="s">
        <v>136</v>
      </c>
      <c r="I1" s="41" t="s">
        <v>133</v>
      </c>
      <c r="J1" s="55"/>
    </row>
    <row r="2">
      <c r="A2" s="6" t="s">
        <v>9</v>
      </c>
      <c r="B2" s="12">
        <v>50.0</v>
      </c>
      <c r="C2" s="44">
        <v>0.901</v>
      </c>
      <c r="D2" s="8">
        <f t="shared" ref="D2:D43" si="1">(C2-0.907)/0.01288069529</f>
        <v>-0.4658133637</v>
      </c>
      <c r="E2" s="45">
        <v>3.07</v>
      </c>
      <c r="F2" s="8">
        <f t="shared" ref="F2:F43" si="2">-(E2-2.93)/0.6059388819</f>
        <v>-0.2310464045</v>
      </c>
      <c r="G2" s="46">
        <v>1466.0</v>
      </c>
      <c r="H2" s="47">
        <f t="shared" ref="H2:H43" si="3">(G2/B2)*1.001345^B2</f>
        <v>31.35816538</v>
      </c>
      <c r="I2" s="8">
        <f t="shared" ref="I2:I43" si="4">(H2-31.7)/3.226382191</f>
        <v>-0.1059498219</v>
      </c>
      <c r="J2" s="45"/>
      <c r="K2" s="9">
        <f t="shared" ref="K2:K43" si="5">(D2+F2+IF((I2&gt;0.85),0.1))</f>
        <v>-0.6968597682</v>
      </c>
    </row>
    <row r="3">
      <c r="A3" s="6" t="s">
        <v>10</v>
      </c>
      <c r="B3" s="12">
        <v>50.0</v>
      </c>
      <c r="C3" s="44">
        <v>0.914</v>
      </c>
      <c r="D3" s="8">
        <f t="shared" si="1"/>
        <v>0.5434489243</v>
      </c>
      <c r="E3" s="45">
        <v>2.73</v>
      </c>
      <c r="F3" s="8">
        <f t="shared" si="2"/>
        <v>0.3300662921</v>
      </c>
      <c r="G3" s="46">
        <v>1536.0</v>
      </c>
      <c r="H3" s="47">
        <f t="shared" si="3"/>
        <v>32.85548569</v>
      </c>
      <c r="I3" s="8">
        <f t="shared" si="4"/>
        <v>0.3581366449</v>
      </c>
      <c r="J3" s="8"/>
      <c r="K3" s="9">
        <f t="shared" si="5"/>
        <v>0.8735152165</v>
      </c>
    </row>
    <row r="4">
      <c r="A4" s="6" t="s">
        <v>11</v>
      </c>
      <c r="B4" s="12">
        <v>62.0</v>
      </c>
      <c r="C4" s="44">
        <v>0.919</v>
      </c>
      <c r="D4" s="8">
        <f t="shared" si="1"/>
        <v>0.9316267274</v>
      </c>
      <c r="E4" s="45">
        <v>2.35</v>
      </c>
      <c r="F4" s="8">
        <f t="shared" si="2"/>
        <v>0.9571922471</v>
      </c>
      <c r="G4" s="46">
        <v>1776.0</v>
      </c>
      <c r="H4" s="47">
        <f t="shared" si="3"/>
        <v>31.13456164</v>
      </c>
      <c r="I4" s="8">
        <f t="shared" si="4"/>
        <v>-0.1752546116</v>
      </c>
      <c r="J4" s="8"/>
      <c r="K4" s="9">
        <f t="shared" si="5"/>
        <v>1.888818975</v>
      </c>
    </row>
    <row r="5">
      <c r="A5" s="6" t="s">
        <v>12</v>
      </c>
      <c r="B5" s="12">
        <v>58.0</v>
      </c>
      <c r="C5" s="44">
        <v>0.916</v>
      </c>
      <c r="D5" s="8">
        <f t="shared" si="1"/>
        <v>0.6987200456</v>
      </c>
      <c r="E5" s="45">
        <v>2.48</v>
      </c>
      <c r="F5" s="8">
        <f t="shared" si="2"/>
        <v>0.7426491573</v>
      </c>
      <c r="G5" s="46">
        <v>1719.0</v>
      </c>
      <c r="H5" s="47">
        <f t="shared" si="3"/>
        <v>32.04087976</v>
      </c>
      <c r="I5" s="8">
        <f t="shared" si="4"/>
        <v>0.1056538696</v>
      </c>
      <c r="J5" s="8"/>
      <c r="K5" s="9">
        <f t="shared" si="5"/>
        <v>1.441369203</v>
      </c>
    </row>
    <row r="6">
      <c r="A6" s="6" t="s">
        <v>13</v>
      </c>
      <c r="B6" s="29">
        <v>37.0</v>
      </c>
      <c r="C6" s="52">
        <v>0.92</v>
      </c>
      <c r="D6" s="8">
        <f t="shared" si="1"/>
        <v>1.009262288</v>
      </c>
      <c r="E6" s="45">
        <v>2.27</v>
      </c>
      <c r="F6" s="8">
        <f t="shared" si="2"/>
        <v>1.089218764</v>
      </c>
      <c r="G6" s="46">
        <v>953.0</v>
      </c>
      <c r="H6" s="47">
        <f t="shared" si="3"/>
        <v>27.07006633</v>
      </c>
      <c r="I6" s="8">
        <f t="shared" si="4"/>
        <v>-1.435023315</v>
      </c>
      <c r="J6" s="8"/>
      <c r="K6" s="9">
        <f t="shared" si="5"/>
        <v>2.098481052</v>
      </c>
    </row>
    <row r="7">
      <c r="A7" s="6" t="s">
        <v>14</v>
      </c>
      <c r="B7" s="12">
        <v>62.0</v>
      </c>
      <c r="C7" s="44">
        <v>0.919</v>
      </c>
      <c r="D7" s="8">
        <f t="shared" si="1"/>
        <v>0.9316267274</v>
      </c>
      <c r="E7" s="45">
        <v>2.51</v>
      </c>
      <c r="F7" s="8">
        <f t="shared" si="2"/>
        <v>0.6931392135</v>
      </c>
      <c r="G7" s="46">
        <v>1904.0</v>
      </c>
      <c r="H7" s="47">
        <f t="shared" si="3"/>
        <v>33.37849401</v>
      </c>
      <c r="I7" s="8">
        <f t="shared" si="4"/>
        <v>0.5202402919</v>
      </c>
      <c r="J7" s="8"/>
      <c r="K7" s="9">
        <f t="shared" si="5"/>
        <v>1.624765941</v>
      </c>
    </row>
    <row r="8">
      <c r="A8" s="6" t="s">
        <v>15</v>
      </c>
      <c r="B8" s="29">
        <v>64.0</v>
      </c>
      <c r="C8" s="52">
        <v>0.919</v>
      </c>
      <c r="D8" s="8">
        <f t="shared" si="1"/>
        <v>0.9316267274</v>
      </c>
      <c r="E8" s="45">
        <v>2.69</v>
      </c>
      <c r="F8" s="8">
        <f t="shared" si="2"/>
        <v>0.3960795505</v>
      </c>
      <c r="G8" s="46">
        <v>2099.0</v>
      </c>
      <c r="H8" s="47">
        <f t="shared" si="3"/>
        <v>35.74303409</v>
      </c>
      <c r="I8" s="8">
        <f t="shared" si="4"/>
        <v>1.253116912</v>
      </c>
      <c r="J8" s="8"/>
      <c r="K8" s="9">
        <f t="shared" si="5"/>
        <v>1.427706278</v>
      </c>
    </row>
    <row r="9">
      <c r="A9" s="6" t="s">
        <v>16</v>
      </c>
      <c r="B9" s="12">
        <v>64.0</v>
      </c>
      <c r="C9" s="44">
        <v>0.92</v>
      </c>
      <c r="D9" s="8">
        <f t="shared" si="1"/>
        <v>1.009262288</v>
      </c>
      <c r="E9" s="45">
        <v>2.49</v>
      </c>
      <c r="F9" s="8">
        <f t="shared" si="2"/>
        <v>0.7261458427</v>
      </c>
      <c r="G9" s="46">
        <v>1964.0</v>
      </c>
      <c r="H9" s="47">
        <f t="shared" si="3"/>
        <v>33.44417292</v>
      </c>
      <c r="I9" s="8">
        <f t="shared" si="4"/>
        <v>0.5405971188</v>
      </c>
      <c r="J9" s="8"/>
      <c r="K9" s="9">
        <f t="shared" si="5"/>
        <v>1.735408131</v>
      </c>
    </row>
    <row r="10">
      <c r="A10" s="6" t="s">
        <v>21</v>
      </c>
      <c r="B10" s="12">
        <v>42.0</v>
      </c>
      <c r="C10" s="44">
        <v>0.919</v>
      </c>
      <c r="D10" s="8">
        <f t="shared" si="1"/>
        <v>0.9316267274</v>
      </c>
      <c r="E10" s="45">
        <v>2.33</v>
      </c>
      <c r="F10" s="8">
        <f t="shared" si="2"/>
        <v>0.9901988764</v>
      </c>
      <c r="G10" s="46">
        <v>1184.0</v>
      </c>
      <c r="H10" s="47">
        <f t="shared" si="3"/>
        <v>29.82766271</v>
      </c>
      <c r="I10" s="8">
        <f t="shared" si="4"/>
        <v>-0.5803209858</v>
      </c>
      <c r="J10" s="8"/>
      <c r="K10" s="9">
        <f t="shared" si="5"/>
        <v>1.921825604</v>
      </c>
    </row>
    <row r="11">
      <c r="A11" s="6" t="s">
        <v>22</v>
      </c>
      <c r="B11" s="12">
        <v>60.0</v>
      </c>
      <c r="C11" s="44">
        <v>0.915</v>
      </c>
      <c r="D11" s="8">
        <f t="shared" si="1"/>
        <v>0.621084485</v>
      </c>
      <c r="E11" s="45">
        <v>2.65</v>
      </c>
      <c r="F11" s="8">
        <f t="shared" si="2"/>
        <v>0.462092809</v>
      </c>
      <c r="G11" s="46">
        <v>1875.0</v>
      </c>
      <c r="H11" s="47">
        <f t="shared" si="3"/>
        <v>33.87458926</v>
      </c>
      <c r="I11" s="8">
        <f t="shared" si="4"/>
        <v>0.6740023761</v>
      </c>
      <c r="J11" s="8"/>
      <c r="K11" s="9">
        <f t="shared" si="5"/>
        <v>1.083177294</v>
      </c>
    </row>
    <row r="12">
      <c r="A12" s="6" t="s">
        <v>23</v>
      </c>
      <c r="B12" s="29">
        <v>31.0</v>
      </c>
      <c r="C12" s="52">
        <v>0.899</v>
      </c>
      <c r="D12" s="8">
        <f t="shared" si="1"/>
        <v>-0.621084485</v>
      </c>
      <c r="E12" s="45">
        <v>3.05</v>
      </c>
      <c r="F12" s="8">
        <f t="shared" si="2"/>
        <v>-0.1980397753</v>
      </c>
      <c r="G12" s="46">
        <v>853.0</v>
      </c>
      <c r="H12" s="47">
        <f t="shared" si="3"/>
        <v>28.6868643</v>
      </c>
      <c r="I12" s="8">
        <f t="shared" si="4"/>
        <v>-0.9339053831</v>
      </c>
      <c r="J12" s="8"/>
      <c r="K12" s="9">
        <f t="shared" si="5"/>
        <v>-0.8191242602</v>
      </c>
    </row>
    <row r="13">
      <c r="A13" s="6" t="s">
        <v>25</v>
      </c>
      <c r="B13" s="29">
        <v>37.0</v>
      </c>
      <c r="C13" s="52">
        <v>0.915</v>
      </c>
      <c r="D13" s="8">
        <f t="shared" si="1"/>
        <v>0.621084485</v>
      </c>
      <c r="E13" s="45">
        <v>2.65</v>
      </c>
      <c r="F13" s="8">
        <f t="shared" si="2"/>
        <v>0.462092809</v>
      </c>
      <c r="G13" s="46">
        <v>1132.0</v>
      </c>
      <c r="H13" s="47">
        <f t="shared" si="3"/>
        <v>32.15458037</v>
      </c>
      <c r="I13" s="8">
        <f t="shared" si="4"/>
        <v>0.1408947665</v>
      </c>
      <c r="J13" s="8"/>
      <c r="K13" s="9">
        <f t="shared" si="5"/>
        <v>1.083177294</v>
      </c>
    </row>
    <row r="14">
      <c r="A14" s="6" t="s">
        <v>26</v>
      </c>
      <c r="B14" s="29">
        <v>36.0</v>
      </c>
      <c r="C14" s="52">
        <v>0.898</v>
      </c>
      <c r="D14" s="8">
        <f t="shared" si="1"/>
        <v>-0.6987200456</v>
      </c>
      <c r="E14" s="45">
        <v>2.93</v>
      </c>
      <c r="F14" s="8">
        <f t="shared" si="2"/>
        <v>0</v>
      </c>
      <c r="G14" s="46">
        <v>935.0</v>
      </c>
      <c r="H14" s="47">
        <f t="shared" si="3"/>
        <v>27.25985365</v>
      </c>
      <c r="I14" s="8">
        <f t="shared" si="4"/>
        <v>-1.376199746</v>
      </c>
      <c r="J14" s="8"/>
      <c r="K14" s="9">
        <f t="shared" si="5"/>
        <v>-0.6987200456</v>
      </c>
    </row>
    <row r="15">
      <c r="A15" s="6" t="s">
        <v>27</v>
      </c>
      <c r="B15" s="29">
        <v>27.0</v>
      </c>
      <c r="C15" s="52">
        <v>0.915</v>
      </c>
      <c r="D15" s="8">
        <f t="shared" si="1"/>
        <v>0.621084485</v>
      </c>
      <c r="E15" s="45">
        <v>2.46</v>
      </c>
      <c r="F15" s="8">
        <f t="shared" si="2"/>
        <v>0.7756557865</v>
      </c>
      <c r="G15" s="46">
        <v>721.0</v>
      </c>
      <c r="H15" s="47">
        <f t="shared" si="3"/>
        <v>27.69059629</v>
      </c>
      <c r="I15" s="8">
        <f t="shared" si="4"/>
        <v>-1.242693356</v>
      </c>
      <c r="J15" s="8"/>
      <c r="K15" s="9">
        <f t="shared" si="5"/>
        <v>1.396740271</v>
      </c>
    </row>
    <row r="16">
      <c r="A16" s="6" t="s">
        <v>28</v>
      </c>
      <c r="B16" s="29">
        <v>61.0</v>
      </c>
      <c r="C16" s="52">
        <v>0.894</v>
      </c>
      <c r="D16" s="8">
        <f t="shared" si="1"/>
        <v>-1.009262288</v>
      </c>
      <c r="E16" s="45">
        <v>3.31</v>
      </c>
      <c r="F16" s="8">
        <f t="shared" si="2"/>
        <v>-0.627125955</v>
      </c>
      <c r="G16" s="46">
        <v>1826.0</v>
      </c>
      <c r="H16" s="47">
        <f t="shared" si="3"/>
        <v>32.49216785</v>
      </c>
      <c r="I16" s="8">
        <f t="shared" si="4"/>
        <v>0.2455282126</v>
      </c>
      <c r="J16" s="8"/>
      <c r="K16" s="9">
        <f t="shared" si="5"/>
        <v>-1.636388243</v>
      </c>
    </row>
    <row r="17">
      <c r="A17" s="6" t="s">
        <v>29</v>
      </c>
      <c r="B17" s="12">
        <v>62.0</v>
      </c>
      <c r="C17" s="44">
        <v>0.924</v>
      </c>
      <c r="D17" s="8">
        <f t="shared" si="1"/>
        <v>1.319804531</v>
      </c>
      <c r="E17" s="45">
        <v>2.33</v>
      </c>
      <c r="F17" s="8">
        <f t="shared" si="2"/>
        <v>0.9901988764</v>
      </c>
      <c r="G17" s="46">
        <v>1838.0</v>
      </c>
      <c r="H17" s="47">
        <f t="shared" si="3"/>
        <v>32.22146638</v>
      </c>
      <c r="I17" s="8">
        <f t="shared" si="4"/>
        <v>0.1616257323</v>
      </c>
      <c r="J17" s="8"/>
      <c r="K17" s="9">
        <f t="shared" si="5"/>
        <v>2.310003407</v>
      </c>
    </row>
    <row r="18">
      <c r="A18" s="6" t="s">
        <v>30</v>
      </c>
      <c r="B18" s="29">
        <v>39.0</v>
      </c>
      <c r="C18" s="52">
        <v>0.894</v>
      </c>
      <c r="D18" s="8">
        <f t="shared" si="1"/>
        <v>-1.009262288</v>
      </c>
      <c r="E18" s="45">
        <v>3.66</v>
      </c>
      <c r="F18" s="8">
        <f t="shared" si="2"/>
        <v>-1.204741966</v>
      </c>
      <c r="G18" s="46">
        <v>1248.0</v>
      </c>
      <c r="H18" s="47">
        <f t="shared" si="3"/>
        <v>33.72217586</v>
      </c>
      <c r="I18" s="8">
        <f t="shared" si="4"/>
        <v>0.6267626533</v>
      </c>
      <c r="J18" s="8"/>
      <c r="K18" s="9">
        <f t="shared" si="5"/>
        <v>-2.214004254</v>
      </c>
    </row>
    <row r="19">
      <c r="A19" s="6" t="s">
        <v>31</v>
      </c>
      <c r="B19" s="12">
        <v>39.0</v>
      </c>
      <c r="C19" s="44">
        <v>0.914</v>
      </c>
      <c r="D19" s="8">
        <f t="shared" si="1"/>
        <v>0.5434489243</v>
      </c>
      <c r="E19" s="45">
        <v>2.85</v>
      </c>
      <c r="F19" s="8">
        <f t="shared" si="2"/>
        <v>0.1320265168</v>
      </c>
      <c r="G19" s="46">
        <v>1206.0</v>
      </c>
      <c r="H19" s="47">
        <f t="shared" si="3"/>
        <v>32.58729494</v>
      </c>
      <c r="I19" s="8">
        <f t="shared" si="4"/>
        <v>0.2750123487</v>
      </c>
      <c r="J19" s="8"/>
      <c r="K19" s="9">
        <f t="shared" si="5"/>
        <v>0.6754754412</v>
      </c>
    </row>
    <row r="20">
      <c r="A20" s="6" t="s">
        <v>32</v>
      </c>
      <c r="B20" s="29">
        <v>33.0</v>
      </c>
      <c r="C20" s="52">
        <v>0.892</v>
      </c>
      <c r="D20" s="8">
        <f t="shared" si="1"/>
        <v>-1.164533409</v>
      </c>
      <c r="E20" s="45">
        <v>3.58</v>
      </c>
      <c r="F20" s="8">
        <f t="shared" si="2"/>
        <v>-1.072715449</v>
      </c>
      <c r="G20" s="46">
        <v>1054.0</v>
      </c>
      <c r="H20" s="47">
        <f t="shared" si="3"/>
        <v>33.38795965</v>
      </c>
      <c r="I20" s="8">
        <f t="shared" si="4"/>
        <v>0.5231741157</v>
      </c>
      <c r="J20" s="8"/>
      <c r="K20" s="9">
        <f t="shared" si="5"/>
        <v>-2.237248859</v>
      </c>
    </row>
    <row r="21">
      <c r="A21" s="6" t="s">
        <v>33</v>
      </c>
      <c r="B21" s="29">
        <v>32.0</v>
      </c>
      <c r="C21" s="52">
        <v>0.902</v>
      </c>
      <c r="D21" s="8">
        <f t="shared" si="1"/>
        <v>-0.3881778031</v>
      </c>
      <c r="E21" s="45">
        <v>3.16</v>
      </c>
      <c r="F21" s="8">
        <f t="shared" si="2"/>
        <v>-0.3795762359</v>
      </c>
      <c r="G21" s="46">
        <v>1005.0</v>
      </c>
      <c r="H21" s="47">
        <f t="shared" si="3"/>
        <v>32.78653783</v>
      </c>
      <c r="I21" s="8">
        <f t="shared" si="4"/>
        <v>0.3367666224</v>
      </c>
      <c r="J21" s="8"/>
      <c r="K21" s="9">
        <f t="shared" si="5"/>
        <v>-0.767754039</v>
      </c>
    </row>
    <row r="22">
      <c r="A22" s="6" t="s">
        <v>34</v>
      </c>
      <c r="B22" s="29">
        <v>5.0</v>
      </c>
      <c r="C22" s="52">
        <v>0.9</v>
      </c>
      <c r="D22" s="8">
        <f t="shared" si="1"/>
        <v>-0.5434489243</v>
      </c>
      <c r="E22" s="45">
        <v>3.14</v>
      </c>
      <c r="F22" s="8">
        <f t="shared" si="2"/>
        <v>-0.3465696067</v>
      </c>
      <c r="G22" s="29">
        <v>130.0</v>
      </c>
      <c r="H22" s="47">
        <f t="shared" si="3"/>
        <v>26.17532098</v>
      </c>
      <c r="I22" s="8">
        <f t="shared" si="4"/>
        <v>-1.712344878</v>
      </c>
      <c r="J22" s="8"/>
      <c r="K22" s="9">
        <f t="shared" si="5"/>
        <v>-0.8900185311</v>
      </c>
    </row>
    <row r="23">
      <c r="A23" s="6" t="s">
        <v>35</v>
      </c>
      <c r="B23" s="29">
        <v>12.0</v>
      </c>
      <c r="C23" s="52">
        <v>0.899</v>
      </c>
      <c r="D23" s="8">
        <f t="shared" si="1"/>
        <v>-0.621084485</v>
      </c>
      <c r="E23" s="45">
        <v>3.07</v>
      </c>
      <c r="F23" s="8">
        <f t="shared" si="2"/>
        <v>-0.2310464045</v>
      </c>
      <c r="G23" s="29">
        <v>327.0</v>
      </c>
      <c r="H23" s="47">
        <f t="shared" si="3"/>
        <v>27.69308316</v>
      </c>
      <c r="I23" s="8">
        <f t="shared" si="4"/>
        <v>-1.241922562</v>
      </c>
      <c r="J23" s="8"/>
      <c r="K23" s="9">
        <f t="shared" si="5"/>
        <v>-0.8521308894</v>
      </c>
    </row>
    <row r="24">
      <c r="A24" s="6" t="s">
        <v>36</v>
      </c>
      <c r="B24" s="29">
        <v>47.0</v>
      </c>
      <c r="C24" s="52">
        <v>0.91</v>
      </c>
      <c r="D24" s="8">
        <f t="shared" si="1"/>
        <v>0.2329066819</v>
      </c>
      <c r="E24" s="45">
        <v>2.9</v>
      </c>
      <c r="F24" s="8">
        <f t="shared" si="2"/>
        <v>0.04950994382</v>
      </c>
      <c r="G24" s="29">
        <v>1414.0</v>
      </c>
      <c r="H24" s="47">
        <f t="shared" si="3"/>
        <v>32.04697422</v>
      </c>
      <c r="I24" s="8">
        <f t="shared" si="4"/>
        <v>0.1075428135</v>
      </c>
      <c r="J24" s="8"/>
      <c r="K24" s="9">
        <f t="shared" si="5"/>
        <v>0.2824166257</v>
      </c>
    </row>
    <row r="25">
      <c r="A25" s="6" t="s">
        <v>37</v>
      </c>
      <c r="B25" s="29">
        <v>27.0</v>
      </c>
      <c r="C25" s="52">
        <v>0.907</v>
      </c>
      <c r="D25" s="8">
        <f t="shared" si="1"/>
        <v>0</v>
      </c>
      <c r="E25" s="45">
        <v>3.37</v>
      </c>
      <c r="F25" s="8">
        <f t="shared" si="2"/>
        <v>-0.7261458427</v>
      </c>
      <c r="G25" s="29">
        <v>960.0</v>
      </c>
      <c r="H25" s="47">
        <f t="shared" si="3"/>
        <v>36.86958729</v>
      </c>
      <c r="I25" s="8">
        <f t="shared" si="4"/>
        <v>1.602286085</v>
      </c>
      <c r="J25" s="8"/>
      <c r="K25" s="9">
        <f t="shared" si="5"/>
        <v>-0.6261458427</v>
      </c>
    </row>
    <row r="26">
      <c r="A26" s="6" t="s">
        <v>38</v>
      </c>
      <c r="B26" s="29">
        <v>59.0</v>
      </c>
      <c r="C26" s="52">
        <v>0.892</v>
      </c>
      <c r="D26" s="8">
        <f t="shared" si="1"/>
        <v>-1.164533409</v>
      </c>
      <c r="E26" s="45">
        <v>2.92</v>
      </c>
      <c r="F26" s="8">
        <f t="shared" si="2"/>
        <v>0.01650331461</v>
      </c>
      <c r="G26" s="29">
        <v>1542.0</v>
      </c>
      <c r="H26" s="47">
        <f t="shared" si="3"/>
        <v>28.29258601</v>
      </c>
      <c r="I26" s="8">
        <f t="shared" si="4"/>
        <v>-1.056109844</v>
      </c>
      <c r="J26" s="8"/>
      <c r="K26" s="9">
        <f t="shared" si="5"/>
        <v>-1.148030095</v>
      </c>
    </row>
    <row r="27">
      <c r="A27" s="6" t="s">
        <v>39</v>
      </c>
      <c r="B27" s="29">
        <v>53.0</v>
      </c>
      <c r="C27" s="52">
        <v>0.899</v>
      </c>
      <c r="D27" s="8">
        <f t="shared" si="1"/>
        <v>-0.621084485</v>
      </c>
      <c r="E27" s="45">
        <v>3.99</v>
      </c>
      <c r="F27" s="8">
        <f t="shared" si="2"/>
        <v>-1.749351348</v>
      </c>
      <c r="G27" s="29">
        <v>1983.0</v>
      </c>
      <c r="H27" s="47">
        <f t="shared" si="3"/>
        <v>40.17766799</v>
      </c>
      <c r="I27" s="8">
        <f t="shared" si="4"/>
        <v>2.627608105</v>
      </c>
      <c r="J27" s="8"/>
      <c r="K27" s="9">
        <f t="shared" si="5"/>
        <v>-2.270435833</v>
      </c>
    </row>
    <row r="28">
      <c r="A28" s="6" t="s">
        <v>40</v>
      </c>
      <c r="B28" s="12">
        <v>39.0</v>
      </c>
      <c r="C28" s="44">
        <v>0.931</v>
      </c>
      <c r="D28" s="8">
        <f t="shared" si="1"/>
        <v>1.863253455</v>
      </c>
      <c r="E28" s="45">
        <v>2.1</v>
      </c>
      <c r="F28" s="8">
        <f t="shared" si="2"/>
        <v>1.369775112</v>
      </c>
      <c r="G28" s="29">
        <v>1173.0</v>
      </c>
      <c r="H28" s="47">
        <f t="shared" si="3"/>
        <v>31.69560279</v>
      </c>
      <c r="I28" s="8">
        <f t="shared" si="4"/>
        <v>-0.001362890646</v>
      </c>
      <c r="J28" s="8"/>
      <c r="K28" s="9">
        <f t="shared" si="5"/>
        <v>3.233028567</v>
      </c>
    </row>
    <row r="29">
      <c r="A29" s="6" t="s">
        <v>41</v>
      </c>
      <c r="B29" s="12">
        <v>15.0</v>
      </c>
      <c r="C29" s="44">
        <v>0.914</v>
      </c>
      <c r="D29" s="8">
        <f t="shared" si="1"/>
        <v>0.5434489243</v>
      </c>
      <c r="E29" s="45">
        <v>2.82</v>
      </c>
      <c r="F29" s="8">
        <f t="shared" si="2"/>
        <v>0.1815364607</v>
      </c>
      <c r="G29" s="29">
        <v>488.0</v>
      </c>
      <c r="H29" s="47">
        <f t="shared" si="3"/>
        <v>33.19590913</v>
      </c>
      <c r="I29" s="8">
        <f t="shared" si="4"/>
        <v>0.4636490772</v>
      </c>
      <c r="J29" s="8"/>
      <c r="K29" s="9">
        <f t="shared" si="5"/>
        <v>0.724985385</v>
      </c>
    </row>
    <row r="30">
      <c r="A30" s="6" t="s">
        <v>42</v>
      </c>
      <c r="B30" s="29">
        <v>22.0</v>
      </c>
      <c r="C30" s="52">
        <v>0.893</v>
      </c>
      <c r="D30" s="8">
        <f t="shared" si="1"/>
        <v>-1.086897849</v>
      </c>
      <c r="E30" s="45">
        <v>3.2</v>
      </c>
      <c r="F30" s="8">
        <f t="shared" si="2"/>
        <v>-0.4455894944</v>
      </c>
      <c r="G30" s="29">
        <v>563.0</v>
      </c>
      <c r="H30" s="47">
        <f t="shared" si="3"/>
        <v>26.35893465</v>
      </c>
      <c r="I30" s="8">
        <f t="shared" si="4"/>
        <v>-1.655434798</v>
      </c>
      <c r="J30" s="8"/>
      <c r="K30" s="9">
        <f t="shared" si="5"/>
        <v>-1.532487343</v>
      </c>
    </row>
    <row r="31">
      <c r="A31" s="6" t="s">
        <v>43</v>
      </c>
      <c r="B31" s="29">
        <v>19.0</v>
      </c>
      <c r="C31" s="52">
        <v>0.901</v>
      </c>
      <c r="D31" s="8">
        <f t="shared" si="1"/>
        <v>-0.4658133637</v>
      </c>
      <c r="E31" s="45">
        <v>3.78</v>
      </c>
      <c r="F31" s="8">
        <f t="shared" si="2"/>
        <v>-1.402781742</v>
      </c>
      <c r="G31" s="29">
        <v>679.0</v>
      </c>
      <c r="H31" s="47">
        <f t="shared" si="3"/>
        <v>36.66123677</v>
      </c>
      <c r="I31" s="8">
        <f t="shared" si="4"/>
        <v>1.537708949</v>
      </c>
      <c r="J31" s="8"/>
      <c r="K31" s="9">
        <f t="shared" si="5"/>
        <v>-1.768595105</v>
      </c>
    </row>
    <row r="32">
      <c r="A32" s="6" t="s">
        <v>44</v>
      </c>
      <c r="B32" s="29">
        <v>24.0</v>
      </c>
      <c r="C32" s="52">
        <v>0.909</v>
      </c>
      <c r="D32" s="8">
        <f t="shared" si="1"/>
        <v>0.1552711212</v>
      </c>
      <c r="E32" s="45">
        <v>2.44</v>
      </c>
      <c r="F32" s="8">
        <f t="shared" si="2"/>
        <v>0.8086624157</v>
      </c>
      <c r="G32" s="29">
        <v>627.0</v>
      </c>
      <c r="H32" s="47">
        <f t="shared" si="3"/>
        <v>26.98148855</v>
      </c>
      <c r="I32" s="8">
        <f t="shared" si="4"/>
        <v>-1.462477529</v>
      </c>
      <c r="J32" s="8"/>
      <c r="K32" s="9">
        <f t="shared" si="5"/>
        <v>0.9639335369</v>
      </c>
    </row>
    <row r="33">
      <c r="A33" s="6" t="s">
        <v>45</v>
      </c>
      <c r="B33" s="29">
        <v>40.0</v>
      </c>
      <c r="C33" s="52">
        <v>0.901</v>
      </c>
      <c r="D33" s="8">
        <f t="shared" si="1"/>
        <v>-0.4658133637</v>
      </c>
      <c r="E33" s="45">
        <v>3.42</v>
      </c>
      <c r="F33" s="8">
        <f t="shared" si="2"/>
        <v>-0.8086624157</v>
      </c>
      <c r="G33" s="29">
        <v>1345.0</v>
      </c>
      <c r="H33" s="47">
        <f t="shared" si="3"/>
        <v>35.48228968</v>
      </c>
      <c r="I33" s="8">
        <f t="shared" si="4"/>
        <v>1.17230057</v>
      </c>
      <c r="J33" s="8"/>
      <c r="K33" s="9">
        <f t="shared" si="5"/>
        <v>-1.174475779</v>
      </c>
    </row>
    <row r="34">
      <c r="A34" s="6" t="s">
        <v>46</v>
      </c>
      <c r="B34" s="12">
        <v>49.0</v>
      </c>
      <c r="C34" s="44">
        <v>0.938</v>
      </c>
      <c r="D34" s="8">
        <f t="shared" si="1"/>
        <v>2.406702379</v>
      </c>
      <c r="E34" s="45">
        <v>1.89</v>
      </c>
      <c r="F34" s="8">
        <f t="shared" si="2"/>
        <v>1.716344719</v>
      </c>
      <c r="G34" s="29">
        <v>1457.0</v>
      </c>
      <c r="H34" s="47">
        <f t="shared" si="3"/>
        <v>31.75897068</v>
      </c>
      <c r="I34" s="8">
        <f t="shared" si="4"/>
        <v>0.01827764999</v>
      </c>
      <c r="J34" s="8"/>
      <c r="K34" s="9">
        <f t="shared" si="5"/>
        <v>4.123047098</v>
      </c>
    </row>
    <row r="35">
      <c r="A35" s="6" t="s">
        <v>47</v>
      </c>
      <c r="B35" s="29">
        <v>30.0</v>
      </c>
      <c r="C35" s="52">
        <v>0.876</v>
      </c>
      <c r="D35" s="8">
        <f t="shared" si="1"/>
        <v>-2.406702379</v>
      </c>
      <c r="E35" s="45">
        <v>4.23</v>
      </c>
      <c r="F35" s="8">
        <f t="shared" si="2"/>
        <v>-2.145430899</v>
      </c>
      <c r="G35" s="29">
        <v>889.0</v>
      </c>
      <c r="H35" s="47">
        <f t="shared" si="3"/>
        <v>30.85265298</v>
      </c>
      <c r="I35" s="8">
        <f t="shared" si="4"/>
        <v>-0.2626307019</v>
      </c>
      <c r="J35" s="8"/>
      <c r="K35" s="9">
        <f t="shared" si="5"/>
        <v>-4.552133278</v>
      </c>
    </row>
    <row r="36">
      <c r="A36" s="6" t="s">
        <v>48</v>
      </c>
      <c r="B36" s="29">
        <v>46.0</v>
      </c>
      <c r="C36" s="52">
        <v>0.908</v>
      </c>
      <c r="D36" s="8">
        <f t="shared" si="1"/>
        <v>0.07763556062</v>
      </c>
      <c r="E36" s="45">
        <v>2.85</v>
      </c>
      <c r="F36" s="8">
        <f t="shared" si="2"/>
        <v>0.1320265168</v>
      </c>
      <c r="G36" s="29">
        <v>1367.0</v>
      </c>
      <c r="H36" s="47">
        <f t="shared" si="3"/>
        <v>31.61276106</v>
      </c>
      <c r="I36" s="8">
        <f t="shared" si="4"/>
        <v>-0.027039247</v>
      </c>
      <c r="J36" s="8"/>
      <c r="K36" s="9">
        <f t="shared" si="5"/>
        <v>0.2096620775</v>
      </c>
    </row>
    <row r="37">
      <c r="A37" s="6" t="s">
        <v>49</v>
      </c>
      <c r="B37" s="29">
        <v>15.0</v>
      </c>
      <c r="C37" s="52">
        <v>0.895</v>
      </c>
      <c r="D37" s="8">
        <f t="shared" si="1"/>
        <v>-0.9316267274</v>
      </c>
      <c r="E37" s="45">
        <v>3.53</v>
      </c>
      <c r="F37" s="8">
        <f t="shared" si="2"/>
        <v>-0.9901988764</v>
      </c>
      <c r="G37" s="29">
        <v>466.0</v>
      </c>
      <c r="H37" s="47">
        <f t="shared" si="3"/>
        <v>31.69937224</v>
      </c>
      <c r="I37" s="8">
        <f t="shared" si="4"/>
        <v>-0.0001945712977</v>
      </c>
      <c r="J37" s="8"/>
      <c r="K37" s="9">
        <f t="shared" si="5"/>
        <v>-1.921825604</v>
      </c>
    </row>
    <row r="38">
      <c r="A38" s="6" t="s">
        <v>50</v>
      </c>
      <c r="B38" s="29">
        <v>50.0</v>
      </c>
      <c r="C38" s="52">
        <v>0.9</v>
      </c>
      <c r="D38" s="8">
        <f t="shared" si="1"/>
        <v>-0.5434489243</v>
      </c>
      <c r="E38" s="45">
        <v>3.41</v>
      </c>
      <c r="F38" s="8">
        <f t="shared" si="2"/>
        <v>-0.7921591011</v>
      </c>
      <c r="G38" s="29">
        <v>1670.0</v>
      </c>
      <c r="H38" s="47">
        <f t="shared" si="3"/>
        <v>35.72178458</v>
      </c>
      <c r="I38" s="8">
        <f t="shared" si="4"/>
        <v>1.246530738</v>
      </c>
      <c r="J38" s="8"/>
      <c r="K38" s="9">
        <f t="shared" si="5"/>
        <v>-1.235608025</v>
      </c>
    </row>
    <row r="39">
      <c r="A39" s="6" t="s">
        <v>51</v>
      </c>
      <c r="B39" s="29">
        <v>37.0</v>
      </c>
      <c r="C39" s="52">
        <v>0.883</v>
      </c>
      <c r="D39" s="8">
        <f t="shared" si="1"/>
        <v>-1.863253455</v>
      </c>
      <c r="E39" s="45">
        <v>3.85</v>
      </c>
      <c r="F39" s="8">
        <f t="shared" si="2"/>
        <v>-1.518304944</v>
      </c>
      <c r="G39" s="29">
        <v>1149.0</v>
      </c>
      <c r="H39" s="47">
        <f t="shared" si="3"/>
        <v>32.63746717</v>
      </c>
      <c r="I39" s="8">
        <f t="shared" si="4"/>
        <v>0.2905629642</v>
      </c>
      <c r="J39" s="8"/>
      <c r="K39" s="9">
        <f t="shared" si="5"/>
        <v>-3.381558399</v>
      </c>
    </row>
    <row r="40">
      <c r="A40" s="6" t="s">
        <v>52</v>
      </c>
      <c r="B40" s="29">
        <v>39.0</v>
      </c>
      <c r="C40" s="52">
        <v>0.895</v>
      </c>
      <c r="D40" s="8">
        <f t="shared" si="1"/>
        <v>-0.9316267274</v>
      </c>
      <c r="E40" s="45">
        <v>2.85</v>
      </c>
      <c r="F40" s="8">
        <f t="shared" si="2"/>
        <v>0.1320265168</v>
      </c>
      <c r="G40" s="29">
        <v>930.0</v>
      </c>
      <c r="H40" s="47">
        <f t="shared" si="3"/>
        <v>25.12950605</v>
      </c>
      <c r="I40" s="8">
        <f t="shared" si="4"/>
        <v>-2.036489653</v>
      </c>
      <c r="J40" s="8"/>
      <c r="K40" s="9">
        <f t="shared" si="5"/>
        <v>-0.7996002106</v>
      </c>
    </row>
    <row r="41">
      <c r="A41" s="6" t="s">
        <v>53</v>
      </c>
      <c r="B41" s="29">
        <v>42.0</v>
      </c>
      <c r="C41" s="52">
        <v>0.891</v>
      </c>
      <c r="D41" s="8">
        <f t="shared" si="1"/>
        <v>-1.24216897</v>
      </c>
      <c r="E41" s="45">
        <v>3.55</v>
      </c>
      <c r="F41" s="8">
        <f t="shared" si="2"/>
        <v>-1.023205506</v>
      </c>
      <c r="G41" s="29">
        <v>1335.0</v>
      </c>
      <c r="H41" s="47">
        <f t="shared" si="3"/>
        <v>33.63169739</v>
      </c>
      <c r="I41" s="8">
        <f t="shared" si="4"/>
        <v>0.5987193328</v>
      </c>
      <c r="J41" s="8"/>
      <c r="K41" s="9">
        <f t="shared" si="5"/>
        <v>-2.265374475</v>
      </c>
    </row>
    <row r="42">
      <c r="A42" s="6" t="s">
        <v>54</v>
      </c>
      <c r="B42" s="29">
        <v>57.0</v>
      </c>
      <c r="C42" s="52">
        <v>0.909</v>
      </c>
      <c r="D42" s="8">
        <f t="shared" si="1"/>
        <v>0.1552711212</v>
      </c>
      <c r="E42" s="45">
        <v>2.85</v>
      </c>
      <c r="F42" s="8">
        <f t="shared" si="2"/>
        <v>0.1320265168</v>
      </c>
      <c r="G42" s="29">
        <v>1674.0</v>
      </c>
      <c r="H42" s="47">
        <f t="shared" si="3"/>
        <v>31.70687303</v>
      </c>
      <c r="I42" s="8">
        <f t="shared" si="4"/>
        <v>0.002130258863</v>
      </c>
      <c r="J42" s="8"/>
      <c r="K42" s="9">
        <f t="shared" si="5"/>
        <v>0.2872976381</v>
      </c>
    </row>
    <row r="43">
      <c r="A43" s="6" t="s">
        <v>55</v>
      </c>
      <c r="B43" s="29">
        <v>21.0</v>
      </c>
      <c r="C43" s="52">
        <v>0.915</v>
      </c>
      <c r="D43" s="8">
        <f t="shared" si="1"/>
        <v>0.621084485</v>
      </c>
      <c r="E43" s="45">
        <v>2.72</v>
      </c>
      <c r="F43" s="8">
        <f t="shared" si="2"/>
        <v>0.3465696067</v>
      </c>
      <c r="G43" s="29">
        <v>603.0</v>
      </c>
      <c r="H43" s="47">
        <f t="shared" si="3"/>
        <v>29.53632262</v>
      </c>
      <c r="I43" s="8">
        <f t="shared" si="4"/>
        <v>-0.6706202955</v>
      </c>
      <c r="J43" s="8"/>
      <c r="K43" s="9">
        <f t="shared" si="5"/>
        <v>0.9676540917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7" t="s">
        <v>118</v>
      </c>
      <c r="C1" s="37" t="s">
        <v>132</v>
      </c>
      <c r="D1" s="41" t="s">
        <v>133</v>
      </c>
      <c r="E1" s="41" t="s">
        <v>134</v>
      </c>
      <c r="F1" s="41" t="s">
        <v>133</v>
      </c>
      <c r="G1" s="41" t="s">
        <v>135</v>
      </c>
      <c r="H1" s="41" t="s">
        <v>136</v>
      </c>
      <c r="I1" s="41" t="s">
        <v>133</v>
      </c>
    </row>
    <row r="2">
      <c r="A2" s="6" t="s">
        <v>9</v>
      </c>
      <c r="B2" s="12">
        <v>54.0</v>
      </c>
      <c r="C2" s="44">
        <v>0.913</v>
      </c>
      <c r="D2" s="20">
        <f t="shared" ref="D2:D22" si="1">(C2-0.908)/0.01735990687</f>
        <v>0.2880199783</v>
      </c>
      <c r="E2" s="56">
        <v>2.67</v>
      </c>
      <c r="F2" s="20">
        <f t="shared" ref="F2:F22" si="2">-(E2-2.9)/0.5899557168</f>
        <v>0.3898597699</v>
      </c>
      <c r="G2" s="57">
        <v>1566.0</v>
      </c>
      <c r="H2" s="58">
        <f t="shared" ref="H2:H22" si="3">(G2/B2)*1.001345^B2</f>
        <v>31.18312335</v>
      </c>
      <c r="I2" s="20">
        <f t="shared" ref="I2:I22" si="4">(H2-31.2)/2.822263261</f>
        <v>-0.005979829873</v>
      </c>
      <c r="K2" s="9">
        <f t="shared" ref="K2:K21" si="5">(D2+F2+IF((I2&gt;0.85),0.1))</f>
        <v>0.6778797482</v>
      </c>
    </row>
    <row r="3">
      <c r="A3" s="6" t="s">
        <v>10</v>
      </c>
      <c r="B3" s="29">
        <v>13.0</v>
      </c>
      <c r="C3" s="52">
        <v>0.913</v>
      </c>
      <c r="D3" s="20">
        <f t="shared" si="1"/>
        <v>0.2880199783</v>
      </c>
      <c r="E3" s="56">
        <v>2.86</v>
      </c>
      <c r="F3" s="20">
        <f t="shared" si="2"/>
        <v>0.06780169911</v>
      </c>
      <c r="G3" s="57">
        <v>367.0</v>
      </c>
      <c r="H3" s="58">
        <f t="shared" si="3"/>
        <v>28.72838742</v>
      </c>
      <c r="I3" s="20">
        <f t="shared" si="4"/>
        <v>-0.8757555041</v>
      </c>
      <c r="K3" s="9">
        <f t="shared" si="5"/>
        <v>0.3558216774</v>
      </c>
    </row>
    <row r="4">
      <c r="A4" s="6" t="s">
        <v>11</v>
      </c>
      <c r="B4" s="12">
        <v>48.0</v>
      </c>
      <c r="C4" s="44">
        <v>0.914</v>
      </c>
      <c r="D4" s="20">
        <f t="shared" si="1"/>
        <v>0.345623974</v>
      </c>
      <c r="E4" s="56">
        <v>2.53</v>
      </c>
      <c r="F4" s="20">
        <f t="shared" si="2"/>
        <v>0.6271657168</v>
      </c>
      <c r="G4" s="57">
        <v>1331.0</v>
      </c>
      <c r="H4" s="58">
        <f t="shared" si="3"/>
        <v>29.57713007</v>
      </c>
      <c r="I4" s="20">
        <f t="shared" si="4"/>
        <v>-0.5750242923</v>
      </c>
      <c r="K4" s="9">
        <f t="shared" si="5"/>
        <v>0.9727896907</v>
      </c>
    </row>
    <row r="5">
      <c r="A5" s="6" t="s">
        <v>12</v>
      </c>
      <c r="B5" s="12">
        <v>53.0</v>
      </c>
      <c r="C5" s="44">
        <v>0.935</v>
      </c>
      <c r="D5" s="20">
        <f t="shared" si="1"/>
        <v>1.555307883</v>
      </c>
      <c r="E5" s="56">
        <v>2.07</v>
      </c>
      <c r="F5" s="20">
        <f t="shared" si="2"/>
        <v>1.406885257</v>
      </c>
      <c r="G5" s="57">
        <v>1622.0</v>
      </c>
      <c r="H5" s="58">
        <f t="shared" si="3"/>
        <v>32.86342788</v>
      </c>
      <c r="I5" s="20">
        <f t="shared" si="4"/>
        <v>0.5893950092</v>
      </c>
      <c r="K5" s="9">
        <f t="shared" si="5"/>
        <v>2.962193139</v>
      </c>
    </row>
    <row r="6">
      <c r="A6" s="6" t="s">
        <v>13</v>
      </c>
      <c r="B6" s="12">
        <v>41.0</v>
      </c>
      <c r="C6" s="44">
        <v>0.914</v>
      </c>
      <c r="D6" s="20">
        <f t="shared" si="1"/>
        <v>0.345623974</v>
      </c>
      <c r="E6" s="56">
        <v>2.41</v>
      </c>
      <c r="F6" s="20">
        <f t="shared" si="2"/>
        <v>0.8305708141</v>
      </c>
      <c r="G6" s="57">
        <v>1111.0</v>
      </c>
      <c r="H6" s="58">
        <f t="shared" si="3"/>
        <v>28.63276442</v>
      </c>
      <c r="I6" s="20">
        <f t="shared" si="4"/>
        <v>-0.9096371757</v>
      </c>
      <c r="K6" s="9">
        <f t="shared" si="5"/>
        <v>1.176194788</v>
      </c>
    </row>
    <row r="7">
      <c r="A7" s="6" t="s">
        <v>14</v>
      </c>
      <c r="B7" s="29">
        <v>33.0</v>
      </c>
      <c r="C7" s="52">
        <v>0.898</v>
      </c>
      <c r="D7" s="20">
        <f t="shared" si="1"/>
        <v>-0.5760399566</v>
      </c>
      <c r="E7" s="56">
        <v>2.92</v>
      </c>
      <c r="F7" s="20">
        <f t="shared" si="2"/>
        <v>-0.03390084956</v>
      </c>
      <c r="G7" s="57">
        <v>832.0</v>
      </c>
      <c r="H7" s="58">
        <f t="shared" si="3"/>
        <v>26.35558105</v>
      </c>
      <c r="I7" s="20">
        <f t="shared" si="4"/>
        <v>-1.716501439</v>
      </c>
      <c r="K7" s="9">
        <f t="shared" si="5"/>
        <v>-0.6099408062</v>
      </c>
    </row>
    <row r="8">
      <c r="A8" s="6" t="s">
        <v>15</v>
      </c>
      <c r="B8" s="13">
        <v>67.0</v>
      </c>
      <c r="C8" s="59">
        <v>0.918</v>
      </c>
      <c r="D8" s="20">
        <f t="shared" si="1"/>
        <v>0.5760399566</v>
      </c>
      <c r="E8" s="56">
        <v>2.64</v>
      </c>
      <c r="F8" s="20">
        <f t="shared" si="2"/>
        <v>0.4407110442</v>
      </c>
      <c r="G8" s="57">
        <v>2107.0</v>
      </c>
      <c r="H8" s="58">
        <f t="shared" si="3"/>
        <v>34.41120528</v>
      </c>
      <c r="I8" s="20">
        <f t="shared" si="4"/>
        <v>1.137812099</v>
      </c>
      <c r="K8" s="9">
        <f t="shared" si="5"/>
        <v>1.116751001</v>
      </c>
    </row>
    <row r="9">
      <c r="A9" s="6" t="s">
        <v>16</v>
      </c>
      <c r="B9" s="29">
        <v>66.0</v>
      </c>
      <c r="C9" s="52">
        <v>0.91</v>
      </c>
      <c r="D9" s="20">
        <f t="shared" si="1"/>
        <v>0.1152079913</v>
      </c>
      <c r="E9" s="56">
        <v>2.97</v>
      </c>
      <c r="F9" s="20">
        <f t="shared" si="2"/>
        <v>-0.1186529734</v>
      </c>
      <c r="G9" s="57">
        <v>2155.0</v>
      </c>
      <c r="H9" s="58">
        <f t="shared" si="3"/>
        <v>35.68040349</v>
      </c>
      <c r="I9" s="20">
        <f t="shared" si="4"/>
        <v>1.587521458</v>
      </c>
      <c r="K9" s="9">
        <f t="shared" si="5"/>
        <v>0.09655501787</v>
      </c>
    </row>
    <row r="10">
      <c r="A10" s="6" t="s">
        <v>21</v>
      </c>
      <c r="B10" s="12">
        <v>44.0</v>
      </c>
      <c r="C10" s="44">
        <v>0.896</v>
      </c>
      <c r="D10" s="20">
        <f t="shared" si="1"/>
        <v>-0.6912479479</v>
      </c>
      <c r="E10" s="56">
        <v>3.02</v>
      </c>
      <c r="F10" s="20">
        <f t="shared" si="2"/>
        <v>-0.2034050973</v>
      </c>
      <c r="G10" s="57">
        <v>1145.0</v>
      </c>
      <c r="H10" s="58">
        <f t="shared" si="3"/>
        <v>27.6081362</v>
      </c>
      <c r="I10" s="20">
        <f t="shared" si="4"/>
        <v>-1.272689139</v>
      </c>
      <c r="K10" s="9">
        <f t="shared" si="5"/>
        <v>-0.8946530453</v>
      </c>
    </row>
    <row r="11">
      <c r="A11" s="6" t="s">
        <v>22</v>
      </c>
      <c r="B11" s="12">
        <v>63.0</v>
      </c>
      <c r="C11" s="44">
        <v>0.916</v>
      </c>
      <c r="D11" s="20">
        <f t="shared" si="1"/>
        <v>0.4608319653</v>
      </c>
      <c r="E11" s="56">
        <v>2.49</v>
      </c>
      <c r="F11" s="20">
        <f t="shared" si="2"/>
        <v>0.6949674159</v>
      </c>
      <c r="G11" s="57">
        <v>1868.0</v>
      </c>
      <c r="H11" s="58">
        <f t="shared" si="3"/>
        <v>32.27093433</v>
      </c>
      <c r="I11" s="20">
        <f t="shared" si="4"/>
        <v>0.3794594022</v>
      </c>
      <c r="K11" s="9">
        <f t="shared" si="5"/>
        <v>1.155799381</v>
      </c>
    </row>
    <row r="12">
      <c r="A12" s="6" t="s">
        <v>23</v>
      </c>
      <c r="B12" s="13">
        <v>5.0</v>
      </c>
      <c r="C12" s="59">
        <v>0.958</v>
      </c>
      <c r="D12" s="20">
        <f t="shared" si="1"/>
        <v>2.880199783</v>
      </c>
      <c r="E12" s="56">
        <v>1.22</v>
      </c>
      <c r="F12" s="20">
        <f t="shared" si="2"/>
        <v>2.847671363</v>
      </c>
      <c r="G12" s="57">
        <v>118.0</v>
      </c>
      <c r="H12" s="58">
        <f t="shared" si="3"/>
        <v>23.7591375</v>
      </c>
      <c r="I12" s="20">
        <f t="shared" si="4"/>
        <v>-2.636487743</v>
      </c>
      <c r="K12" s="9">
        <f t="shared" si="5"/>
        <v>5.727871146</v>
      </c>
    </row>
    <row r="13">
      <c r="A13" s="6" t="s">
        <v>25</v>
      </c>
      <c r="B13" s="13">
        <v>19.0</v>
      </c>
      <c r="C13" s="59">
        <v>0.914</v>
      </c>
      <c r="D13" s="20">
        <f t="shared" si="1"/>
        <v>0.345623974</v>
      </c>
      <c r="E13" s="56">
        <v>2.68</v>
      </c>
      <c r="F13" s="20">
        <f t="shared" si="2"/>
        <v>0.3729093451</v>
      </c>
      <c r="G13" s="57">
        <v>569.0</v>
      </c>
      <c r="H13" s="58">
        <f t="shared" si="3"/>
        <v>30.72200843</v>
      </c>
      <c r="I13" s="20">
        <f t="shared" si="4"/>
        <v>-0.1693646301</v>
      </c>
      <c r="K13" s="9">
        <f t="shared" si="5"/>
        <v>0.7185333191</v>
      </c>
    </row>
    <row r="14">
      <c r="A14" s="6" t="s">
        <v>26</v>
      </c>
      <c r="B14" s="13">
        <v>49.0</v>
      </c>
      <c r="C14" s="59">
        <v>0.911</v>
      </c>
      <c r="D14" s="20">
        <f t="shared" si="1"/>
        <v>0.172811987</v>
      </c>
      <c r="E14" s="56">
        <v>2.77</v>
      </c>
      <c r="F14" s="20">
        <f t="shared" si="2"/>
        <v>0.2203555221</v>
      </c>
      <c r="G14" s="57">
        <v>1488.0</v>
      </c>
      <c r="H14" s="58">
        <f t="shared" si="3"/>
        <v>32.43469346</v>
      </c>
      <c r="I14" s="20">
        <f t="shared" si="4"/>
        <v>0.4374834488</v>
      </c>
      <c r="K14" s="9">
        <f t="shared" si="5"/>
        <v>0.3931675091</v>
      </c>
    </row>
    <row r="15">
      <c r="A15" s="6" t="s">
        <v>27</v>
      </c>
      <c r="B15" s="13">
        <v>25.0</v>
      </c>
      <c r="C15" s="59">
        <v>0.906</v>
      </c>
      <c r="D15" s="20">
        <f t="shared" si="1"/>
        <v>-0.1152079913</v>
      </c>
      <c r="E15" s="56">
        <v>2.66</v>
      </c>
      <c r="F15" s="20">
        <f t="shared" si="2"/>
        <v>0.4068101947</v>
      </c>
      <c r="G15" s="57">
        <v>648.0</v>
      </c>
      <c r="H15" s="58">
        <f t="shared" si="3"/>
        <v>26.80577311</v>
      </c>
      <c r="I15" s="20">
        <f t="shared" si="4"/>
        <v>-1.556986887</v>
      </c>
      <c r="K15" s="9">
        <f t="shared" si="5"/>
        <v>0.2916022034</v>
      </c>
    </row>
    <row r="16">
      <c r="A16" s="6" t="s">
        <v>28</v>
      </c>
      <c r="B16" s="12">
        <v>37.0</v>
      </c>
      <c r="C16" s="44">
        <v>0.901</v>
      </c>
      <c r="D16" s="20">
        <f t="shared" si="1"/>
        <v>-0.4032279696</v>
      </c>
      <c r="E16" s="56">
        <v>3.13</v>
      </c>
      <c r="F16" s="20">
        <f t="shared" si="2"/>
        <v>-0.3898597699</v>
      </c>
      <c r="G16" s="57">
        <v>1135.0</v>
      </c>
      <c r="H16" s="58">
        <f t="shared" si="3"/>
        <v>32.23979568</v>
      </c>
      <c r="I16" s="20">
        <f t="shared" si="4"/>
        <v>0.3684261843</v>
      </c>
      <c r="K16" s="9">
        <f t="shared" si="5"/>
        <v>-0.7930877395</v>
      </c>
    </row>
    <row r="17">
      <c r="A17" s="6" t="s">
        <v>29</v>
      </c>
      <c r="B17" s="29">
        <v>52.0</v>
      </c>
      <c r="C17" s="52">
        <v>0.925</v>
      </c>
      <c r="D17" s="20">
        <f t="shared" si="1"/>
        <v>0.9792679262</v>
      </c>
      <c r="E17" s="56">
        <v>2.07</v>
      </c>
      <c r="F17" s="20">
        <f t="shared" si="2"/>
        <v>1.406885257</v>
      </c>
      <c r="G17" s="57">
        <v>1643.0</v>
      </c>
      <c r="H17" s="58">
        <f t="shared" si="3"/>
        <v>33.88350802</v>
      </c>
      <c r="I17" s="20">
        <f t="shared" si="4"/>
        <v>0.9508354722</v>
      </c>
      <c r="K17" s="9">
        <f t="shared" si="5"/>
        <v>2.486153183</v>
      </c>
    </row>
    <row r="18">
      <c r="A18" s="6" t="s">
        <v>30</v>
      </c>
      <c r="B18" s="13">
        <v>20.0</v>
      </c>
      <c r="C18" s="59">
        <v>0.889</v>
      </c>
      <c r="D18" s="20">
        <f t="shared" si="1"/>
        <v>-1.094475918</v>
      </c>
      <c r="E18" s="56">
        <v>3.34</v>
      </c>
      <c r="F18" s="20">
        <f t="shared" si="2"/>
        <v>-0.7458186902</v>
      </c>
      <c r="G18" s="57">
        <v>520.0</v>
      </c>
      <c r="H18" s="58">
        <f t="shared" si="3"/>
        <v>26.70840912</v>
      </c>
      <c r="I18" s="20">
        <f t="shared" si="4"/>
        <v>-1.591485439</v>
      </c>
      <c r="K18" s="9">
        <f t="shared" si="5"/>
        <v>-1.840294608</v>
      </c>
    </row>
    <row r="19">
      <c r="A19" s="6" t="s">
        <v>31</v>
      </c>
      <c r="B19" s="29">
        <v>22.0</v>
      </c>
      <c r="C19" s="52">
        <v>0.877</v>
      </c>
      <c r="D19" s="20">
        <f t="shared" si="1"/>
        <v>-1.785723865</v>
      </c>
      <c r="E19" s="56">
        <v>4.15</v>
      </c>
      <c r="F19" s="20">
        <f t="shared" si="2"/>
        <v>-2.118803097</v>
      </c>
      <c r="G19" s="57">
        <v>634.0</v>
      </c>
      <c r="H19" s="58">
        <f t="shared" si="3"/>
        <v>29.68306317</v>
      </c>
      <c r="I19" s="20">
        <f t="shared" si="4"/>
        <v>-0.5374894849</v>
      </c>
      <c r="K19" s="9">
        <f t="shared" si="5"/>
        <v>-3.904526963</v>
      </c>
    </row>
    <row r="20">
      <c r="A20" s="6" t="s">
        <v>32</v>
      </c>
      <c r="B20" s="13">
        <v>9.0</v>
      </c>
      <c r="C20" s="59">
        <v>0.917</v>
      </c>
      <c r="D20" s="20">
        <f t="shared" si="1"/>
        <v>0.5184359609</v>
      </c>
      <c r="E20" s="56">
        <v>2.74</v>
      </c>
      <c r="F20" s="20">
        <f t="shared" si="2"/>
        <v>0.2712067964</v>
      </c>
      <c r="G20" s="57">
        <v>277.0</v>
      </c>
      <c r="H20" s="58">
        <f t="shared" si="3"/>
        <v>31.15235348</v>
      </c>
      <c r="I20" s="20">
        <f t="shared" si="4"/>
        <v>-0.01688237947</v>
      </c>
      <c r="K20" s="9">
        <f t="shared" si="5"/>
        <v>0.7896427574</v>
      </c>
    </row>
    <row r="21">
      <c r="A21" s="6" t="s">
        <v>33</v>
      </c>
      <c r="B21" s="13">
        <v>64.0</v>
      </c>
      <c r="C21" s="59">
        <v>0.915</v>
      </c>
      <c r="D21" s="20">
        <f t="shared" si="1"/>
        <v>0.4032279696</v>
      </c>
      <c r="E21" s="56">
        <v>2.72</v>
      </c>
      <c r="F21" s="20">
        <f t="shared" si="2"/>
        <v>0.305107646</v>
      </c>
      <c r="G21" s="57">
        <v>1967.0</v>
      </c>
      <c r="H21" s="58">
        <f t="shared" si="3"/>
        <v>33.49525872</v>
      </c>
      <c r="I21" s="20">
        <f t="shared" si="4"/>
        <v>0.813268823</v>
      </c>
      <c r="K21" s="9">
        <f t="shared" si="5"/>
        <v>0.7083356156</v>
      </c>
    </row>
    <row r="22">
      <c r="A22" s="6" t="s">
        <v>34</v>
      </c>
      <c r="B22" s="13">
        <v>5.0</v>
      </c>
      <c r="C22" s="59">
        <v>0.85</v>
      </c>
      <c r="D22" s="20">
        <f t="shared" si="1"/>
        <v>-3.341031748</v>
      </c>
      <c r="E22" s="56">
        <v>4.3</v>
      </c>
      <c r="F22" s="20">
        <f t="shared" si="2"/>
        <v>-2.373059469</v>
      </c>
      <c r="G22" s="13">
        <v>140.0</v>
      </c>
      <c r="H22" s="58">
        <f t="shared" si="3"/>
        <v>28.18880721</v>
      </c>
      <c r="I22" s="20">
        <f t="shared" si="4"/>
        <v>-1.066942561</v>
      </c>
    </row>
    <row r="23">
      <c r="A23" s="6" t="s">
        <v>35</v>
      </c>
      <c r="B23" s="22"/>
      <c r="C23" s="60"/>
      <c r="D23" s="61"/>
      <c r="E23" s="61"/>
      <c r="F23" s="61"/>
      <c r="G23" s="22"/>
      <c r="H23" s="61"/>
      <c r="I23" s="61"/>
    </row>
    <row r="24">
      <c r="A24" s="6" t="s">
        <v>36</v>
      </c>
      <c r="B24" s="13">
        <v>58.0</v>
      </c>
      <c r="C24" s="59">
        <v>0.919</v>
      </c>
      <c r="D24" s="20">
        <f>(C24-0.908)/0.01735990687</f>
        <v>0.6336439523</v>
      </c>
      <c r="E24" s="56">
        <v>2.42</v>
      </c>
      <c r="F24" s="20">
        <f>-(E24-2.9)/0.5899557168</f>
        <v>0.8136203893</v>
      </c>
      <c r="G24" s="13">
        <v>1711.0</v>
      </c>
      <c r="H24" s="58">
        <f>(G24/B24)*1.001345^B24</f>
        <v>31.89176572</v>
      </c>
      <c r="I24" s="20">
        <f>(H24-31.2)/2.822263261</f>
        <v>0.2451102741</v>
      </c>
      <c r="K24" s="9">
        <f>(D24+F24+IF((I24&gt;0.85),0.1))</f>
        <v>1.447264342</v>
      </c>
    </row>
    <row r="25">
      <c r="A25" s="6" t="s">
        <v>37</v>
      </c>
      <c r="B25" s="22"/>
      <c r="C25" s="60"/>
      <c r="D25" s="61"/>
      <c r="E25" s="61"/>
      <c r="F25" s="61"/>
      <c r="G25" s="22"/>
      <c r="H25" s="61"/>
      <c r="I25" s="61"/>
    </row>
    <row r="26">
      <c r="A26" s="6" t="s">
        <v>38</v>
      </c>
      <c r="B26" s="12">
        <v>63.0</v>
      </c>
      <c r="C26" s="44">
        <v>0.922</v>
      </c>
      <c r="D26" s="20">
        <f t="shared" ref="D26:D28" si="6">(C26-0.908)/0.01735990687</f>
        <v>0.8064559392</v>
      </c>
      <c r="E26" s="56">
        <v>2.22</v>
      </c>
      <c r="F26" s="20">
        <f t="shared" ref="F26:F28" si="7">-(E26-2.9)/0.5899557168</f>
        <v>1.152628885</v>
      </c>
      <c r="G26" s="13">
        <v>1754.0</v>
      </c>
      <c r="H26" s="58">
        <f t="shared" ref="H26:H28" si="8">(G26/B26)*1.001345^B26</f>
        <v>30.301509</v>
      </c>
      <c r="I26" s="20">
        <f t="shared" ref="I26:I28" si="9">(H26-31.2)/2.822263261</f>
        <v>-0.318358323</v>
      </c>
      <c r="K26" s="9">
        <f t="shared" ref="K26:K28" si="10">(D26+F26+IF((I26&gt;0.85),0.1))</f>
        <v>1.959084824</v>
      </c>
    </row>
    <row r="27">
      <c r="A27" s="6" t="s">
        <v>39</v>
      </c>
      <c r="B27" s="13">
        <v>56.0</v>
      </c>
      <c r="C27" s="59">
        <v>0.904</v>
      </c>
      <c r="D27" s="20">
        <f t="shared" si="6"/>
        <v>-0.2304159826</v>
      </c>
      <c r="E27" s="56">
        <v>3.19</v>
      </c>
      <c r="F27" s="20">
        <f t="shared" si="7"/>
        <v>-0.4915623186</v>
      </c>
      <c r="G27" s="13">
        <v>1789.0</v>
      </c>
      <c r="H27" s="58">
        <f t="shared" si="8"/>
        <v>34.4438267</v>
      </c>
      <c r="I27" s="20">
        <f t="shared" si="9"/>
        <v>1.1493707</v>
      </c>
      <c r="K27" s="9">
        <f t="shared" si="10"/>
        <v>-0.6219783012</v>
      </c>
    </row>
    <row r="28">
      <c r="A28" s="6" t="s">
        <v>40</v>
      </c>
      <c r="B28" s="29">
        <v>18.0</v>
      </c>
      <c r="C28" s="52">
        <v>0.892</v>
      </c>
      <c r="D28" s="20">
        <f t="shared" si="6"/>
        <v>-0.9216639306</v>
      </c>
      <c r="E28" s="56">
        <v>3.55</v>
      </c>
      <c r="F28" s="20">
        <f t="shared" si="7"/>
        <v>-1.101777611</v>
      </c>
      <c r="G28" s="13">
        <v>574.0</v>
      </c>
      <c r="H28" s="58">
        <f t="shared" si="8"/>
        <v>32.66980876</v>
      </c>
      <c r="I28" s="20">
        <f t="shared" si="9"/>
        <v>0.5207908051</v>
      </c>
      <c r="K28" s="9">
        <f t="shared" si="10"/>
        <v>-2.023441541</v>
      </c>
    </row>
    <row r="29">
      <c r="A29" s="6" t="s">
        <v>41</v>
      </c>
      <c r="B29" s="23"/>
      <c r="C29" s="48"/>
      <c r="D29" s="61"/>
      <c r="E29" s="61"/>
      <c r="F29" s="61"/>
      <c r="G29" s="22"/>
      <c r="H29" s="61"/>
      <c r="I29" s="61"/>
    </row>
    <row r="30">
      <c r="A30" s="6" t="s">
        <v>42</v>
      </c>
      <c r="B30" s="13">
        <v>25.0</v>
      </c>
      <c r="C30" s="59">
        <v>0.892</v>
      </c>
      <c r="D30" s="20">
        <f>(C30-0.908)/0.01735990687</f>
        <v>-0.9216639306</v>
      </c>
      <c r="E30" s="56">
        <v>3.39</v>
      </c>
      <c r="F30" s="20">
        <f>-(E30-2.9)/0.5899557168</f>
        <v>-0.8305708141</v>
      </c>
      <c r="G30" s="13">
        <v>731.0</v>
      </c>
      <c r="H30" s="58">
        <f>(G30/B30)*1.001345^B30</f>
        <v>30.23922862</v>
      </c>
      <c r="I30" s="20">
        <f>(H30-31.2)/2.822263261</f>
        <v>-0.3404258544</v>
      </c>
      <c r="K30" s="9">
        <f>(D30+F30+IF((I30&gt;0.85),0.1))</f>
        <v>-1.752234745</v>
      </c>
    </row>
    <row r="31">
      <c r="A31" s="6" t="s">
        <v>43</v>
      </c>
      <c r="B31" s="22"/>
      <c r="C31" s="60"/>
      <c r="D31" s="61"/>
      <c r="E31" s="61"/>
      <c r="F31" s="61"/>
      <c r="G31" s="22"/>
      <c r="H31" s="61"/>
      <c r="I31" s="61"/>
    </row>
    <row r="32">
      <c r="A32" s="6" t="s">
        <v>44</v>
      </c>
      <c r="B32" s="22"/>
      <c r="C32" s="60"/>
      <c r="D32" s="61"/>
      <c r="E32" s="61"/>
      <c r="F32" s="61"/>
      <c r="G32" s="22"/>
      <c r="H32" s="61"/>
      <c r="I32" s="61"/>
    </row>
    <row r="33">
      <c r="A33" s="6" t="s">
        <v>45</v>
      </c>
      <c r="B33" s="13">
        <v>38.0</v>
      </c>
      <c r="C33" s="59">
        <v>0.892</v>
      </c>
      <c r="D33" s="20">
        <f t="shared" ref="D33:D43" si="11">(C33-0.908)/0.01735990687</f>
        <v>-0.9216639306</v>
      </c>
      <c r="E33" s="56">
        <v>3.77</v>
      </c>
      <c r="F33" s="20">
        <f t="shared" ref="F33:F43" si="12">-(E33-2.9)/0.5899557168</f>
        <v>-1.474686956</v>
      </c>
      <c r="G33" s="13">
        <v>1124.0</v>
      </c>
      <c r="H33" s="58">
        <f t="shared" ref="H33:H43" si="13">(G33/B33)*1.001345^B33</f>
        <v>31.12895858</v>
      </c>
      <c r="I33" s="20">
        <f t="shared" ref="I33:I43" si="14">(H33-31.2)/2.822263261</f>
        <v>-0.02517179011</v>
      </c>
      <c r="K33" s="9">
        <f t="shared" ref="K33:K43" si="15">(D33+F33+IF((I33&gt;0.85),0.1))</f>
        <v>-2.396350886</v>
      </c>
    </row>
    <row r="34">
      <c r="A34" s="6" t="s">
        <v>46</v>
      </c>
      <c r="B34" s="29">
        <v>41.0</v>
      </c>
      <c r="C34" s="52">
        <v>0.917</v>
      </c>
      <c r="D34" s="20">
        <f t="shared" si="11"/>
        <v>0.5184359609</v>
      </c>
      <c r="E34" s="56">
        <v>2.45</v>
      </c>
      <c r="F34" s="20">
        <f t="shared" si="12"/>
        <v>0.762769115</v>
      </c>
      <c r="G34" s="13">
        <v>1140.0</v>
      </c>
      <c r="H34" s="58">
        <f t="shared" si="13"/>
        <v>29.38015431</v>
      </c>
      <c r="I34" s="20">
        <f t="shared" si="14"/>
        <v>-0.6448178371</v>
      </c>
      <c r="K34" s="9">
        <f t="shared" si="15"/>
        <v>1.281205076</v>
      </c>
    </row>
    <row r="35">
      <c r="A35" s="6" t="s">
        <v>47</v>
      </c>
      <c r="B35" s="13">
        <v>59.0</v>
      </c>
      <c r="C35" s="59">
        <v>0.907</v>
      </c>
      <c r="D35" s="20">
        <f t="shared" si="11"/>
        <v>-0.05760399566</v>
      </c>
      <c r="E35" s="56">
        <v>3.22</v>
      </c>
      <c r="F35" s="20">
        <f t="shared" si="12"/>
        <v>-0.5424135929</v>
      </c>
      <c r="G35" s="13">
        <v>1920.0</v>
      </c>
      <c r="H35" s="58">
        <f t="shared" si="13"/>
        <v>35.22812265</v>
      </c>
      <c r="I35" s="20">
        <f t="shared" si="14"/>
        <v>1.427266801</v>
      </c>
      <c r="K35" s="9">
        <f t="shared" si="15"/>
        <v>-0.5000175886</v>
      </c>
    </row>
    <row r="36">
      <c r="A36" s="6" t="s">
        <v>48</v>
      </c>
      <c r="B36" s="12">
        <v>56.0</v>
      </c>
      <c r="C36" s="44">
        <v>0.908</v>
      </c>
      <c r="D36" s="20">
        <f t="shared" si="11"/>
        <v>0</v>
      </c>
      <c r="E36" s="56">
        <v>2.9</v>
      </c>
      <c r="F36" s="20">
        <f t="shared" si="12"/>
        <v>0</v>
      </c>
      <c r="G36" s="13">
        <v>1732.0</v>
      </c>
      <c r="H36" s="58">
        <f t="shared" si="13"/>
        <v>33.34639902</v>
      </c>
      <c r="I36" s="20">
        <f t="shared" si="14"/>
        <v>0.7605240261</v>
      </c>
      <c r="K36" s="9">
        <f t="shared" si="15"/>
        <v>0</v>
      </c>
    </row>
    <row r="37">
      <c r="A37" s="6" t="s">
        <v>49</v>
      </c>
      <c r="B37" s="13">
        <v>59.0</v>
      </c>
      <c r="C37" s="59">
        <v>0.901</v>
      </c>
      <c r="D37" s="20">
        <f t="shared" si="11"/>
        <v>-0.4032279696</v>
      </c>
      <c r="E37" s="56">
        <v>3.31</v>
      </c>
      <c r="F37" s="20">
        <f t="shared" si="12"/>
        <v>-0.6949674159</v>
      </c>
      <c r="G37" s="13">
        <v>1796.0</v>
      </c>
      <c r="H37" s="58">
        <f t="shared" si="13"/>
        <v>32.95297307</v>
      </c>
      <c r="I37" s="20">
        <f t="shared" si="14"/>
        <v>0.6211231571</v>
      </c>
      <c r="K37" s="9">
        <f t="shared" si="15"/>
        <v>-1.098195386</v>
      </c>
    </row>
    <row r="38">
      <c r="A38" s="6" t="s">
        <v>50</v>
      </c>
      <c r="B38" s="13">
        <v>52.0</v>
      </c>
      <c r="C38" s="59">
        <v>0.898</v>
      </c>
      <c r="D38" s="20">
        <f t="shared" si="11"/>
        <v>-0.5760399566</v>
      </c>
      <c r="E38" s="56">
        <v>3.68</v>
      </c>
      <c r="F38" s="20">
        <f t="shared" si="12"/>
        <v>-1.322133133</v>
      </c>
      <c r="G38" s="13">
        <v>1669.0</v>
      </c>
      <c r="H38" s="58">
        <f t="shared" si="13"/>
        <v>34.41970474</v>
      </c>
      <c r="I38" s="20">
        <f t="shared" si="14"/>
        <v>1.140823673</v>
      </c>
      <c r="K38" s="9">
        <f t="shared" si="15"/>
        <v>-1.798173089</v>
      </c>
    </row>
    <row r="39">
      <c r="A39" s="6" t="s">
        <v>51</v>
      </c>
      <c r="B39" s="13">
        <v>36.0</v>
      </c>
      <c r="C39" s="59">
        <v>0.912</v>
      </c>
      <c r="D39" s="20">
        <f t="shared" si="11"/>
        <v>0.2304159826</v>
      </c>
      <c r="E39" s="56">
        <v>2.87</v>
      </c>
      <c r="F39" s="20">
        <f t="shared" si="12"/>
        <v>0.05085127433</v>
      </c>
      <c r="G39" s="13">
        <v>1056.0</v>
      </c>
      <c r="H39" s="58">
        <f t="shared" si="13"/>
        <v>30.78759942</v>
      </c>
      <c r="I39" s="20">
        <f t="shared" si="14"/>
        <v>-0.1461240665</v>
      </c>
      <c r="K39" s="9">
        <f t="shared" si="15"/>
        <v>0.281267257</v>
      </c>
    </row>
    <row r="40">
      <c r="A40" s="6" t="s">
        <v>52</v>
      </c>
      <c r="B40" s="13">
        <v>55.0</v>
      </c>
      <c r="C40" s="59">
        <v>0.889</v>
      </c>
      <c r="D40" s="20">
        <f t="shared" si="11"/>
        <v>-1.094475918</v>
      </c>
      <c r="E40" s="56">
        <v>3.16</v>
      </c>
      <c r="F40" s="20">
        <f t="shared" si="12"/>
        <v>-0.4407110442</v>
      </c>
      <c r="G40" s="13">
        <v>1479.0</v>
      </c>
      <c r="H40" s="58">
        <f t="shared" si="13"/>
        <v>28.95415085</v>
      </c>
      <c r="I40" s="20">
        <f t="shared" si="14"/>
        <v>-0.7957617479</v>
      </c>
      <c r="K40" s="9">
        <f t="shared" si="15"/>
        <v>-1.535186962</v>
      </c>
    </row>
    <row r="41">
      <c r="A41" s="6" t="s">
        <v>53</v>
      </c>
      <c r="B41" s="13">
        <v>35.0</v>
      </c>
      <c r="C41" s="59">
        <v>0.905</v>
      </c>
      <c r="D41" s="20">
        <f t="shared" si="11"/>
        <v>-0.172811987</v>
      </c>
      <c r="E41" s="56">
        <v>3.3</v>
      </c>
      <c r="F41" s="20">
        <f t="shared" si="12"/>
        <v>-0.6780169911</v>
      </c>
      <c r="G41" s="13">
        <v>1123.0</v>
      </c>
      <c r="H41" s="58">
        <f t="shared" si="13"/>
        <v>33.63120189</v>
      </c>
      <c r="I41" s="20">
        <f t="shared" si="14"/>
        <v>0.8614369613</v>
      </c>
      <c r="K41" s="9">
        <f t="shared" si="15"/>
        <v>-0.7508289781</v>
      </c>
    </row>
    <row r="42">
      <c r="A42" s="6" t="s">
        <v>54</v>
      </c>
      <c r="B42" s="13">
        <v>57.0</v>
      </c>
      <c r="C42" s="59">
        <v>0.921</v>
      </c>
      <c r="D42" s="20">
        <f t="shared" si="11"/>
        <v>0.7488519436</v>
      </c>
      <c r="E42" s="56">
        <v>2.54</v>
      </c>
      <c r="F42" s="20">
        <f t="shared" si="12"/>
        <v>0.610215292</v>
      </c>
      <c r="G42" s="13">
        <v>1754.0</v>
      </c>
      <c r="H42" s="58">
        <f t="shared" si="13"/>
        <v>33.22213578</v>
      </c>
      <c r="I42" s="20">
        <f t="shared" si="14"/>
        <v>0.7164943847</v>
      </c>
      <c r="K42" s="9">
        <f t="shared" si="15"/>
        <v>1.359067236</v>
      </c>
    </row>
    <row r="43">
      <c r="A43" s="6" t="s">
        <v>55</v>
      </c>
      <c r="B43" s="13">
        <v>37.0</v>
      </c>
      <c r="C43" s="59">
        <v>0.91</v>
      </c>
      <c r="D43" s="20">
        <f t="shared" si="11"/>
        <v>0.1152079913</v>
      </c>
      <c r="E43" s="56">
        <v>3.14</v>
      </c>
      <c r="F43" s="20">
        <f t="shared" si="12"/>
        <v>-0.4068101947</v>
      </c>
      <c r="G43" s="13">
        <v>1218.0</v>
      </c>
      <c r="H43" s="58">
        <f t="shared" si="13"/>
        <v>34.59741951</v>
      </c>
      <c r="I43" s="20">
        <f t="shared" si="14"/>
        <v>1.203792558</v>
      </c>
      <c r="K43" s="9">
        <f t="shared" si="15"/>
        <v>-0.1916022034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7" t="s">
        <v>118</v>
      </c>
      <c r="C1" s="37" t="s">
        <v>132</v>
      </c>
      <c r="D1" s="41" t="s">
        <v>133</v>
      </c>
      <c r="E1" s="41" t="s">
        <v>134</v>
      </c>
      <c r="F1" s="41" t="s">
        <v>133</v>
      </c>
      <c r="G1" s="41" t="s">
        <v>135</v>
      </c>
      <c r="H1" s="41" t="s">
        <v>136</v>
      </c>
      <c r="I1" s="41" t="s">
        <v>133</v>
      </c>
    </row>
    <row r="2">
      <c r="A2" s="6" t="s">
        <v>9</v>
      </c>
      <c r="B2" s="29">
        <v>31.0</v>
      </c>
      <c r="C2" s="52">
        <v>0.906</v>
      </c>
      <c r="D2" s="20">
        <f>(C2-0.912)/0.01304349641</f>
        <v>-0.4599993599</v>
      </c>
      <c r="E2" s="45">
        <v>2.91</v>
      </c>
      <c r="F2" s="20">
        <f>-(E2-2.64)/0.4582724477</f>
        <v>-0.5891691751</v>
      </c>
      <c r="G2" s="57">
        <v>935.0</v>
      </c>
      <c r="H2" s="58">
        <f>(G2/B2)*1.001345^B2</f>
        <v>31.4445699</v>
      </c>
      <c r="I2" s="20">
        <f>(H2-29.1)/2.271213759</f>
        <v>1.032298211</v>
      </c>
      <c r="K2" s="9">
        <f>(D2+F2+IF((I2&gt;0.85),0.1))</f>
        <v>-0.9491685351</v>
      </c>
    </row>
    <row r="3">
      <c r="A3" s="6" t="s">
        <v>10</v>
      </c>
      <c r="B3" s="23"/>
      <c r="C3" s="48"/>
      <c r="D3" s="11"/>
      <c r="E3" s="11"/>
      <c r="F3" s="61"/>
      <c r="G3" s="62"/>
      <c r="H3" s="61"/>
      <c r="I3" s="61"/>
    </row>
    <row r="4">
      <c r="A4" s="6" t="s">
        <v>11</v>
      </c>
      <c r="B4" s="29">
        <v>29.0</v>
      </c>
      <c r="C4" s="52">
        <v>0.911</v>
      </c>
      <c r="D4" s="20">
        <f t="shared" ref="D4:D12" si="1">(C4-0.912)/0.01304349641</f>
        <v>-0.07666655999</v>
      </c>
      <c r="E4" s="45">
        <v>2.36</v>
      </c>
      <c r="F4" s="20">
        <f t="shared" ref="F4:F12" si="2">-(E4-2.64)/0.4582724477</f>
        <v>0.6109902557</v>
      </c>
      <c r="G4" s="57">
        <v>710.0</v>
      </c>
      <c r="H4" s="58">
        <f t="shared" ref="H4:H12" si="3">(G4/B4)*1.001345^B4</f>
        <v>25.45590991</v>
      </c>
      <c r="I4" s="20">
        <f t="shared" ref="I4:I12" si="4">(H4-29.1)/2.271213759</f>
        <v>-1.604468127</v>
      </c>
      <c r="K4" s="9">
        <f t="shared" ref="K4:K12" si="5">(D4+F4+IF((I4&gt;0.85),0.1))</f>
        <v>0.5343236957</v>
      </c>
    </row>
    <row r="5">
      <c r="A5" s="6" t="s">
        <v>12</v>
      </c>
      <c r="B5" s="29">
        <v>35.0</v>
      </c>
      <c r="C5" s="52">
        <v>0.916</v>
      </c>
      <c r="D5" s="20">
        <f t="shared" si="1"/>
        <v>0.30666624</v>
      </c>
      <c r="E5" s="45">
        <v>2.62</v>
      </c>
      <c r="F5" s="20">
        <f t="shared" si="2"/>
        <v>0.04364216112</v>
      </c>
      <c r="G5" s="57">
        <v>987.0</v>
      </c>
      <c r="H5" s="58">
        <f t="shared" si="3"/>
        <v>29.55832259</v>
      </c>
      <c r="I5" s="20">
        <f t="shared" si="4"/>
        <v>0.2017963229</v>
      </c>
      <c r="K5" s="9">
        <f t="shared" si="5"/>
        <v>0.3503084011</v>
      </c>
    </row>
    <row r="6">
      <c r="A6" s="6" t="s">
        <v>13</v>
      </c>
      <c r="B6" s="29">
        <v>10.0</v>
      </c>
      <c r="C6" s="52">
        <v>0.945</v>
      </c>
      <c r="D6" s="20">
        <f t="shared" si="1"/>
        <v>2.52999648</v>
      </c>
      <c r="E6" s="45">
        <v>1.5</v>
      </c>
      <c r="F6" s="20">
        <f t="shared" si="2"/>
        <v>2.487603184</v>
      </c>
      <c r="G6" s="57">
        <v>271.0</v>
      </c>
      <c r="H6" s="58">
        <f t="shared" si="3"/>
        <v>27.46670904</v>
      </c>
      <c r="I6" s="20">
        <f t="shared" si="4"/>
        <v>-0.7191269234</v>
      </c>
      <c r="K6" s="9">
        <f t="shared" si="5"/>
        <v>5.017599664</v>
      </c>
    </row>
    <row r="7">
      <c r="A7" s="6" t="s">
        <v>14</v>
      </c>
      <c r="B7" s="29">
        <v>19.0</v>
      </c>
      <c r="C7" s="52">
        <v>0.905</v>
      </c>
      <c r="D7" s="20">
        <f t="shared" si="1"/>
        <v>-0.5366659199</v>
      </c>
      <c r="E7" s="45">
        <v>2.71</v>
      </c>
      <c r="F7" s="20">
        <f t="shared" si="2"/>
        <v>-0.1527475639</v>
      </c>
      <c r="G7" s="57">
        <v>465.0</v>
      </c>
      <c r="H7" s="58">
        <f t="shared" si="3"/>
        <v>25.10673799</v>
      </c>
      <c r="I7" s="20">
        <f t="shared" si="4"/>
        <v>-1.758206153</v>
      </c>
      <c r="K7" s="9">
        <f t="shared" si="5"/>
        <v>-0.6894134839</v>
      </c>
    </row>
    <row r="8">
      <c r="A8" s="6" t="s">
        <v>15</v>
      </c>
      <c r="B8" s="29">
        <v>36.0</v>
      </c>
      <c r="C8" s="52">
        <v>0.927</v>
      </c>
      <c r="D8" s="20">
        <f t="shared" si="1"/>
        <v>1.1499984</v>
      </c>
      <c r="E8" s="45">
        <v>2.28</v>
      </c>
      <c r="F8" s="20">
        <f t="shared" si="2"/>
        <v>0.7855589002</v>
      </c>
      <c r="G8" s="57">
        <v>1073.0</v>
      </c>
      <c r="H8" s="58">
        <f t="shared" si="3"/>
        <v>31.28323312</v>
      </c>
      <c r="I8" s="20">
        <f t="shared" si="4"/>
        <v>0.9612627211</v>
      </c>
      <c r="K8" s="9">
        <f t="shared" si="5"/>
        <v>2.0355573</v>
      </c>
    </row>
    <row r="9">
      <c r="A9" s="6" t="s">
        <v>16</v>
      </c>
      <c r="B9" s="29">
        <v>45.0</v>
      </c>
      <c r="C9" s="52">
        <v>0.916</v>
      </c>
      <c r="D9" s="20">
        <f t="shared" si="1"/>
        <v>0.30666624</v>
      </c>
      <c r="E9" s="45">
        <v>2.58</v>
      </c>
      <c r="F9" s="20">
        <f t="shared" si="2"/>
        <v>0.1309264834</v>
      </c>
      <c r="G9" s="57">
        <v>1335.0</v>
      </c>
      <c r="H9" s="58">
        <f t="shared" si="3"/>
        <v>31.51641164</v>
      </c>
      <c r="I9" s="20">
        <f t="shared" si="4"/>
        <v>1.063929639</v>
      </c>
      <c r="K9" s="9">
        <f t="shared" si="5"/>
        <v>0.5375927233</v>
      </c>
    </row>
    <row r="10">
      <c r="A10" s="6" t="s">
        <v>21</v>
      </c>
      <c r="B10" s="29">
        <v>19.0</v>
      </c>
      <c r="C10" s="52">
        <v>0.902</v>
      </c>
      <c r="D10" s="20">
        <f t="shared" si="1"/>
        <v>-0.7666655999</v>
      </c>
      <c r="E10" s="45">
        <v>2.69</v>
      </c>
      <c r="F10" s="20">
        <f t="shared" si="2"/>
        <v>-0.1091054028</v>
      </c>
      <c r="G10" s="57">
        <v>499.0</v>
      </c>
      <c r="H10" s="58">
        <f t="shared" si="3"/>
        <v>26.94249948</v>
      </c>
      <c r="I10" s="20">
        <f t="shared" si="4"/>
        <v>-0.9499328322</v>
      </c>
      <c r="K10" s="9">
        <f t="shared" si="5"/>
        <v>-0.8757710027</v>
      </c>
    </row>
    <row r="11">
      <c r="A11" s="6" t="s">
        <v>22</v>
      </c>
      <c r="B11" s="29">
        <v>42.0</v>
      </c>
      <c r="C11" s="52">
        <v>0.925</v>
      </c>
      <c r="D11" s="20">
        <f t="shared" si="1"/>
        <v>0.9966652799</v>
      </c>
      <c r="E11" s="45">
        <v>2.21</v>
      </c>
      <c r="F11" s="20">
        <f t="shared" si="2"/>
        <v>0.9383064641</v>
      </c>
      <c r="G11" s="57">
        <v>1237.0</v>
      </c>
      <c r="H11" s="58">
        <f t="shared" si="3"/>
        <v>31.16285369</v>
      </c>
      <c r="I11" s="20">
        <f t="shared" si="4"/>
        <v>0.9082604756</v>
      </c>
      <c r="K11" s="9">
        <f t="shared" si="5"/>
        <v>2.034971744</v>
      </c>
    </row>
    <row r="12">
      <c r="A12" s="6" t="s">
        <v>23</v>
      </c>
      <c r="B12" s="29">
        <v>6.0</v>
      </c>
      <c r="C12" s="52">
        <v>0.888</v>
      </c>
      <c r="D12" s="20">
        <f t="shared" si="1"/>
        <v>-1.83999744</v>
      </c>
      <c r="E12" s="45">
        <v>3.33</v>
      </c>
      <c r="F12" s="20">
        <f t="shared" si="2"/>
        <v>-1.505654559</v>
      </c>
      <c r="G12" s="57">
        <v>178.0</v>
      </c>
      <c r="H12" s="58">
        <f t="shared" si="3"/>
        <v>29.90688313</v>
      </c>
      <c r="I12" s="20">
        <f t="shared" si="4"/>
        <v>0.3552651637</v>
      </c>
      <c r="K12" s="9">
        <f t="shared" si="5"/>
        <v>-3.345651998</v>
      </c>
    </row>
    <row r="13">
      <c r="A13" s="6" t="s">
        <v>25</v>
      </c>
      <c r="B13" s="23"/>
      <c r="C13" s="48"/>
      <c r="D13" s="11"/>
      <c r="E13" s="11"/>
      <c r="F13" s="61"/>
      <c r="G13" s="62"/>
      <c r="H13" s="61"/>
      <c r="I13" s="61"/>
    </row>
    <row r="14">
      <c r="A14" s="6" t="s">
        <v>26</v>
      </c>
      <c r="B14" s="29">
        <v>33.0</v>
      </c>
      <c r="C14" s="52">
        <v>0.915</v>
      </c>
      <c r="D14" s="20">
        <f t="shared" ref="D14:D19" si="6">(C14-0.912)/0.01304349641</f>
        <v>0.22999968</v>
      </c>
      <c r="E14" s="45">
        <v>2.63</v>
      </c>
      <c r="F14" s="20">
        <f t="shared" ref="F14:F19" si="7">-(E14-2.64)/0.4582724477</f>
        <v>0.02182108056</v>
      </c>
      <c r="G14" s="57">
        <v>1008.0</v>
      </c>
      <c r="H14" s="58">
        <f t="shared" ref="H14:H19" si="8">(G14/B14)*1.001345^B14</f>
        <v>31.93080012</v>
      </c>
      <c r="I14" s="20">
        <f t="shared" ref="I14:I19" si="9">(H14-29.1)/2.271213759</f>
        <v>1.246382076</v>
      </c>
      <c r="K14" s="9">
        <f t="shared" ref="K14:K19" si="10">(D14+F14+IF((I14&gt;0.85),0.1))</f>
        <v>0.3518207605</v>
      </c>
    </row>
    <row r="15">
      <c r="A15" s="6" t="s">
        <v>27</v>
      </c>
      <c r="B15" s="29">
        <v>19.0</v>
      </c>
      <c r="C15" s="52">
        <v>0.913</v>
      </c>
      <c r="D15" s="20">
        <f t="shared" si="6"/>
        <v>0.07666655999</v>
      </c>
      <c r="E15" s="45">
        <v>2.74</v>
      </c>
      <c r="F15" s="20">
        <f t="shared" si="7"/>
        <v>-0.2182108056</v>
      </c>
      <c r="G15" s="57">
        <v>530.0</v>
      </c>
      <c r="H15" s="58">
        <f t="shared" si="8"/>
        <v>28.61628201</v>
      </c>
      <c r="I15" s="20">
        <f t="shared" si="9"/>
        <v>-0.2129777454</v>
      </c>
      <c r="K15" s="9">
        <f t="shared" si="10"/>
        <v>-0.1415442456</v>
      </c>
    </row>
    <row r="16">
      <c r="A16" s="6" t="s">
        <v>28</v>
      </c>
      <c r="B16" s="29">
        <v>42.0</v>
      </c>
      <c r="C16" s="52">
        <v>0.91</v>
      </c>
      <c r="D16" s="20">
        <f t="shared" si="6"/>
        <v>-0.15333312</v>
      </c>
      <c r="E16" s="45">
        <v>2.65</v>
      </c>
      <c r="F16" s="20">
        <f t="shared" si="7"/>
        <v>-0.02182108056</v>
      </c>
      <c r="G16" s="57">
        <v>1200.0</v>
      </c>
      <c r="H16" s="58">
        <f t="shared" si="8"/>
        <v>30.23073923</v>
      </c>
      <c r="I16" s="20">
        <f t="shared" si="9"/>
        <v>0.4978568067</v>
      </c>
      <c r="K16" s="9">
        <f t="shared" si="10"/>
        <v>-0.1751542005</v>
      </c>
    </row>
    <row r="17">
      <c r="A17" s="6" t="s">
        <v>29</v>
      </c>
      <c r="B17" s="29">
        <v>22.0</v>
      </c>
      <c r="C17" s="52">
        <v>0.918</v>
      </c>
      <c r="D17" s="20">
        <f t="shared" si="6"/>
        <v>0.4599993599</v>
      </c>
      <c r="E17" s="45">
        <v>2.17</v>
      </c>
      <c r="F17" s="20">
        <f t="shared" si="7"/>
        <v>1.025590786</v>
      </c>
      <c r="G17" s="57">
        <v>563.0</v>
      </c>
      <c r="H17" s="58">
        <f t="shared" si="8"/>
        <v>26.35893465</v>
      </c>
      <c r="I17" s="20">
        <f t="shared" si="9"/>
        <v>-1.206872467</v>
      </c>
      <c r="K17" s="9">
        <f t="shared" si="10"/>
        <v>1.485590146</v>
      </c>
    </row>
    <row r="18">
      <c r="A18" s="6" t="s">
        <v>30</v>
      </c>
      <c r="B18" s="29">
        <v>12.0</v>
      </c>
      <c r="C18" s="52">
        <v>0.923</v>
      </c>
      <c r="D18" s="20">
        <f t="shared" si="6"/>
        <v>0.8433321599</v>
      </c>
      <c r="E18" s="45">
        <v>2.06</v>
      </c>
      <c r="F18" s="20">
        <f t="shared" si="7"/>
        <v>1.265622673</v>
      </c>
      <c r="G18" s="57">
        <v>298.0</v>
      </c>
      <c r="H18" s="58">
        <f t="shared" si="8"/>
        <v>25.23712166</v>
      </c>
      <c r="I18" s="20">
        <f t="shared" si="9"/>
        <v>-1.700799111</v>
      </c>
      <c r="K18" s="9">
        <f t="shared" si="10"/>
        <v>2.108954832</v>
      </c>
    </row>
    <row r="19">
      <c r="A19" s="6" t="s">
        <v>31</v>
      </c>
      <c r="B19" s="29">
        <v>33.0</v>
      </c>
      <c r="C19" s="52">
        <v>0.894</v>
      </c>
      <c r="D19" s="20">
        <f t="shared" si="6"/>
        <v>-1.37999808</v>
      </c>
      <c r="E19" s="45">
        <v>3.3</v>
      </c>
      <c r="F19" s="20">
        <f t="shared" si="7"/>
        <v>-1.440191317</v>
      </c>
      <c r="G19" s="57">
        <v>904.0</v>
      </c>
      <c r="H19" s="58">
        <f t="shared" si="8"/>
        <v>28.63635249</v>
      </c>
      <c r="I19" s="20">
        <f t="shared" si="9"/>
        <v>-0.2041408517</v>
      </c>
      <c r="K19" s="9">
        <f t="shared" si="10"/>
        <v>-2.820189397</v>
      </c>
    </row>
    <row r="20">
      <c r="A20" s="6" t="s">
        <v>32</v>
      </c>
      <c r="B20" s="23"/>
      <c r="C20" s="48"/>
      <c r="D20" s="11"/>
      <c r="E20" s="11"/>
      <c r="F20" s="61"/>
      <c r="G20" s="62"/>
      <c r="H20" s="61"/>
      <c r="I20" s="61"/>
    </row>
    <row r="21">
      <c r="A21" s="6" t="s">
        <v>33</v>
      </c>
      <c r="B21" s="29">
        <v>35.0</v>
      </c>
      <c r="C21" s="52">
        <v>0.915</v>
      </c>
      <c r="D21" s="20">
        <f t="shared" ref="D21:D22" si="11">(C21-0.912)/0.01304349641</f>
        <v>0.22999968</v>
      </c>
      <c r="E21" s="45">
        <v>2.85</v>
      </c>
      <c r="F21" s="20">
        <f t="shared" ref="F21:F22" si="12">-(E21-2.64)/0.4582724477</f>
        <v>-0.4582426918</v>
      </c>
      <c r="G21" s="57">
        <v>1164.0</v>
      </c>
      <c r="H21" s="58">
        <f t="shared" ref="H21:H22" si="13">(G21/B21)*1.001345^B21</f>
        <v>34.85905521</v>
      </c>
      <c r="I21" s="20">
        <f t="shared" ref="I21:I22" si="14">(H21-29.1)/2.271213759</f>
        <v>2.535672912</v>
      </c>
      <c r="K21" s="9">
        <f t="shared" ref="K21:K22" si="15">(D21+F21+IF((I21&gt;0.85),0.1))</f>
        <v>-0.1282430118</v>
      </c>
    </row>
    <row r="22">
      <c r="A22" s="6" t="s">
        <v>34</v>
      </c>
      <c r="B22" s="29">
        <v>8.0</v>
      </c>
      <c r="C22" s="52">
        <v>0.897</v>
      </c>
      <c r="D22" s="20">
        <f t="shared" si="11"/>
        <v>-1.1499984</v>
      </c>
      <c r="E22" s="45">
        <v>2.27</v>
      </c>
      <c r="F22" s="20">
        <f t="shared" si="12"/>
        <v>0.8073799807</v>
      </c>
      <c r="G22" s="13">
        <v>214.0</v>
      </c>
      <c r="H22" s="58">
        <f t="shared" si="13"/>
        <v>27.03918861</v>
      </c>
      <c r="I22" s="20">
        <f t="shared" si="14"/>
        <v>-0.9073612649</v>
      </c>
      <c r="K22" s="9">
        <f t="shared" si="15"/>
        <v>-0.3426184191</v>
      </c>
    </row>
    <row r="23">
      <c r="A23" s="6" t="s">
        <v>35</v>
      </c>
      <c r="B23" s="22"/>
      <c r="C23" s="60"/>
      <c r="D23" s="11"/>
      <c r="E23" s="61"/>
      <c r="F23" s="61"/>
      <c r="G23" s="22"/>
      <c r="H23" s="61"/>
      <c r="I23" s="61"/>
    </row>
    <row r="24">
      <c r="A24" s="6" t="s">
        <v>36</v>
      </c>
      <c r="B24" s="29">
        <v>39.0</v>
      </c>
      <c r="C24" s="52">
        <v>0.909</v>
      </c>
      <c r="D24" s="20">
        <f>(C24-0.912)/0.01304349641</f>
        <v>-0.22999968</v>
      </c>
      <c r="E24" s="45">
        <v>2.75</v>
      </c>
      <c r="F24" s="20">
        <f>-(E24-2.64)/0.4582724477</f>
        <v>-0.2400318862</v>
      </c>
      <c r="G24" s="13">
        <v>1100.0</v>
      </c>
      <c r="H24" s="58">
        <f>(G24/B24)*1.001345^B24</f>
        <v>29.72307167</v>
      </c>
      <c r="I24" s="20">
        <f>(H24-29.1)/2.271213759</f>
        <v>0.2743342282</v>
      </c>
      <c r="K24" s="9">
        <f>(D24+F24+IF((I24&gt;0.85),0.1))</f>
        <v>-0.4700315661</v>
      </c>
    </row>
    <row r="25">
      <c r="A25" s="6" t="s">
        <v>37</v>
      </c>
      <c r="B25" s="22"/>
      <c r="C25" s="60"/>
      <c r="D25" s="11"/>
      <c r="E25" s="61"/>
      <c r="F25" s="61"/>
      <c r="G25" s="22"/>
      <c r="H25" s="61"/>
      <c r="I25" s="61"/>
    </row>
    <row r="26">
      <c r="A26" s="6" t="s">
        <v>38</v>
      </c>
      <c r="B26" s="29">
        <v>43.0</v>
      </c>
      <c r="C26" s="52">
        <v>0.904</v>
      </c>
      <c r="D26" s="20">
        <f t="shared" ref="D26:D30" si="16">(C26-0.912)/0.01304349641</f>
        <v>-0.6133324799</v>
      </c>
      <c r="E26" s="45">
        <v>2.66</v>
      </c>
      <c r="F26" s="20">
        <f t="shared" ref="F26:F30" si="17">-(E26-2.64)/0.4582724477</f>
        <v>-0.04364216112</v>
      </c>
      <c r="G26" s="13">
        <v>1161.0</v>
      </c>
      <c r="H26" s="58">
        <f t="shared" ref="H26:H30" si="18">(G26/B26)*1.001345^B26</f>
        <v>28.6064726</v>
      </c>
      <c r="I26" s="20">
        <f t="shared" ref="I26:I30" si="19">(H26-29.1)/2.271213759</f>
        <v>-0.2172967652</v>
      </c>
      <c r="K26" s="9">
        <f t="shared" ref="K26:K30" si="20">(D26+F26+IF((I26&gt;0.85),0.1))</f>
        <v>-0.656974641</v>
      </c>
    </row>
    <row r="27">
      <c r="A27" s="6" t="s">
        <v>39</v>
      </c>
      <c r="B27" s="29">
        <v>35.0</v>
      </c>
      <c r="C27" s="52">
        <v>0.903</v>
      </c>
      <c r="D27" s="20">
        <f t="shared" si="16"/>
        <v>-0.6899990399</v>
      </c>
      <c r="E27" s="45">
        <v>2.98</v>
      </c>
      <c r="F27" s="20">
        <f t="shared" si="17"/>
        <v>-0.7419167391</v>
      </c>
      <c r="G27" s="13">
        <v>1042.0</v>
      </c>
      <c r="H27" s="58">
        <f t="shared" si="18"/>
        <v>31.20544289</v>
      </c>
      <c r="I27" s="20">
        <f t="shared" si="19"/>
        <v>0.9270122123</v>
      </c>
      <c r="K27" s="9">
        <f t="shared" si="20"/>
        <v>-1.331915779</v>
      </c>
    </row>
    <row r="28">
      <c r="A28" s="6" t="s">
        <v>40</v>
      </c>
      <c r="B28" s="29">
        <v>9.0</v>
      </c>
      <c r="C28" s="52">
        <v>0.933</v>
      </c>
      <c r="D28" s="20">
        <f t="shared" si="16"/>
        <v>1.60999776</v>
      </c>
      <c r="E28" s="45">
        <v>2.16</v>
      </c>
      <c r="F28" s="20">
        <f t="shared" si="17"/>
        <v>1.047411867</v>
      </c>
      <c r="G28" s="13">
        <v>254.0</v>
      </c>
      <c r="H28" s="58">
        <f t="shared" si="18"/>
        <v>28.56569597</v>
      </c>
      <c r="I28" s="20">
        <f t="shared" si="19"/>
        <v>-0.2352504367</v>
      </c>
      <c r="K28" s="9">
        <f t="shared" si="20"/>
        <v>2.657409627</v>
      </c>
    </row>
    <row r="29">
      <c r="A29" s="6" t="s">
        <v>41</v>
      </c>
      <c r="B29" s="13">
        <v>6.0</v>
      </c>
      <c r="C29" s="59">
        <v>0.894</v>
      </c>
      <c r="D29" s="20">
        <f t="shared" si="16"/>
        <v>-1.37999808</v>
      </c>
      <c r="E29" s="56">
        <v>3.33</v>
      </c>
      <c r="F29" s="20">
        <f t="shared" si="17"/>
        <v>-1.505654559</v>
      </c>
      <c r="G29" s="13">
        <v>169.0</v>
      </c>
      <c r="H29" s="58">
        <f t="shared" si="18"/>
        <v>28.39473735</v>
      </c>
      <c r="I29" s="20">
        <f t="shared" si="19"/>
        <v>-0.3105223564</v>
      </c>
      <c r="K29" s="9">
        <f t="shared" si="20"/>
        <v>-2.885652639</v>
      </c>
    </row>
    <row r="30">
      <c r="A30" s="6" t="s">
        <v>42</v>
      </c>
      <c r="B30" s="29">
        <v>35.0</v>
      </c>
      <c r="C30" s="52">
        <v>0.902</v>
      </c>
      <c r="D30" s="20">
        <f t="shared" si="16"/>
        <v>-0.7666655999</v>
      </c>
      <c r="E30" s="45">
        <v>3.04</v>
      </c>
      <c r="F30" s="20">
        <f t="shared" si="17"/>
        <v>-0.8728432224</v>
      </c>
      <c r="G30" s="13">
        <v>1081.0</v>
      </c>
      <c r="H30" s="58">
        <f t="shared" si="18"/>
        <v>32.37340093</v>
      </c>
      <c r="I30" s="20">
        <f t="shared" si="19"/>
        <v>1.441256207</v>
      </c>
      <c r="K30" s="9">
        <f t="shared" si="20"/>
        <v>-1.539508822</v>
      </c>
    </row>
    <row r="31">
      <c r="A31" s="6" t="s">
        <v>43</v>
      </c>
      <c r="B31" s="22"/>
      <c r="C31" s="60"/>
      <c r="D31" s="11"/>
      <c r="E31" s="61"/>
      <c r="F31" s="61"/>
      <c r="G31" s="22"/>
      <c r="H31" s="61"/>
      <c r="I31" s="61"/>
    </row>
    <row r="32">
      <c r="A32" s="6" t="s">
        <v>44</v>
      </c>
      <c r="B32" s="22"/>
      <c r="C32" s="60"/>
      <c r="D32" s="11"/>
      <c r="E32" s="61"/>
      <c r="F32" s="61"/>
      <c r="G32" s="22"/>
      <c r="H32" s="61"/>
      <c r="I32" s="61"/>
    </row>
    <row r="33">
      <c r="A33" s="6" t="s">
        <v>45</v>
      </c>
      <c r="B33" s="29">
        <v>14.0</v>
      </c>
      <c r="C33" s="52">
        <v>0.89</v>
      </c>
      <c r="D33" s="20">
        <f t="shared" ref="D33:D37" si="21">(C33-0.912)/0.01304349641</f>
        <v>-1.68666432</v>
      </c>
      <c r="E33" s="45">
        <v>3.34</v>
      </c>
      <c r="F33" s="20">
        <f t="shared" ref="F33:F37" si="22">-(E33-2.64)/0.4582724477</f>
        <v>-1.527475639</v>
      </c>
      <c r="G33" s="13">
        <v>356.0</v>
      </c>
      <c r="H33" s="58">
        <f t="shared" ref="H33:H37" si="23">(G33/B33)*1.001345^B33</f>
        <v>25.91160012</v>
      </c>
      <c r="I33" s="20">
        <f t="shared" ref="I33:I37" si="24">(H33-29.1)/2.271213759</f>
        <v>-1.403830824</v>
      </c>
      <c r="K33" s="9">
        <f t="shared" ref="K33:K37" si="25">(D33+F33+IF((I33&gt;0.85),0.1))</f>
        <v>-3.214139959</v>
      </c>
    </row>
    <row r="34">
      <c r="A34" s="6" t="s">
        <v>46</v>
      </c>
      <c r="B34" s="29">
        <v>20.0</v>
      </c>
      <c r="C34" s="52">
        <v>0.917</v>
      </c>
      <c r="D34" s="20">
        <f t="shared" si="21"/>
        <v>0.3833328</v>
      </c>
      <c r="E34" s="45">
        <v>2.63</v>
      </c>
      <c r="F34" s="20">
        <f t="shared" si="22"/>
        <v>0.02182108056</v>
      </c>
      <c r="G34" s="13">
        <v>591.0</v>
      </c>
      <c r="H34" s="58">
        <f t="shared" si="23"/>
        <v>30.35513421</v>
      </c>
      <c r="I34" s="20">
        <f t="shared" si="24"/>
        <v>0.5526270707</v>
      </c>
      <c r="K34" s="9">
        <f t="shared" si="25"/>
        <v>0.4051538805</v>
      </c>
    </row>
    <row r="35">
      <c r="A35" s="6" t="s">
        <v>47</v>
      </c>
      <c r="B35" s="29">
        <v>28.0</v>
      </c>
      <c r="C35" s="52">
        <v>0.916</v>
      </c>
      <c r="D35" s="20">
        <f t="shared" si="21"/>
        <v>0.30666624</v>
      </c>
      <c r="E35" s="45">
        <v>2.77</v>
      </c>
      <c r="F35" s="20">
        <f t="shared" si="22"/>
        <v>-0.2836740473</v>
      </c>
      <c r="G35" s="13">
        <v>825.0</v>
      </c>
      <c r="H35" s="58">
        <f t="shared" si="23"/>
        <v>30.59429558</v>
      </c>
      <c r="I35" s="20">
        <f t="shared" si="24"/>
        <v>0.6579281981</v>
      </c>
      <c r="K35" s="9">
        <f t="shared" si="25"/>
        <v>0.02299219267</v>
      </c>
    </row>
    <row r="36">
      <c r="A36" s="6" t="s">
        <v>48</v>
      </c>
      <c r="B36" s="29">
        <v>36.0</v>
      </c>
      <c r="C36" s="52">
        <v>0.928</v>
      </c>
      <c r="D36" s="20">
        <f t="shared" si="21"/>
        <v>1.22666496</v>
      </c>
      <c r="E36" s="45">
        <v>1.99</v>
      </c>
      <c r="F36" s="20">
        <f t="shared" si="22"/>
        <v>1.418370236</v>
      </c>
      <c r="G36" s="13">
        <v>989.0</v>
      </c>
      <c r="H36" s="58">
        <f t="shared" si="23"/>
        <v>28.83421953</v>
      </c>
      <c r="I36" s="20">
        <f t="shared" si="24"/>
        <v>-0.1170213374</v>
      </c>
      <c r="K36" s="9">
        <f t="shared" si="25"/>
        <v>2.645035196</v>
      </c>
    </row>
    <row r="37">
      <c r="A37" s="6" t="s">
        <v>49</v>
      </c>
      <c r="B37" s="29">
        <v>23.0</v>
      </c>
      <c r="C37" s="52">
        <v>0.932</v>
      </c>
      <c r="D37" s="20">
        <f t="shared" si="21"/>
        <v>1.5333312</v>
      </c>
      <c r="E37" s="45">
        <v>1.9</v>
      </c>
      <c r="F37" s="20">
        <f t="shared" si="22"/>
        <v>1.614759961</v>
      </c>
      <c r="G37" s="13">
        <v>648.0</v>
      </c>
      <c r="H37" s="58">
        <f t="shared" si="23"/>
        <v>29.05849</v>
      </c>
      <c r="I37" s="20">
        <f t="shared" si="24"/>
        <v>-0.01827657201</v>
      </c>
      <c r="K37" s="9">
        <f t="shared" si="25"/>
        <v>3.148091161</v>
      </c>
    </row>
    <row r="38">
      <c r="A38" s="6" t="s">
        <v>50</v>
      </c>
      <c r="B38" s="23"/>
      <c r="C38" s="48"/>
      <c r="D38" s="11"/>
      <c r="E38" s="11"/>
      <c r="F38" s="61"/>
      <c r="G38" s="22"/>
      <c r="H38" s="61"/>
      <c r="I38" s="61"/>
    </row>
    <row r="39">
      <c r="A39" s="6" t="s">
        <v>51</v>
      </c>
      <c r="B39" s="29">
        <v>24.0</v>
      </c>
      <c r="C39" s="52">
        <v>0.902</v>
      </c>
      <c r="D39" s="20">
        <f t="shared" ref="D39:D43" si="26">(C39-0.912)/0.01304349641</f>
        <v>-0.7666655999</v>
      </c>
      <c r="E39" s="45">
        <v>2.88</v>
      </c>
      <c r="F39" s="20">
        <f t="shared" ref="F39:F43" si="27">-(E39-2.64)/0.4582724477</f>
        <v>-0.5237059335</v>
      </c>
      <c r="G39" s="13">
        <v>692.0</v>
      </c>
      <c r="H39" s="58">
        <f t="shared" ref="H39:H43" si="28">(G39/B39)*1.001345^B39</f>
        <v>29.77861256</v>
      </c>
      <c r="I39" s="20">
        <f t="shared" ref="I39:I43" si="29">(H39-29.1)/2.271213759</f>
        <v>0.2987885021</v>
      </c>
      <c r="K39" s="9">
        <f t="shared" ref="K39:K43" si="30">(D39+F39+IF((I39&gt;0.85),0.1))</f>
        <v>-1.290371533</v>
      </c>
    </row>
    <row r="40">
      <c r="A40" s="6" t="s">
        <v>52</v>
      </c>
      <c r="B40" s="29">
        <v>40.0</v>
      </c>
      <c r="C40" s="52">
        <v>0.923</v>
      </c>
      <c r="D40" s="20">
        <f t="shared" si="26"/>
        <v>0.8433321599</v>
      </c>
      <c r="E40" s="45">
        <v>1.95</v>
      </c>
      <c r="F40" s="20">
        <f t="shared" si="27"/>
        <v>1.505654559</v>
      </c>
      <c r="G40" s="13">
        <v>993.0</v>
      </c>
      <c r="H40" s="58">
        <f t="shared" si="28"/>
        <v>26.19621833</v>
      </c>
      <c r="I40" s="20">
        <f t="shared" si="29"/>
        <v>-1.278515357</v>
      </c>
      <c r="K40" s="9">
        <f t="shared" si="30"/>
        <v>2.348986719</v>
      </c>
    </row>
    <row r="41">
      <c r="A41" s="6" t="s">
        <v>53</v>
      </c>
      <c r="B41" s="29">
        <v>29.0</v>
      </c>
      <c r="C41" s="52">
        <v>0.907</v>
      </c>
      <c r="D41" s="20">
        <f t="shared" si="26"/>
        <v>-0.3833328</v>
      </c>
      <c r="E41" s="45">
        <v>2.68</v>
      </c>
      <c r="F41" s="20">
        <f t="shared" si="27"/>
        <v>-0.08728432224</v>
      </c>
      <c r="G41" s="13">
        <v>817.0</v>
      </c>
      <c r="H41" s="58">
        <f t="shared" si="28"/>
        <v>29.2922231</v>
      </c>
      <c r="I41" s="20">
        <f t="shared" si="29"/>
        <v>0.08463452504</v>
      </c>
      <c r="K41" s="9">
        <f t="shared" si="30"/>
        <v>-0.4706171222</v>
      </c>
    </row>
    <row r="42">
      <c r="A42" s="6" t="s">
        <v>54</v>
      </c>
      <c r="B42" s="29">
        <v>27.0</v>
      </c>
      <c r="C42" s="52">
        <v>0.907</v>
      </c>
      <c r="D42" s="20">
        <f t="shared" si="26"/>
        <v>-0.3833328</v>
      </c>
      <c r="E42" s="45">
        <v>2.56</v>
      </c>
      <c r="F42" s="20">
        <f t="shared" si="27"/>
        <v>0.1745686445</v>
      </c>
      <c r="G42" s="13">
        <v>710.0</v>
      </c>
      <c r="H42" s="58">
        <f t="shared" si="28"/>
        <v>27.26813227</v>
      </c>
      <c r="I42" s="20">
        <f t="shared" si="29"/>
        <v>-0.8065589278</v>
      </c>
      <c r="K42" s="9">
        <f t="shared" si="30"/>
        <v>-0.2087641555</v>
      </c>
    </row>
    <row r="43">
      <c r="A43" s="6" t="s">
        <v>55</v>
      </c>
      <c r="B43" s="29">
        <v>16.0</v>
      </c>
      <c r="C43" s="52">
        <v>0.9</v>
      </c>
      <c r="D43" s="20">
        <f t="shared" si="26"/>
        <v>-0.9199987199</v>
      </c>
      <c r="E43" s="45">
        <v>3.11</v>
      </c>
      <c r="F43" s="20">
        <f t="shared" si="27"/>
        <v>-1.025590786</v>
      </c>
      <c r="G43" s="13">
        <v>458.0</v>
      </c>
      <c r="H43" s="58">
        <f t="shared" si="28"/>
        <v>29.24726318</v>
      </c>
      <c r="I43" s="20">
        <f t="shared" si="29"/>
        <v>0.06483897632</v>
      </c>
      <c r="K43" s="9">
        <f t="shared" si="30"/>
        <v>-1.945589506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13"/>
    <col customWidth="1" min="3" max="3" width="14.38"/>
    <col customWidth="1" min="5" max="5" width="13.63"/>
  </cols>
  <sheetData>
    <row r="1">
      <c r="A1" s="1" t="s">
        <v>0</v>
      </c>
      <c r="B1" s="2" t="s">
        <v>68</v>
      </c>
      <c r="C1" s="2" t="s">
        <v>152</v>
      </c>
      <c r="D1" s="34"/>
      <c r="E1" s="37" t="s">
        <v>153</v>
      </c>
      <c r="F1" s="37" t="s">
        <v>154</v>
      </c>
      <c r="G1" s="2" t="s">
        <v>155</v>
      </c>
    </row>
    <row r="2">
      <c r="A2" s="6" t="s">
        <v>9</v>
      </c>
      <c r="B2" s="7">
        <f t="shared" ref="B2:B43" si="1">RANK(C2,$C$2:$C$43)</f>
        <v>12</v>
      </c>
      <c r="C2" s="9">
        <f t="shared" ref="C2:C43" si="2">(G2-MIN($G$2:$G$43))/(MAX($G$2:$G$43)-MIN($G$2:$G$43))</f>
        <v>0.5859680052</v>
      </c>
      <c r="E2" s="8">
        <f>'NHL Movement'!H2</f>
        <v>1.734133972</v>
      </c>
      <c r="F2" s="9">
        <f>'NHL Tracking'!Z2</f>
        <v>0.2112734586</v>
      </c>
      <c r="G2" s="9">
        <f t="shared" ref="G2:G43" si="3">E2+F2</f>
        <v>1.94540743</v>
      </c>
    </row>
    <row r="3">
      <c r="A3" s="6" t="s">
        <v>10</v>
      </c>
      <c r="B3" s="7">
        <f t="shared" si="1"/>
        <v>30</v>
      </c>
      <c r="C3" s="9">
        <f t="shared" si="2"/>
        <v>0.3958022843</v>
      </c>
      <c r="E3" s="8">
        <f>'NHL Movement'!H3</f>
        <v>-4.556150137</v>
      </c>
      <c r="F3" s="9">
        <f>'NHL Tracking'!Z3</f>
        <v>1.686128658</v>
      </c>
      <c r="G3" s="9">
        <f t="shared" si="3"/>
        <v>-2.870021479</v>
      </c>
    </row>
    <row r="4">
      <c r="A4" s="6" t="s">
        <v>11</v>
      </c>
      <c r="B4" s="7">
        <f t="shared" si="1"/>
        <v>22</v>
      </c>
      <c r="C4" s="9">
        <f t="shared" si="2"/>
        <v>0.4915156528</v>
      </c>
      <c r="E4" s="8">
        <f>'NHL Movement'!H4</f>
        <v>-1.34158995</v>
      </c>
      <c r="F4" s="9">
        <f>'NHL Tracking'!Z4</f>
        <v>0.8952488262</v>
      </c>
      <c r="G4" s="9">
        <f t="shared" si="3"/>
        <v>-0.4463411241</v>
      </c>
    </row>
    <row r="5">
      <c r="A5" s="6" t="s">
        <v>12</v>
      </c>
      <c r="B5" s="7">
        <f t="shared" si="1"/>
        <v>3</v>
      </c>
      <c r="C5" s="9">
        <f t="shared" si="2"/>
        <v>0.9512737249</v>
      </c>
      <c r="E5" s="8">
        <f>'NHL Movement'!H5</f>
        <v>1.755304581</v>
      </c>
      <c r="F5" s="9">
        <f>'NHL Tracking'!Z5</f>
        <v>9.440475178</v>
      </c>
      <c r="G5" s="9">
        <f t="shared" si="3"/>
        <v>11.19577976</v>
      </c>
    </row>
    <row r="6">
      <c r="A6" s="6" t="s">
        <v>13</v>
      </c>
      <c r="B6" s="7">
        <f t="shared" si="1"/>
        <v>5</v>
      </c>
      <c r="C6" s="9">
        <f t="shared" si="2"/>
        <v>0.8216850984</v>
      </c>
      <c r="E6" s="8">
        <f>'NHL Movement'!H6</f>
        <v>1.709306028</v>
      </c>
      <c r="F6" s="9">
        <f>'NHL Tracking'!Z6</f>
        <v>6.204994738</v>
      </c>
      <c r="G6" s="9">
        <f t="shared" si="3"/>
        <v>7.914300766</v>
      </c>
    </row>
    <row r="7">
      <c r="A7" s="6" t="s">
        <v>14</v>
      </c>
      <c r="B7" s="7">
        <f t="shared" si="1"/>
        <v>27</v>
      </c>
      <c r="C7" s="9">
        <f t="shared" si="2"/>
        <v>0.4450571913</v>
      </c>
      <c r="E7" s="8">
        <f>'NHL Movement'!H7</f>
        <v>1.413659796</v>
      </c>
      <c r="F7" s="9">
        <f>'NHL Tracking'!Z7</f>
        <v>-3.036434914</v>
      </c>
      <c r="G7" s="9">
        <f t="shared" si="3"/>
        <v>-1.622775118</v>
      </c>
    </row>
    <row r="8">
      <c r="A8" s="6" t="s">
        <v>15</v>
      </c>
      <c r="B8" s="7">
        <f t="shared" si="1"/>
        <v>1</v>
      </c>
      <c r="C8" s="9">
        <f t="shared" si="2"/>
        <v>1</v>
      </c>
      <c r="E8" s="8">
        <f>'NHL Movement'!H8</f>
        <v>2.974364549</v>
      </c>
      <c r="F8" s="9">
        <f>'NHL Tracking'!Z8</f>
        <v>9.455275406</v>
      </c>
      <c r="G8" s="9">
        <f t="shared" si="3"/>
        <v>12.42963995</v>
      </c>
    </row>
    <row r="9">
      <c r="A9" s="6" t="s">
        <v>16</v>
      </c>
      <c r="B9" s="7">
        <f t="shared" si="1"/>
        <v>7</v>
      </c>
      <c r="C9" s="9">
        <f t="shared" si="2"/>
        <v>0.7620415079</v>
      </c>
      <c r="E9" s="8">
        <f>'NHL Movement'!H9</f>
        <v>-1.95869842</v>
      </c>
      <c r="F9" s="9">
        <f>'NHL Tracking'!Z9</f>
        <v>8.362687716</v>
      </c>
      <c r="G9" s="9">
        <f t="shared" si="3"/>
        <v>6.403989296</v>
      </c>
    </row>
    <row r="10">
      <c r="A10" s="6" t="s">
        <v>21</v>
      </c>
      <c r="B10" s="7">
        <f t="shared" si="1"/>
        <v>38</v>
      </c>
      <c r="C10" s="9">
        <f t="shared" si="2"/>
        <v>0.2013129795</v>
      </c>
      <c r="E10" s="8">
        <f>'NHL Movement'!H10</f>
        <v>-2.685894059</v>
      </c>
      <c r="F10" s="9">
        <f>'NHL Tracking'!Z10</f>
        <v>-5.10903931</v>
      </c>
      <c r="G10" s="9">
        <f t="shared" si="3"/>
        <v>-7.794933369</v>
      </c>
    </row>
    <row r="11">
      <c r="A11" s="6" t="s">
        <v>22</v>
      </c>
      <c r="B11" s="7">
        <f t="shared" si="1"/>
        <v>4</v>
      </c>
      <c r="C11" s="9">
        <f t="shared" si="2"/>
        <v>0.9009675636</v>
      </c>
      <c r="E11" s="8">
        <f>'NHL Movement'!H11</f>
        <v>2.049484268</v>
      </c>
      <c r="F11" s="9">
        <f>'NHL Tracking'!Z11</f>
        <v>7.87242898</v>
      </c>
      <c r="G11" s="9">
        <f t="shared" si="3"/>
        <v>9.921913248</v>
      </c>
    </row>
    <row r="12">
      <c r="A12" s="6" t="s">
        <v>23</v>
      </c>
      <c r="B12" s="7">
        <f t="shared" si="1"/>
        <v>14</v>
      </c>
      <c r="C12" s="9">
        <f t="shared" si="2"/>
        <v>0.5697866379</v>
      </c>
      <c r="E12" s="8">
        <f>'NHL Movement'!H12</f>
        <v>1.570997398</v>
      </c>
      <c r="F12" s="9">
        <f>'NHL Tracking'!Z12</f>
        <v>-0.03533901928</v>
      </c>
      <c r="G12" s="9">
        <f t="shared" si="3"/>
        <v>1.535658379</v>
      </c>
    </row>
    <row r="13">
      <c r="A13" s="6" t="s">
        <v>25</v>
      </c>
      <c r="B13" s="7">
        <f t="shared" si="1"/>
        <v>15</v>
      </c>
      <c r="C13" s="9">
        <f t="shared" si="2"/>
        <v>0.5624788451</v>
      </c>
      <c r="E13" s="8">
        <f>'NHL Movement'!H13</f>
        <v>0.5734619532</v>
      </c>
      <c r="F13" s="9">
        <f>'NHL Tracking'!Z13</f>
        <v>0.7771464765</v>
      </c>
      <c r="G13" s="9">
        <f t="shared" si="3"/>
        <v>1.35060843</v>
      </c>
    </row>
    <row r="14">
      <c r="A14" s="6" t="s">
        <v>26</v>
      </c>
      <c r="B14" s="7">
        <f t="shared" si="1"/>
        <v>26</v>
      </c>
      <c r="C14" s="9">
        <f t="shared" si="2"/>
        <v>0.4513774711</v>
      </c>
      <c r="E14" s="8">
        <f>'NHL Movement'!H14</f>
        <v>-0.8780453879</v>
      </c>
      <c r="F14" s="9">
        <f>'NHL Tracking'!Z14</f>
        <v>-0.5846858603</v>
      </c>
      <c r="G14" s="9">
        <f t="shared" si="3"/>
        <v>-1.462731248</v>
      </c>
    </row>
    <row r="15">
      <c r="A15" s="6" t="s">
        <v>27</v>
      </c>
      <c r="B15" s="7">
        <f t="shared" si="1"/>
        <v>32</v>
      </c>
      <c r="C15" s="9">
        <f t="shared" si="2"/>
        <v>0.3774354549</v>
      </c>
      <c r="E15" s="8">
        <f>'NHL Movement'!H15</f>
        <v>-3.044475332</v>
      </c>
      <c r="F15" s="9">
        <f>'NHL Tracking'!Z15</f>
        <v>-0.2906360714</v>
      </c>
      <c r="G15" s="9">
        <f t="shared" si="3"/>
        <v>-3.335111404</v>
      </c>
    </row>
    <row r="16">
      <c r="A16" s="6" t="s">
        <v>28</v>
      </c>
      <c r="B16" s="7">
        <f t="shared" si="1"/>
        <v>28</v>
      </c>
      <c r="C16" s="9">
        <f t="shared" si="2"/>
        <v>0.4262070714</v>
      </c>
      <c r="E16" s="8">
        <f>'NHL Movement'!H16</f>
        <v>0.8380027872</v>
      </c>
      <c r="F16" s="9">
        <f>'NHL Tracking'!Z16</f>
        <v>-2.938105849</v>
      </c>
      <c r="G16" s="9">
        <f t="shared" si="3"/>
        <v>-2.100103062</v>
      </c>
    </row>
    <row r="17">
      <c r="A17" s="6" t="s">
        <v>29</v>
      </c>
      <c r="B17" s="7">
        <f t="shared" si="1"/>
        <v>2</v>
      </c>
      <c r="C17" s="9">
        <f t="shared" si="2"/>
        <v>0.9779512687</v>
      </c>
      <c r="E17" s="8">
        <f>'NHL Movement'!H17</f>
        <v>2.077343607</v>
      </c>
      <c r="F17" s="9">
        <f>'NHL Tracking'!Z17</f>
        <v>9.793972284</v>
      </c>
      <c r="G17" s="9">
        <f t="shared" si="3"/>
        <v>11.87131589</v>
      </c>
    </row>
    <row r="18">
      <c r="A18" s="6" t="s">
        <v>30</v>
      </c>
      <c r="B18" s="7">
        <f t="shared" si="1"/>
        <v>18</v>
      </c>
      <c r="C18" s="9">
        <f t="shared" si="2"/>
        <v>0.531146307</v>
      </c>
      <c r="E18" s="8">
        <f>'NHL Movement'!H18</f>
        <v>1.119793079</v>
      </c>
      <c r="F18" s="9">
        <f>'NHL Tracking'!Z18</f>
        <v>-0.5625958337</v>
      </c>
      <c r="G18" s="9">
        <f t="shared" si="3"/>
        <v>0.5571972451</v>
      </c>
    </row>
    <row r="19">
      <c r="A19" s="6" t="s">
        <v>31</v>
      </c>
      <c r="B19" s="7">
        <f t="shared" si="1"/>
        <v>41</v>
      </c>
      <c r="C19" s="9">
        <f t="shared" si="2"/>
        <v>0.09360661089</v>
      </c>
      <c r="E19" s="8">
        <f>'NHL Movement'!H19</f>
        <v>-0.3551920213</v>
      </c>
      <c r="F19" s="9">
        <f>'NHL Tracking'!Z19</f>
        <v>-10.16711176</v>
      </c>
      <c r="G19" s="9">
        <f t="shared" si="3"/>
        <v>-10.52230378</v>
      </c>
    </row>
    <row r="20">
      <c r="A20" s="6" t="s">
        <v>32</v>
      </c>
      <c r="B20" s="7">
        <f t="shared" si="1"/>
        <v>17</v>
      </c>
      <c r="C20" s="9">
        <f t="shared" si="2"/>
        <v>0.5494240935</v>
      </c>
      <c r="E20" s="8">
        <f>'NHL Movement'!H20</f>
        <v>2.24048018</v>
      </c>
      <c r="F20" s="9">
        <f>'NHL Tracking'!Z20</f>
        <v>-1.220447776</v>
      </c>
      <c r="G20" s="9">
        <f t="shared" si="3"/>
        <v>1.020032404</v>
      </c>
    </row>
    <row r="21">
      <c r="A21" s="6" t="s">
        <v>33</v>
      </c>
      <c r="B21" s="7">
        <f t="shared" si="1"/>
        <v>8</v>
      </c>
      <c r="C21" s="9">
        <f t="shared" si="2"/>
        <v>0.6676863926</v>
      </c>
      <c r="E21" s="8">
        <f>'NHL Movement'!H21</f>
        <v>-0.2653857045</v>
      </c>
      <c r="F21" s="9">
        <f>'NHL Tracking'!Z21</f>
        <v>4.28008871</v>
      </c>
      <c r="G21" s="9">
        <f t="shared" si="3"/>
        <v>4.014703005</v>
      </c>
    </row>
    <row r="22">
      <c r="A22" s="6" t="s">
        <v>34</v>
      </c>
      <c r="B22" s="7">
        <f t="shared" si="1"/>
        <v>10</v>
      </c>
      <c r="C22" s="9">
        <f t="shared" si="2"/>
        <v>0.6427856351</v>
      </c>
      <c r="E22" s="8">
        <f>'NHL Movement'!H22</f>
        <v>1.305566807</v>
      </c>
      <c r="F22" s="9">
        <f>'NHL Tracking'!Z22</f>
        <v>2.07859234</v>
      </c>
      <c r="G22" s="9">
        <f t="shared" si="3"/>
        <v>3.384159146</v>
      </c>
    </row>
    <row r="23">
      <c r="A23" s="6" t="s">
        <v>35</v>
      </c>
      <c r="B23" s="7">
        <f t="shared" si="1"/>
        <v>33</v>
      </c>
      <c r="C23" s="9">
        <f t="shared" si="2"/>
        <v>0.3706169324</v>
      </c>
      <c r="E23" s="8">
        <f>'NHL Movement'!H23</f>
        <v>-0.3413852335</v>
      </c>
      <c r="F23" s="9">
        <f>'NHL Tracking'!Z23</f>
        <v>-3.166386681</v>
      </c>
      <c r="G23" s="9">
        <f t="shared" si="3"/>
        <v>-3.507771914</v>
      </c>
    </row>
    <row r="24">
      <c r="A24" s="6" t="s">
        <v>36</v>
      </c>
      <c r="B24" s="7">
        <f t="shared" si="1"/>
        <v>29</v>
      </c>
      <c r="C24" s="9">
        <f t="shared" si="2"/>
        <v>0.4177124875</v>
      </c>
      <c r="E24" s="8">
        <f>'NHL Movement'!H24</f>
        <v>-2.582133497</v>
      </c>
      <c r="F24" s="9">
        <f>'NHL Tracking'!Z24</f>
        <v>0.2669282367</v>
      </c>
      <c r="G24" s="9">
        <f t="shared" si="3"/>
        <v>-2.31520526</v>
      </c>
    </row>
    <row r="25">
      <c r="A25" s="6" t="s">
        <v>37</v>
      </c>
      <c r="B25" s="7">
        <f t="shared" si="1"/>
        <v>11</v>
      </c>
      <c r="C25" s="9">
        <f t="shared" si="2"/>
        <v>0.6275731595</v>
      </c>
      <c r="E25" s="8">
        <f>'NHL Movement'!H25</f>
        <v>1.885457937</v>
      </c>
      <c r="F25" s="9">
        <f>'NHL Tracking'!Z25</f>
        <v>1.1134867</v>
      </c>
      <c r="G25" s="9">
        <f t="shared" si="3"/>
        <v>2.998944638</v>
      </c>
    </row>
    <row r="26">
      <c r="A26" s="6" t="s">
        <v>38</v>
      </c>
      <c r="B26" s="7">
        <f t="shared" si="1"/>
        <v>19</v>
      </c>
      <c r="C26" s="9">
        <f t="shared" si="2"/>
        <v>0.5249309058</v>
      </c>
      <c r="E26" s="8">
        <f>'NHL Movement'!H26</f>
        <v>0.1894759492</v>
      </c>
      <c r="F26" s="9">
        <f>'NHL Tracking'!Z26</f>
        <v>0.2103331909</v>
      </c>
      <c r="G26" s="9">
        <f t="shared" si="3"/>
        <v>0.3998091401</v>
      </c>
    </row>
    <row r="27">
      <c r="A27" s="6" t="s">
        <v>39</v>
      </c>
      <c r="B27" s="7">
        <f t="shared" si="1"/>
        <v>40</v>
      </c>
      <c r="C27" s="9">
        <f t="shared" si="2"/>
        <v>0.158342136</v>
      </c>
      <c r="E27" s="8">
        <f>'NHL Movement'!H27</f>
        <v>-2.777265226</v>
      </c>
      <c r="F27" s="9">
        <f>'NHL Tracking'!Z27</f>
        <v>-6.105787712</v>
      </c>
      <c r="G27" s="9">
        <f t="shared" si="3"/>
        <v>-8.883052938</v>
      </c>
    </row>
    <row r="28">
      <c r="A28" s="6" t="s">
        <v>40</v>
      </c>
      <c r="B28" s="7">
        <f t="shared" si="1"/>
        <v>13</v>
      </c>
      <c r="C28" s="9">
        <f t="shared" si="2"/>
        <v>0.5807646903</v>
      </c>
      <c r="E28" s="8">
        <f>'NHL Movement'!H28</f>
        <v>-0.05321918288</v>
      </c>
      <c r="F28" s="9">
        <f>'NHL Tracking'!Z28</f>
        <v>1.866866836</v>
      </c>
      <c r="G28" s="9">
        <f t="shared" si="3"/>
        <v>1.813647653</v>
      </c>
    </row>
    <row r="29">
      <c r="A29" s="6" t="s">
        <v>41</v>
      </c>
      <c r="B29" s="7">
        <f t="shared" si="1"/>
        <v>16</v>
      </c>
      <c r="C29" s="9">
        <f t="shared" si="2"/>
        <v>0.5554534069</v>
      </c>
      <c r="E29" s="8">
        <f>'NHL Movement'!H29</f>
        <v>0.69849143</v>
      </c>
      <c r="F29" s="9">
        <f>'NHL Tracking'!Z29</f>
        <v>0.4742169127</v>
      </c>
      <c r="G29" s="9">
        <f t="shared" si="3"/>
        <v>1.172708343</v>
      </c>
    </row>
    <row r="30">
      <c r="A30" s="6" t="s">
        <v>42</v>
      </c>
      <c r="B30" s="7">
        <f t="shared" si="1"/>
        <v>37</v>
      </c>
      <c r="C30" s="9">
        <f t="shared" si="2"/>
        <v>0.2997793903</v>
      </c>
      <c r="E30" s="8">
        <f>'NHL Movement'!H30</f>
        <v>1.14956695</v>
      </c>
      <c r="F30" s="9">
        <f>'NHL Tracking'!Z30</f>
        <v>-6.45110667</v>
      </c>
      <c r="G30" s="9">
        <f t="shared" si="3"/>
        <v>-5.301539719</v>
      </c>
    </row>
    <row r="31">
      <c r="A31" s="6" t="s">
        <v>43</v>
      </c>
      <c r="B31" s="7">
        <f t="shared" si="1"/>
        <v>21</v>
      </c>
      <c r="C31" s="9">
        <f t="shared" si="2"/>
        <v>0.5053946798</v>
      </c>
      <c r="E31" s="8">
        <f>'NHL Movement'!H31</f>
        <v>1.226008248</v>
      </c>
      <c r="F31" s="9">
        <f>'NHL Tracking'!Z31</f>
        <v>-1.32090082</v>
      </c>
      <c r="G31" s="9">
        <f t="shared" si="3"/>
        <v>-0.0948925713</v>
      </c>
    </row>
    <row r="32">
      <c r="A32" s="6" t="s">
        <v>44</v>
      </c>
      <c r="B32" s="7">
        <f t="shared" si="1"/>
        <v>9</v>
      </c>
      <c r="C32" s="9">
        <f t="shared" si="2"/>
        <v>0.6602422156</v>
      </c>
      <c r="E32" s="8">
        <f>'NHL Movement'!H32</f>
        <v>1.79921065</v>
      </c>
      <c r="F32" s="9">
        <f>'NHL Tracking'!Z32</f>
        <v>2.02698885</v>
      </c>
      <c r="G32" s="9">
        <f t="shared" si="3"/>
        <v>3.8261995</v>
      </c>
    </row>
    <row r="33">
      <c r="A33" s="6" t="s">
        <v>45</v>
      </c>
      <c r="B33" s="7">
        <f t="shared" si="1"/>
        <v>23</v>
      </c>
      <c r="C33" s="9">
        <f t="shared" si="2"/>
        <v>0.469579234</v>
      </c>
      <c r="E33" s="8">
        <f>'NHL Movement'!H33</f>
        <v>0.6294936001</v>
      </c>
      <c r="F33" s="9">
        <f>'NHL Tracking'!Z33</f>
        <v>-1.63131478</v>
      </c>
      <c r="G33" s="9">
        <f t="shared" si="3"/>
        <v>-1.00182118</v>
      </c>
    </row>
    <row r="34">
      <c r="A34" s="6" t="s">
        <v>46</v>
      </c>
      <c r="B34" s="7">
        <f t="shared" si="1"/>
        <v>6</v>
      </c>
      <c r="C34" s="9">
        <f t="shared" si="2"/>
        <v>0.7660871272</v>
      </c>
      <c r="E34" s="8">
        <f>'NHL Movement'!H34</f>
        <v>-0.4969433208</v>
      </c>
      <c r="F34" s="9">
        <f>'NHL Tracking'!Z34</f>
        <v>7.003376905</v>
      </c>
      <c r="G34" s="9">
        <f t="shared" si="3"/>
        <v>6.506433584</v>
      </c>
    </row>
    <row r="35">
      <c r="A35" s="6" t="s">
        <v>47</v>
      </c>
      <c r="B35" s="7">
        <f t="shared" si="1"/>
        <v>42</v>
      </c>
      <c r="C35" s="9">
        <f t="shared" si="2"/>
        <v>0</v>
      </c>
      <c r="E35" s="8">
        <f>'NHL Movement'!H35</f>
        <v>-5.355786276</v>
      </c>
      <c r="F35" s="9">
        <f>'NHL Tracking'!Z35</f>
        <v>-7.536849963</v>
      </c>
      <c r="G35" s="9">
        <f t="shared" si="3"/>
        <v>-12.89263624</v>
      </c>
    </row>
    <row r="36">
      <c r="A36" s="6" t="s">
        <v>48</v>
      </c>
      <c r="B36" s="7">
        <f t="shared" si="1"/>
        <v>20</v>
      </c>
      <c r="C36" s="9">
        <f t="shared" si="2"/>
        <v>0.5095892777</v>
      </c>
      <c r="E36" s="8">
        <f>'NHL Movement'!H36</f>
        <v>-0.7998059166</v>
      </c>
      <c r="F36" s="9">
        <f>'NHL Tracking'!Z36</f>
        <v>0.8111301128</v>
      </c>
      <c r="G36" s="9">
        <f t="shared" si="3"/>
        <v>0.01132419624</v>
      </c>
    </row>
    <row r="37">
      <c r="A37" s="6" t="s">
        <v>49</v>
      </c>
      <c r="B37" s="7">
        <f t="shared" si="1"/>
        <v>31</v>
      </c>
      <c r="C37" s="9">
        <f t="shared" si="2"/>
        <v>0.3902407768</v>
      </c>
      <c r="E37" s="8">
        <f>'NHL Movement'!H37</f>
        <v>-1.155717917</v>
      </c>
      <c r="F37" s="9">
        <f>'NHL Tracking'!Z37</f>
        <v>-1.855133589</v>
      </c>
      <c r="G37" s="9">
        <f t="shared" si="3"/>
        <v>-3.010851506</v>
      </c>
    </row>
    <row r="38">
      <c r="A38" s="6" t="s">
        <v>50</v>
      </c>
      <c r="B38" s="7">
        <f t="shared" si="1"/>
        <v>35</v>
      </c>
      <c r="C38" s="9">
        <f t="shared" si="2"/>
        <v>0.3625706162</v>
      </c>
      <c r="E38" s="8">
        <f>'NHL Movement'!H38</f>
        <v>0.4878897583</v>
      </c>
      <c r="F38" s="9">
        <f>'NHL Tracking'!Z38</f>
        <v>-4.199412715</v>
      </c>
      <c r="G38" s="9">
        <f t="shared" si="3"/>
        <v>-3.711522957</v>
      </c>
    </row>
    <row r="39">
      <c r="A39" s="6" t="s">
        <v>51</v>
      </c>
      <c r="B39" s="7">
        <f t="shared" si="1"/>
        <v>39</v>
      </c>
      <c r="C39" s="9">
        <f t="shared" si="2"/>
        <v>0.1811568696</v>
      </c>
      <c r="E39" s="8">
        <f>'NHL Movement'!H39</f>
        <v>-0.3507432346</v>
      </c>
      <c r="F39" s="9">
        <f>'NHL Tracking'!Z39</f>
        <v>-7.954588717</v>
      </c>
      <c r="G39" s="9">
        <f t="shared" si="3"/>
        <v>-8.305331951</v>
      </c>
    </row>
    <row r="40">
      <c r="A40" s="6" t="s">
        <v>52</v>
      </c>
      <c r="B40" s="7">
        <f t="shared" si="1"/>
        <v>34</v>
      </c>
      <c r="C40" s="9">
        <f t="shared" si="2"/>
        <v>0.3699539779</v>
      </c>
      <c r="E40" s="8">
        <f>'NHL Movement'!H40</f>
        <v>0.9073135871</v>
      </c>
      <c r="F40" s="9">
        <f>'NHL Tracking'!Z40</f>
        <v>-4.431873018</v>
      </c>
      <c r="G40" s="9">
        <f t="shared" si="3"/>
        <v>-3.524559431</v>
      </c>
    </row>
    <row r="41">
      <c r="A41" s="6" t="s">
        <v>53</v>
      </c>
      <c r="B41" s="7">
        <f t="shared" si="1"/>
        <v>36</v>
      </c>
      <c r="C41" s="9">
        <f t="shared" si="2"/>
        <v>0.3218599879</v>
      </c>
      <c r="E41" s="8">
        <f>'NHL Movement'!H41</f>
        <v>-1.232392539</v>
      </c>
      <c r="F41" s="9">
        <f>'NHL Tracking'!Z41</f>
        <v>-3.51001619</v>
      </c>
      <c r="G41" s="9">
        <f t="shared" si="3"/>
        <v>-4.742408728</v>
      </c>
    </row>
    <row r="42">
      <c r="A42" s="6" t="s">
        <v>54</v>
      </c>
      <c r="B42" s="7">
        <f t="shared" si="1"/>
        <v>24</v>
      </c>
      <c r="C42" s="9">
        <f t="shared" si="2"/>
        <v>0.4537285478</v>
      </c>
      <c r="E42" s="8">
        <f>'NHL Movement'!H42</f>
        <v>-1.124514214</v>
      </c>
      <c r="F42" s="9">
        <f>'NHL Tracking'!Z42</f>
        <v>-0.2786824193</v>
      </c>
      <c r="G42" s="9">
        <f t="shared" si="3"/>
        <v>-1.403196634</v>
      </c>
    </row>
    <row r="43">
      <c r="A43" s="6" t="s">
        <v>55</v>
      </c>
      <c r="B43" s="7">
        <f t="shared" si="1"/>
        <v>25</v>
      </c>
      <c r="C43" s="9">
        <f t="shared" si="2"/>
        <v>0.4528809243</v>
      </c>
      <c r="E43" s="8">
        <f>'NHL Movement'!H43</f>
        <v>1.020530456</v>
      </c>
      <c r="F43" s="9">
        <f>'NHL Tracking'!Z43</f>
        <v>-2.445190846</v>
      </c>
      <c r="G43" s="9">
        <f t="shared" si="3"/>
        <v>-1.42466039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156</v>
      </c>
      <c r="C1" s="2" t="s">
        <v>157</v>
      </c>
      <c r="E1" s="2" t="s">
        <v>158</v>
      </c>
      <c r="F1" s="2" t="s">
        <v>157</v>
      </c>
      <c r="H1" s="2" t="s">
        <v>159</v>
      </c>
      <c r="I1" s="4" t="s">
        <v>68</v>
      </c>
      <c r="J1" s="4" t="s">
        <v>160</v>
      </c>
      <c r="M1" s="2"/>
      <c r="P1" s="2"/>
    </row>
    <row r="2">
      <c r="A2" s="6" t="s">
        <v>9</v>
      </c>
      <c r="B2" s="14">
        <v>0.54</v>
      </c>
      <c r="C2" s="9">
        <f t="shared" ref="C2:C43" si="1">-(B2-$B$45)/$B$46</f>
        <v>0.8734249108</v>
      </c>
      <c r="E2" s="14">
        <v>0.91</v>
      </c>
      <c r="F2" s="9">
        <f t="shared" ref="F2:F43" si="2">-(E2-$E$45)/$E$46</f>
        <v>0.8607090609</v>
      </c>
      <c r="H2" s="9">
        <f t="shared" ref="H2:H43" si="3">C2+F2</f>
        <v>1.734133972</v>
      </c>
      <c r="I2" s="63">
        <f t="shared" ref="I2:I43" si="4">RANK(H2,$H$2:$H$43)</f>
        <v>8</v>
      </c>
      <c r="J2" s="31">
        <f t="shared" ref="J2:J43" si="5">(H2-MIN($H$2:$H$43))/(MAX($H$2:$H$43)-MIN($H$2:$H$43))</f>
        <v>0.8511154716</v>
      </c>
      <c r="P2" s="9"/>
    </row>
    <row r="3">
      <c r="A3" s="6" t="s">
        <v>10</v>
      </c>
      <c r="B3" s="14">
        <v>0.8525</v>
      </c>
      <c r="C3" s="9">
        <f t="shared" si="1"/>
        <v>-2.720212065</v>
      </c>
      <c r="E3" s="14">
        <v>1.185</v>
      </c>
      <c r="F3" s="9">
        <f t="shared" si="2"/>
        <v>-1.835938071</v>
      </c>
      <c r="H3" s="9">
        <f t="shared" si="3"/>
        <v>-4.556150137</v>
      </c>
      <c r="I3" s="63">
        <f t="shared" si="4"/>
        <v>41</v>
      </c>
      <c r="J3" s="31">
        <f t="shared" si="5"/>
        <v>0.09599299647</v>
      </c>
      <c r="P3" s="9"/>
    </row>
    <row r="4">
      <c r="A4" s="6" t="s">
        <v>11</v>
      </c>
      <c r="B4" s="14">
        <v>0.6625</v>
      </c>
      <c r="C4" s="9">
        <f t="shared" si="1"/>
        <v>-0.5352807839</v>
      </c>
      <c r="E4" s="14">
        <v>1.08</v>
      </c>
      <c r="F4" s="9">
        <f t="shared" si="2"/>
        <v>-0.8063091664</v>
      </c>
      <c r="H4" s="9">
        <f t="shared" si="3"/>
        <v>-1.34158995</v>
      </c>
      <c r="I4" s="63">
        <f t="shared" si="4"/>
        <v>35</v>
      </c>
      <c r="J4" s="31">
        <f t="shared" si="5"/>
        <v>0.4818875924</v>
      </c>
      <c r="P4" s="9"/>
    </row>
    <row r="5">
      <c r="A5" s="6" t="s">
        <v>12</v>
      </c>
      <c r="B5" s="14">
        <v>0.5275</v>
      </c>
      <c r="C5" s="9">
        <f t="shared" si="1"/>
        <v>1.01717039</v>
      </c>
      <c r="E5" s="14">
        <v>0.9225</v>
      </c>
      <c r="F5" s="9">
        <f t="shared" si="2"/>
        <v>0.7381341913</v>
      </c>
      <c r="H5" s="9">
        <f t="shared" si="3"/>
        <v>1.755304581</v>
      </c>
      <c r="I5" s="63">
        <f t="shared" si="4"/>
        <v>7</v>
      </c>
      <c r="J5" s="31">
        <f t="shared" si="5"/>
        <v>0.8536569153</v>
      </c>
      <c r="P5" s="9"/>
    </row>
    <row r="6">
      <c r="A6" s="6" t="s">
        <v>13</v>
      </c>
      <c r="B6" s="14">
        <v>0.5315</v>
      </c>
      <c r="C6" s="9">
        <f t="shared" si="1"/>
        <v>0.9711718365</v>
      </c>
      <c r="E6" s="14">
        <v>0.9225</v>
      </c>
      <c r="F6" s="9">
        <f t="shared" si="2"/>
        <v>0.7381341913</v>
      </c>
      <c r="H6" s="9">
        <f t="shared" si="3"/>
        <v>1.709306028</v>
      </c>
      <c r="I6" s="63">
        <f t="shared" si="4"/>
        <v>9</v>
      </c>
      <c r="J6" s="31">
        <f t="shared" si="5"/>
        <v>0.8481349801</v>
      </c>
      <c r="P6" s="9"/>
    </row>
    <row r="7">
      <c r="A7" s="6" t="s">
        <v>14</v>
      </c>
      <c r="B7" s="14">
        <v>0.57</v>
      </c>
      <c r="C7" s="9">
        <f t="shared" si="1"/>
        <v>0.5284357611</v>
      </c>
      <c r="E7" s="14">
        <v>0.9075</v>
      </c>
      <c r="F7" s="9">
        <f t="shared" si="2"/>
        <v>0.8852240348</v>
      </c>
      <c r="H7" s="9">
        <f t="shared" si="3"/>
        <v>1.413659796</v>
      </c>
      <c r="I7" s="63">
        <f t="shared" si="4"/>
        <v>11</v>
      </c>
      <c r="J7" s="31">
        <f t="shared" si="5"/>
        <v>0.8126438782</v>
      </c>
      <c r="P7" s="9"/>
    </row>
    <row r="8">
      <c r="A8" s="6" t="s">
        <v>15</v>
      </c>
      <c r="B8" s="14">
        <v>0.5025</v>
      </c>
      <c r="C8" s="9">
        <f t="shared" si="1"/>
        <v>1.304661348</v>
      </c>
      <c r="E8" s="14">
        <v>0.8275</v>
      </c>
      <c r="F8" s="9">
        <f t="shared" si="2"/>
        <v>1.669703201</v>
      </c>
      <c r="H8" s="9">
        <f t="shared" si="3"/>
        <v>2.974364549</v>
      </c>
      <c r="I8" s="63">
        <f t="shared" si="4"/>
        <v>1</v>
      </c>
      <c r="J8" s="31">
        <f t="shared" si="5"/>
        <v>1</v>
      </c>
      <c r="P8" s="9"/>
    </row>
    <row r="9">
      <c r="A9" s="6" t="s">
        <v>16</v>
      </c>
      <c r="B9" s="14">
        <v>0.665</v>
      </c>
      <c r="C9" s="9">
        <f t="shared" si="1"/>
        <v>-0.5640298797</v>
      </c>
      <c r="E9" s="14">
        <v>1.14</v>
      </c>
      <c r="F9" s="9">
        <f t="shared" si="2"/>
        <v>-1.394668541</v>
      </c>
      <c r="H9" s="9">
        <f t="shared" si="3"/>
        <v>-1.95869842</v>
      </c>
      <c r="I9" s="63">
        <f t="shared" si="4"/>
        <v>36</v>
      </c>
      <c r="J9" s="31">
        <f t="shared" si="5"/>
        <v>0.4078062843</v>
      </c>
      <c r="P9" s="9"/>
    </row>
    <row r="10">
      <c r="A10" s="6" t="s">
        <v>21</v>
      </c>
      <c r="B10" s="14">
        <v>0.7325</v>
      </c>
      <c r="C10" s="9">
        <f t="shared" si="1"/>
        <v>-1.340255467</v>
      </c>
      <c r="E10" s="14">
        <v>1.135</v>
      </c>
      <c r="F10" s="9">
        <f t="shared" si="2"/>
        <v>-1.345638593</v>
      </c>
      <c r="H10" s="9">
        <f t="shared" si="3"/>
        <v>-2.685894059</v>
      </c>
      <c r="I10" s="63">
        <f t="shared" si="4"/>
        <v>38</v>
      </c>
      <c r="J10" s="31">
        <f t="shared" si="5"/>
        <v>0.3205094689</v>
      </c>
      <c r="P10" s="9"/>
    </row>
    <row r="11">
      <c r="A11" s="6" t="s">
        <v>22</v>
      </c>
      <c r="B11" s="14">
        <v>0.5275</v>
      </c>
      <c r="C11" s="9">
        <f t="shared" si="1"/>
        <v>1.01717039</v>
      </c>
      <c r="E11" s="14">
        <v>0.8925</v>
      </c>
      <c r="F11" s="9">
        <f t="shared" si="2"/>
        <v>1.032313878</v>
      </c>
      <c r="H11" s="9">
        <f t="shared" si="3"/>
        <v>2.049484268</v>
      </c>
      <c r="I11" s="63">
        <f t="shared" si="4"/>
        <v>4</v>
      </c>
      <c r="J11" s="31">
        <f t="shared" si="5"/>
        <v>0.8889719646</v>
      </c>
      <c r="P11" s="9"/>
    </row>
    <row r="12">
      <c r="A12" s="6" t="s">
        <v>23</v>
      </c>
      <c r="B12" s="14">
        <v>0.535</v>
      </c>
      <c r="C12" s="9">
        <f t="shared" si="1"/>
        <v>0.9309231024</v>
      </c>
      <c r="E12" s="14">
        <v>0.9325</v>
      </c>
      <c r="F12" s="9">
        <f t="shared" si="2"/>
        <v>0.6400742955</v>
      </c>
      <c r="H12" s="9">
        <f t="shared" si="3"/>
        <v>1.570997398</v>
      </c>
      <c r="I12" s="63">
        <f t="shared" si="4"/>
        <v>10</v>
      </c>
      <c r="J12" s="31">
        <f t="shared" si="5"/>
        <v>0.8315316037</v>
      </c>
      <c r="P12" s="9"/>
    </row>
    <row r="13">
      <c r="A13" s="6" t="s">
        <v>25</v>
      </c>
      <c r="B13" s="14">
        <v>0.545</v>
      </c>
      <c r="C13" s="9">
        <f t="shared" si="1"/>
        <v>0.8159267192</v>
      </c>
      <c r="E13" s="14">
        <v>1.0225</v>
      </c>
      <c r="F13" s="9">
        <f t="shared" si="2"/>
        <v>-0.242464766</v>
      </c>
      <c r="H13" s="9">
        <f t="shared" si="3"/>
        <v>0.5734619532</v>
      </c>
      <c r="I13" s="63">
        <f t="shared" si="4"/>
        <v>21</v>
      </c>
      <c r="J13" s="31">
        <f t="shared" si="5"/>
        <v>0.7117816176</v>
      </c>
      <c r="P13" s="9"/>
    </row>
    <row r="14">
      <c r="A14" s="6" t="s">
        <v>26</v>
      </c>
      <c r="B14" s="14">
        <v>0.5625</v>
      </c>
      <c r="C14" s="9">
        <f t="shared" si="1"/>
        <v>0.6146830485</v>
      </c>
      <c r="E14" s="14">
        <v>1.15</v>
      </c>
      <c r="F14" s="9">
        <f t="shared" si="2"/>
        <v>-1.492728436</v>
      </c>
      <c r="H14" s="9">
        <f t="shared" si="3"/>
        <v>-0.8780453879</v>
      </c>
      <c r="I14" s="63">
        <f t="shared" si="4"/>
        <v>31</v>
      </c>
      <c r="J14" s="31">
        <f t="shared" si="5"/>
        <v>0.5375341914</v>
      </c>
      <c r="P14" s="9"/>
    </row>
    <row r="15">
      <c r="A15" s="6" t="s">
        <v>27</v>
      </c>
      <c r="B15" s="14">
        <v>0.785</v>
      </c>
      <c r="C15" s="9">
        <f t="shared" si="1"/>
        <v>-1.943986479</v>
      </c>
      <c r="E15" s="14">
        <v>1.11</v>
      </c>
      <c r="F15" s="9">
        <f t="shared" si="2"/>
        <v>-1.100488854</v>
      </c>
      <c r="H15" s="9">
        <f t="shared" si="3"/>
        <v>-3.044475332</v>
      </c>
      <c r="I15" s="63">
        <f t="shared" si="4"/>
        <v>40</v>
      </c>
      <c r="J15" s="31">
        <f t="shared" si="5"/>
        <v>0.2774632767</v>
      </c>
      <c r="P15" s="9"/>
    </row>
    <row r="16">
      <c r="A16" s="6" t="s">
        <v>28</v>
      </c>
      <c r="B16" s="14">
        <v>0.5625</v>
      </c>
      <c r="C16" s="9">
        <f t="shared" si="1"/>
        <v>0.6146830485</v>
      </c>
      <c r="E16" s="14">
        <v>0.975</v>
      </c>
      <c r="F16" s="9">
        <f t="shared" si="2"/>
        <v>0.2233197387</v>
      </c>
      <c r="H16" s="9">
        <f t="shared" si="3"/>
        <v>0.8380027872</v>
      </c>
      <c r="I16" s="63">
        <f t="shared" si="4"/>
        <v>18</v>
      </c>
      <c r="J16" s="31">
        <f t="shared" si="5"/>
        <v>0.7435386458</v>
      </c>
      <c r="P16" s="9"/>
    </row>
    <row r="17">
      <c r="A17" s="6" t="s">
        <v>29</v>
      </c>
      <c r="B17" s="14">
        <v>0.54</v>
      </c>
      <c r="C17" s="9">
        <f t="shared" si="1"/>
        <v>0.8734249108</v>
      </c>
      <c r="E17" s="14">
        <v>0.875</v>
      </c>
      <c r="F17" s="9">
        <f t="shared" si="2"/>
        <v>1.203918696</v>
      </c>
      <c r="H17" s="9">
        <f t="shared" si="3"/>
        <v>2.077343607</v>
      </c>
      <c r="I17" s="63">
        <f t="shared" si="4"/>
        <v>3</v>
      </c>
      <c r="J17" s="31">
        <f t="shared" si="5"/>
        <v>0.8923163625</v>
      </c>
      <c r="P17" s="9"/>
    </row>
    <row r="18">
      <c r="A18" s="6" t="s">
        <v>30</v>
      </c>
      <c r="B18" s="14">
        <v>0.5785</v>
      </c>
      <c r="C18" s="9">
        <f t="shared" si="1"/>
        <v>0.4306888353</v>
      </c>
      <c r="E18" s="14">
        <v>0.9275</v>
      </c>
      <c r="F18" s="9">
        <f t="shared" si="2"/>
        <v>0.6891042434</v>
      </c>
      <c r="H18" s="9">
        <f t="shared" si="3"/>
        <v>1.119793079</v>
      </c>
      <c r="I18" s="63">
        <f t="shared" si="4"/>
        <v>15</v>
      </c>
      <c r="J18" s="31">
        <f t="shared" si="5"/>
        <v>0.7773663996</v>
      </c>
      <c r="P18" s="9"/>
    </row>
    <row r="19">
      <c r="A19" s="6" t="s">
        <v>31</v>
      </c>
      <c r="B19" s="14">
        <v>0.7025</v>
      </c>
      <c r="C19" s="9">
        <f t="shared" si="1"/>
        <v>-0.9952663168</v>
      </c>
      <c r="E19" s="14">
        <v>0.9325</v>
      </c>
      <c r="F19" s="9">
        <f t="shared" si="2"/>
        <v>0.6400742955</v>
      </c>
      <c r="H19" s="9">
        <f t="shared" si="3"/>
        <v>-0.3551920213</v>
      </c>
      <c r="I19" s="63">
        <f t="shared" si="4"/>
        <v>28</v>
      </c>
      <c r="J19" s="31">
        <f t="shared" si="5"/>
        <v>0.600300566</v>
      </c>
      <c r="P19" s="9"/>
    </row>
    <row r="20">
      <c r="A20" s="6" t="s">
        <v>32</v>
      </c>
      <c r="B20" s="14">
        <v>0.545</v>
      </c>
      <c r="C20" s="9">
        <f t="shared" si="1"/>
        <v>0.8159267192</v>
      </c>
      <c r="E20" s="14">
        <v>0.8525</v>
      </c>
      <c r="F20" s="9">
        <f t="shared" si="2"/>
        <v>1.424553461</v>
      </c>
      <c r="H20" s="9">
        <f t="shared" si="3"/>
        <v>2.24048018</v>
      </c>
      <c r="I20" s="63">
        <f t="shared" si="4"/>
        <v>2</v>
      </c>
      <c r="J20" s="31">
        <f t="shared" si="5"/>
        <v>0.9119002304</v>
      </c>
      <c r="P20" s="9"/>
    </row>
    <row r="21">
      <c r="A21" s="6" t="s">
        <v>33</v>
      </c>
      <c r="B21" s="14">
        <v>0.635</v>
      </c>
      <c r="C21" s="9">
        <f t="shared" si="1"/>
        <v>-0.21904073</v>
      </c>
      <c r="E21" s="14">
        <v>1.0025</v>
      </c>
      <c r="F21" s="9">
        <f t="shared" si="2"/>
        <v>-0.04634497453</v>
      </c>
      <c r="H21" s="9">
        <f t="shared" si="3"/>
        <v>-0.2653857045</v>
      </c>
      <c r="I21" s="63">
        <f t="shared" si="4"/>
        <v>25</v>
      </c>
      <c r="J21" s="31">
        <f t="shared" si="5"/>
        <v>0.6110814412</v>
      </c>
      <c r="P21" s="9"/>
    </row>
    <row r="22">
      <c r="A22" s="6" t="s">
        <v>34</v>
      </c>
      <c r="B22" s="14">
        <v>0.5325</v>
      </c>
      <c r="C22" s="9">
        <f t="shared" si="1"/>
        <v>0.9596721982</v>
      </c>
      <c r="E22" s="14">
        <v>0.9625</v>
      </c>
      <c r="F22" s="9">
        <f t="shared" si="2"/>
        <v>0.3458946084</v>
      </c>
      <c r="H22" s="9">
        <f t="shared" si="3"/>
        <v>1.305566807</v>
      </c>
      <c r="I22" s="63">
        <f t="shared" si="4"/>
        <v>12</v>
      </c>
      <c r="J22" s="31">
        <f t="shared" si="5"/>
        <v>0.7996677639</v>
      </c>
      <c r="P22" s="9"/>
    </row>
    <row r="23">
      <c r="A23" s="6" t="s">
        <v>35</v>
      </c>
      <c r="B23" s="14">
        <v>0.6075</v>
      </c>
      <c r="C23" s="9">
        <f t="shared" si="1"/>
        <v>0.09719932393</v>
      </c>
      <c r="E23" s="14">
        <v>1.0425</v>
      </c>
      <c r="F23" s="9">
        <f t="shared" si="2"/>
        <v>-0.4385845574</v>
      </c>
      <c r="H23" s="9">
        <f t="shared" si="3"/>
        <v>-0.3413852335</v>
      </c>
      <c r="I23" s="63">
        <f t="shared" si="4"/>
        <v>26</v>
      </c>
      <c r="J23" s="31">
        <f t="shared" si="5"/>
        <v>0.6019580135</v>
      </c>
      <c r="P23" s="9"/>
    </row>
    <row r="24">
      <c r="A24" s="6" t="s">
        <v>36</v>
      </c>
      <c r="B24" s="14">
        <v>0.6915</v>
      </c>
      <c r="C24" s="9">
        <f t="shared" si="1"/>
        <v>-0.8687702953</v>
      </c>
      <c r="E24" s="14">
        <v>1.1725</v>
      </c>
      <c r="F24" s="9">
        <f t="shared" si="2"/>
        <v>-1.713363202</v>
      </c>
      <c r="H24" s="9">
        <f t="shared" si="3"/>
        <v>-2.582133497</v>
      </c>
      <c r="I24" s="63">
        <f t="shared" si="4"/>
        <v>37</v>
      </c>
      <c r="J24" s="31">
        <f t="shared" si="5"/>
        <v>0.3329654933</v>
      </c>
      <c r="P24" s="9"/>
    </row>
    <row r="25">
      <c r="A25" s="6" t="s">
        <v>37</v>
      </c>
      <c r="B25" s="14">
        <v>0.5375</v>
      </c>
      <c r="C25" s="9">
        <f t="shared" si="1"/>
        <v>0.9021740066</v>
      </c>
      <c r="E25" s="14">
        <v>0.8975</v>
      </c>
      <c r="F25" s="9">
        <f t="shared" si="2"/>
        <v>0.9832839306</v>
      </c>
      <c r="H25" s="9">
        <f t="shared" si="3"/>
        <v>1.885457937</v>
      </c>
      <c r="I25" s="63">
        <f t="shared" si="4"/>
        <v>5</v>
      </c>
      <c r="J25" s="31">
        <f t="shared" si="5"/>
        <v>0.869281285</v>
      </c>
      <c r="P25" s="9"/>
    </row>
    <row r="26">
      <c r="A26" s="6" t="s">
        <v>38</v>
      </c>
      <c r="B26" s="14">
        <v>0.6125</v>
      </c>
      <c r="C26" s="9">
        <f t="shared" si="1"/>
        <v>0.03970113231</v>
      </c>
      <c r="E26" s="14">
        <v>0.9825</v>
      </c>
      <c r="F26" s="9">
        <f t="shared" si="2"/>
        <v>0.1497748169</v>
      </c>
      <c r="H26" s="9">
        <f t="shared" si="3"/>
        <v>0.1894759492</v>
      </c>
      <c r="I26" s="63">
        <f t="shared" si="4"/>
        <v>23</v>
      </c>
      <c r="J26" s="31">
        <f t="shared" si="5"/>
        <v>0.6656856931</v>
      </c>
      <c r="P26" s="9"/>
    </row>
    <row r="27">
      <c r="A27" s="6" t="s">
        <v>39</v>
      </c>
      <c r="B27" s="14">
        <v>0.7575</v>
      </c>
      <c r="C27" s="9">
        <f t="shared" si="1"/>
        <v>-1.627746425</v>
      </c>
      <c r="E27" s="14">
        <v>1.115</v>
      </c>
      <c r="F27" s="9">
        <f t="shared" si="2"/>
        <v>-1.149518801</v>
      </c>
      <c r="H27" s="9">
        <f t="shared" si="3"/>
        <v>-2.777265226</v>
      </c>
      <c r="I27" s="63">
        <f t="shared" si="4"/>
        <v>39</v>
      </c>
      <c r="J27" s="31">
        <f t="shared" si="5"/>
        <v>0.3095407399</v>
      </c>
      <c r="P27" s="9"/>
    </row>
    <row r="28">
      <c r="A28" s="6" t="s">
        <v>40</v>
      </c>
      <c r="B28" s="14">
        <v>0.64</v>
      </c>
      <c r="C28" s="9">
        <f t="shared" si="1"/>
        <v>-0.2765389216</v>
      </c>
      <c r="E28" s="14">
        <v>0.975</v>
      </c>
      <c r="F28" s="9">
        <f t="shared" si="2"/>
        <v>0.2233197387</v>
      </c>
      <c r="H28" s="9">
        <f t="shared" si="3"/>
        <v>-0.05321918288</v>
      </c>
      <c r="I28" s="63">
        <f t="shared" si="4"/>
        <v>24</v>
      </c>
      <c r="J28" s="31">
        <f t="shared" si="5"/>
        <v>0.6365511507</v>
      </c>
      <c r="P28" s="9"/>
    </row>
    <row r="29">
      <c r="A29" s="6" t="s">
        <v>41</v>
      </c>
      <c r="B29" s="14">
        <v>0.5725</v>
      </c>
      <c r="C29" s="9">
        <f t="shared" si="1"/>
        <v>0.4996866653</v>
      </c>
      <c r="E29" s="14">
        <v>0.9775</v>
      </c>
      <c r="F29" s="9">
        <f t="shared" si="2"/>
        <v>0.1988047648</v>
      </c>
      <c r="H29" s="9">
        <f t="shared" si="3"/>
        <v>0.69849143</v>
      </c>
      <c r="I29" s="63">
        <f t="shared" si="4"/>
        <v>19</v>
      </c>
      <c r="J29" s="31">
        <f t="shared" si="5"/>
        <v>0.7267908869</v>
      </c>
      <c r="P29" s="9"/>
    </row>
    <row r="30">
      <c r="A30" s="6" t="s">
        <v>42</v>
      </c>
      <c r="B30" s="14">
        <v>0.5725</v>
      </c>
      <c r="C30" s="9">
        <f t="shared" si="1"/>
        <v>0.4996866653</v>
      </c>
      <c r="E30" s="14">
        <v>0.9315</v>
      </c>
      <c r="F30" s="9">
        <f t="shared" si="2"/>
        <v>0.6498802851</v>
      </c>
      <c r="H30" s="9">
        <f t="shared" si="3"/>
        <v>1.14956695</v>
      </c>
      <c r="I30" s="63">
        <f t="shared" si="4"/>
        <v>14</v>
      </c>
      <c r="J30" s="31">
        <f t="shared" si="5"/>
        <v>0.7809406292</v>
      </c>
      <c r="P30" s="9"/>
    </row>
    <row r="31">
      <c r="A31" s="6" t="s">
        <v>43</v>
      </c>
      <c r="B31" s="14">
        <v>0.565</v>
      </c>
      <c r="C31" s="9">
        <f t="shared" si="1"/>
        <v>0.5859339527</v>
      </c>
      <c r="E31" s="14">
        <v>0.9325</v>
      </c>
      <c r="F31" s="9">
        <f t="shared" si="2"/>
        <v>0.6400742955</v>
      </c>
      <c r="H31" s="9">
        <f t="shared" si="3"/>
        <v>1.226008248</v>
      </c>
      <c r="I31" s="63">
        <f t="shared" si="4"/>
        <v>13</v>
      </c>
      <c r="J31" s="31">
        <f t="shared" si="5"/>
        <v>0.7901170894</v>
      </c>
      <c r="P31" s="9"/>
    </row>
    <row r="32">
      <c r="A32" s="6" t="s">
        <v>44</v>
      </c>
      <c r="B32" s="14">
        <v>0.545</v>
      </c>
      <c r="C32" s="9">
        <f t="shared" si="1"/>
        <v>0.8159267192</v>
      </c>
      <c r="E32" s="14">
        <v>0.8975</v>
      </c>
      <c r="F32" s="9">
        <f t="shared" si="2"/>
        <v>0.9832839306</v>
      </c>
      <c r="H32" s="9">
        <f t="shared" si="3"/>
        <v>1.79921065</v>
      </c>
      <c r="I32" s="63">
        <f t="shared" si="4"/>
        <v>6</v>
      </c>
      <c r="J32" s="31">
        <f t="shared" si="5"/>
        <v>0.8589276565</v>
      </c>
      <c r="P32" s="9"/>
    </row>
    <row r="33">
      <c r="A33" s="6" t="s">
        <v>45</v>
      </c>
      <c r="B33" s="14">
        <v>0.5785</v>
      </c>
      <c r="C33" s="9">
        <f t="shared" si="1"/>
        <v>0.4306888353</v>
      </c>
      <c r="E33" s="14">
        <v>0.9775</v>
      </c>
      <c r="F33" s="9">
        <f t="shared" si="2"/>
        <v>0.1988047648</v>
      </c>
      <c r="H33" s="9">
        <f t="shared" si="3"/>
        <v>0.6294936001</v>
      </c>
      <c r="I33" s="63">
        <f t="shared" si="4"/>
        <v>20</v>
      </c>
      <c r="J33" s="31">
        <f t="shared" si="5"/>
        <v>0.7185079841</v>
      </c>
      <c r="P33" s="9"/>
    </row>
    <row r="34">
      <c r="A34" s="6" t="s">
        <v>46</v>
      </c>
      <c r="B34" s="14">
        <v>0.6125</v>
      </c>
      <c r="C34" s="9">
        <f t="shared" si="1"/>
        <v>0.03970113231</v>
      </c>
      <c r="E34" s="14">
        <v>1.0525</v>
      </c>
      <c r="F34" s="9">
        <f t="shared" si="2"/>
        <v>-0.5366444531</v>
      </c>
      <c r="H34" s="9">
        <f t="shared" si="3"/>
        <v>-0.4969433208</v>
      </c>
      <c r="I34" s="63">
        <f t="shared" si="4"/>
        <v>29</v>
      </c>
      <c r="J34" s="31">
        <f t="shared" si="5"/>
        <v>0.5832839113</v>
      </c>
      <c r="P34" s="9"/>
    </row>
    <row r="35">
      <c r="A35" s="6" t="s">
        <v>47</v>
      </c>
      <c r="B35" s="14">
        <v>0.8325</v>
      </c>
      <c r="C35" s="9">
        <f t="shared" si="1"/>
        <v>-2.490219299</v>
      </c>
      <c r="E35" s="14">
        <v>1.29</v>
      </c>
      <c r="F35" s="9">
        <f t="shared" si="2"/>
        <v>-2.865566977</v>
      </c>
      <c r="H35" s="9">
        <f t="shared" si="3"/>
        <v>-5.355786276</v>
      </c>
      <c r="I35" s="63">
        <f t="shared" si="4"/>
        <v>42</v>
      </c>
      <c r="J35" s="31">
        <f t="shared" si="5"/>
        <v>0</v>
      </c>
      <c r="P35" s="9"/>
    </row>
    <row r="36">
      <c r="A36" s="6" t="s">
        <v>48</v>
      </c>
      <c r="B36" s="14">
        <v>0.69</v>
      </c>
      <c r="C36" s="9">
        <f t="shared" si="1"/>
        <v>-0.8515208378</v>
      </c>
      <c r="E36" s="14">
        <v>0.9925</v>
      </c>
      <c r="F36" s="9">
        <f t="shared" si="2"/>
        <v>0.0517149212</v>
      </c>
      <c r="H36" s="9">
        <f t="shared" si="3"/>
        <v>-0.7998059166</v>
      </c>
      <c r="I36" s="63">
        <f t="shared" si="4"/>
        <v>30</v>
      </c>
      <c r="J36" s="31">
        <f t="shared" si="5"/>
        <v>0.5469265149</v>
      </c>
      <c r="P36" s="9"/>
    </row>
    <row r="37">
      <c r="A37" s="6" t="s">
        <v>49</v>
      </c>
      <c r="B37" s="14">
        <v>0.6975</v>
      </c>
      <c r="C37" s="9">
        <f t="shared" si="1"/>
        <v>-0.9377681252</v>
      </c>
      <c r="E37" s="14">
        <v>1.02</v>
      </c>
      <c r="F37" s="9">
        <f t="shared" si="2"/>
        <v>-0.217949792</v>
      </c>
      <c r="H37" s="9">
        <f t="shared" si="3"/>
        <v>-1.155717917</v>
      </c>
      <c r="I37" s="63">
        <f t="shared" si="4"/>
        <v>33</v>
      </c>
      <c r="J37" s="31">
        <f t="shared" si="5"/>
        <v>0.5042007578</v>
      </c>
      <c r="P37" s="9"/>
    </row>
    <row r="38">
      <c r="A38" s="6" t="s">
        <v>50</v>
      </c>
      <c r="B38" s="14">
        <v>0.61</v>
      </c>
      <c r="C38" s="9">
        <f t="shared" si="1"/>
        <v>0.06845022812</v>
      </c>
      <c r="E38" s="14">
        <v>0.955</v>
      </c>
      <c r="F38" s="9">
        <f t="shared" si="2"/>
        <v>0.4194395302</v>
      </c>
      <c r="H38" s="9">
        <f t="shared" si="3"/>
        <v>0.4878897583</v>
      </c>
      <c r="I38" s="63">
        <f t="shared" si="4"/>
        <v>22</v>
      </c>
      <c r="J38" s="31">
        <f t="shared" si="5"/>
        <v>0.7015090311</v>
      </c>
      <c r="P38" s="9"/>
    </row>
    <row r="39">
      <c r="A39" s="6" t="s">
        <v>51</v>
      </c>
      <c r="B39" s="14">
        <v>0.6275</v>
      </c>
      <c r="C39" s="9">
        <f t="shared" si="1"/>
        <v>-0.1327934425</v>
      </c>
      <c r="E39" s="14">
        <v>1.02</v>
      </c>
      <c r="F39" s="9">
        <f t="shared" si="2"/>
        <v>-0.217949792</v>
      </c>
      <c r="H39" s="9">
        <f t="shared" si="3"/>
        <v>-0.3507432346</v>
      </c>
      <c r="I39" s="63">
        <f t="shared" si="4"/>
        <v>27</v>
      </c>
      <c r="J39" s="31">
        <f t="shared" si="5"/>
        <v>0.6008346243</v>
      </c>
      <c r="P39" s="9"/>
    </row>
    <row r="40">
      <c r="A40" s="6" t="s">
        <v>52</v>
      </c>
      <c r="B40" s="14">
        <v>0.565</v>
      </c>
      <c r="C40" s="9">
        <f t="shared" si="1"/>
        <v>0.5859339527</v>
      </c>
      <c r="E40" s="14">
        <v>0.965</v>
      </c>
      <c r="F40" s="9">
        <f t="shared" si="2"/>
        <v>0.3213796344</v>
      </c>
      <c r="H40" s="9">
        <f t="shared" si="3"/>
        <v>0.9073135871</v>
      </c>
      <c r="I40" s="63">
        <f t="shared" si="4"/>
        <v>17</v>
      </c>
      <c r="J40" s="31">
        <f t="shared" si="5"/>
        <v>0.7518591193</v>
      </c>
      <c r="P40" s="9"/>
    </row>
    <row r="41">
      <c r="A41" s="6" t="s">
        <v>53</v>
      </c>
      <c r="B41" s="14">
        <v>0.6125</v>
      </c>
      <c r="C41" s="9">
        <f t="shared" si="1"/>
        <v>0.03970113231</v>
      </c>
      <c r="E41" s="14">
        <v>1.1275</v>
      </c>
      <c r="F41" s="9">
        <f t="shared" si="2"/>
        <v>-1.272093671</v>
      </c>
      <c r="H41" s="9">
        <f t="shared" si="3"/>
        <v>-1.232392539</v>
      </c>
      <c r="I41" s="63">
        <f t="shared" si="4"/>
        <v>34</v>
      </c>
      <c r="J41" s="31">
        <f t="shared" si="5"/>
        <v>0.494996288</v>
      </c>
      <c r="P41" s="9"/>
    </row>
    <row r="42">
      <c r="A42" s="6" t="s">
        <v>54</v>
      </c>
      <c r="B42" s="14">
        <v>0.7225</v>
      </c>
      <c r="C42" s="9">
        <f t="shared" si="1"/>
        <v>-1.225259083</v>
      </c>
      <c r="E42" s="14">
        <v>0.9875</v>
      </c>
      <c r="F42" s="9">
        <f t="shared" si="2"/>
        <v>0.1007448691</v>
      </c>
      <c r="H42" s="9">
        <f t="shared" si="3"/>
        <v>-1.124514214</v>
      </c>
      <c r="I42" s="63">
        <f t="shared" si="4"/>
        <v>32</v>
      </c>
      <c r="J42" s="31">
        <f t="shared" si="5"/>
        <v>0.5079466327</v>
      </c>
      <c r="P42" s="9"/>
    </row>
    <row r="43">
      <c r="A43" s="6" t="s">
        <v>55</v>
      </c>
      <c r="B43" s="14">
        <v>0.585</v>
      </c>
      <c r="C43" s="9">
        <f t="shared" si="1"/>
        <v>0.3559411862</v>
      </c>
      <c r="E43" s="14">
        <v>0.93</v>
      </c>
      <c r="F43" s="9">
        <f t="shared" si="2"/>
        <v>0.6645892695</v>
      </c>
      <c r="H43" s="9">
        <f t="shared" si="3"/>
        <v>1.020530456</v>
      </c>
      <c r="I43" s="63">
        <f t="shared" si="4"/>
        <v>16</v>
      </c>
      <c r="J43" s="31">
        <f t="shared" si="5"/>
        <v>0.7654503341</v>
      </c>
      <c r="P43" s="9"/>
    </row>
    <row r="45">
      <c r="B45" s="33">
        <f>AVERAGE(B2:B43)</f>
        <v>0.615952381</v>
      </c>
      <c r="E45" s="33">
        <f>AVERAGE(E2:E43)</f>
        <v>0.9977738095</v>
      </c>
    </row>
    <row r="46">
      <c r="B46" s="33">
        <f>STDEV(B2:B43)</f>
        <v>0.08695925662</v>
      </c>
      <c r="E46" s="33">
        <f>STDEV(E2:E43)</f>
        <v>0.101978489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1" t="s">
        <v>0</v>
      </c>
      <c r="B1" s="2" t="s">
        <v>161</v>
      </c>
      <c r="C1" s="2" t="s">
        <v>157</v>
      </c>
      <c r="E1" s="2" t="s">
        <v>162</v>
      </c>
      <c r="F1" s="2" t="s">
        <v>157</v>
      </c>
      <c r="H1" s="5" t="s">
        <v>163</v>
      </c>
      <c r="I1" s="37" t="s">
        <v>157</v>
      </c>
      <c r="J1" s="6"/>
      <c r="K1" s="5" t="s">
        <v>164</v>
      </c>
      <c r="L1" s="37" t="s">
        <v>157</v>
      </c>
      <c r="N1" s="5" t="s">
        <v>165</v>
      </c>
      <c r="O1" s="37" t="s">
        <v>157</v>
      </c>
      <c r="P1" s="6"/>
      <c r="Q1" s="5" t="s">
        <v>166</v>
      </c>
      <c r="R1" s="37" t="s">
        <v>157</v>
      </c>
      <c r="T1" s="5" t="s">
        <v>167</v>
      </c>
      <c r="U1" s="37" t="s">
        <v>157</v>
      </c>
      <c r="V1" s="6"/>
      <c r="W1" s="5" t="s">
        <v>168</v>
      </c>
      <c r="X1" s="37" t="s">
        <v>157</v>
      </c>
      <c r="Y1" s="2"/>
      <c r="Z1" s="2" t="s">
        <v>159</v>
      </c>
      <c r="AA1" s="4" t="s">
        <v>68</v>
      </c>
      <c r="AB1" s="4" t="s">
        <v>169</v>
      </c>
    </row>
    <row r="2">
      <c r="A2" s="6" t="s">
        <v>9</v>
      </c>
      <c r="B2" s="14">
        <v>0.71</v>
      </c>
      <c r="C2" s="9">
        <f t="shared" ref="C2:C43" si="1">(B2-$B$45)/$B$46</f>
        <v>0.4199789475</v>
      </c>
      <c r="E2" s="14">
        <v>15.4</v>
      </c>
      <c r="F2" s="9">
        <f t="shared" ref="F2:F43" si="2">(E2-$E$45)/$E$46</f>
        <v>1.218470502</v>
      </c>
      <c r="H2" s="14">
        <v>0.14</v>
      </c>
      <c r="I2" s="9">
        <f t="shared" ref="I2:I21" si="3">(H2-$H$45)/$H$46</f>
        <v>-0.3634358235</v>
      </c>
      <c r="K2" s="14">
        <v>-4.27</v>
      </c>
      <c r="L2" s="9">
        <f t="shared" ref="L2:L21" si="4">(K2-$K$45)/$K$46</f>
        <v>-0.522844987</v>
      </c>
      <c r="N2" s="14">
        <v>0.6</v>
      </c>
      <c r="O2" s="9">
        <f t="shared" ref="O2:O11" si="5">(N2-$N$45)/$N$46</f>
        <v>0.9984383951</v>
      </c>
      <c r="Q2" s="14">
        <v>6.12</v>
      </c>
      <c r="R2" s="9">
        <f t="shared" ref="R2:R11" si="6">(Q2-$Q$45)/$Q$46</f>
        <v>0.2100274609</v>
      </c>
      <c r="T2" s="14">
        <v>-0.84</v>
      </c>
      <c r="U2" s="9">
        <f>(T2-$T$45)/$T$46</f>
        <v>-0.9638337672</v>
      </c>
      <c r="W2" s="14">
        <v>-2.47</v>
      </c>
      <c r="X2" s="9">
        <f>(W2-$W$45)/$W$46</f>
        <v>-0.7855272692</v>
      </c>
      <c r="Z2" s="9">
        <f t="shared" ref="Z2:Z43" si="7">C2+F2+I2+L2+O2+R2+U2+X2</f>
        <v>0.2112734586</v>
      </c>
      <c r="AA2" s="63">
        <f t="shared" ref="AA2:AA43" si="8">RANK(Z2,$Z$2:$Z$43)</f>
        <v>19</v>
      </c>
      <c r="AB2" s="31">
        <f t="shared" ref="AB2:AB43" si="9">(Z2-MIN($Z$2:$Z$43))/(MAX($Z$2:$Z$43)-MIN($Z$2:$Z$43))</f>
        <v>0.5199309415</v>
      </c>
    </row>
    <row r="3">
      <c r="A3" s="6" t="s">
        <v>10</v>
      </c>
      <c r="B3" s="14">
        <v>0.59</v>
      </c>
      <c r="C3" s="9">
        <f t="shared" si="1"/>
        <v>0.2085210159</v>
      </c>
      <c r="E3" s="14">
        <v>2.65</v>
      </c>
      <c r="F3" s="9">
        <f t="shared" si="2"/>
        <v>0.009504661416</v>
      </c>
      <c r="H3" s="14">
        <v>0.89</v>
      </c>
      <c r="I3" s="9">
        <f t="shared" si="3"/>
        <v>0.4975542822</v>
      </c>
      <c r="K3" s="14">
        <v>13.2</v>
      </c>
      <c r="L3" s="9">
        <f t="shared" si="4"/>
        <v>0.5238240427</v>
      </c>
      <c r="N3" s="14">
        <v>0.21</v>
      </c>
      <c r="O3" s="9">
        <f t="shared" si="5"/>
        <v>0.5076683522</v>
      </c>
      <c r="Q3" s="14">
        <v>2.22</v>
      </c>
      <c r="R3" s="9">
        <f t="shared" si="6"/>
        <v>-0.06094369613</v>
      </c>
      <c r="T3" s="22"/>
      <c r="U3" s="61"/>
      <c r="W3" s="22"/>
      <c r="X3" s="61"/>
      <c r="Z3" s="9">
        <f t="shared" si="7"/>
        <v>1.686128658</v>
      </c>
      <c r="AA3" s="63">
        <f t="shared" si="8"/>
        <v>12</v>
      </c>
      <c r="AB3" s="31">
        <f t="shared" si="9"/>
        <v>0.5938174697</v>
      </c>
    </row>
    <row r="4">
      <c r="A4" s="6" t="s">
        <v>11</v>
      </c>
      <c r="B4" s="14">
        <v>0.07</v>
      </c>
      <c r="C4" s="9">
        <f t="shared" si="1"/>
        <v>-0.7077966878</v>
      </c>
      <c r="E4" s="14">
        <v>0.49</v>
      </c>
      <c r="F4" s="9">
        <f t="shared" si="2"/>
        <v>-0.1953083751</v>
      </c>
      <c r="H4" s="14">
        <v>0.87</v>
      </c>
      <c r="I4" s="9">
        <f t="shared" si="3"/>
        <v>0.4745945461</v>
      </c>
      <c r="K4" s="14">
        <v>23.59</v>
      </c>
      <c r="L4" s="9">
        <f t="shared" si="4"/>
        <v>1.146313523</v>
      </c>
      <c r="N4" s="14">
        <v>0.03</v>
      </c>
      <c r="O4" s="9">
        <f t="shared" si="5"/>
        <v>0.2811591015</v>
      </c>
      <c r="Q4" s="14">
        <v>7.61</v>
      </c>
      <c r="R4" s="9">
        <f t="shared" si="6"/>
        <v>0.3135523389</v>
      </c>
      <c r="T4" s="29">
        <v>-0.21</v>
      </c>
      <c r="U4" s="9">
        <f t="shared" ref="U4:U11" si="10">(T4-$T$45)/$T$46</f>
        <v>-0.2933715589</v>
      </c>
      <c r="W4" s="13">
        <v>2.97</v>
      </c>
      <c r="X4" s="9">
        <f t="shared" ref="X4:X11" si="11">(W4-$W$45)/$W$46</f>
        <v>-0.1238940615</v>
      </c>
      <c r="Z4" s="9">
        <f t="shared" si="7"/>
        <v>0.8952488262</v>
      </c>
      <c r="AA4" s="63">
        <f t="shared" si="8"/>
        <v>14</v>
      </c>
      <c r="AB4" s="31">
        <f t="shared" si="9"/>
        <v>0.5541963835</v>
      </c>
    </row>
    <row r="5">
      <c r="A5" s="6" t="s">
        <v>12</v>
      </c>
      <c r="B5" s="14">
        <v>0.97</v>
      </c>
      <c r="C5" s="9">
        <f t="shared" si="1"/>
        <v>0.8781377993</v>
      </c>
      <c r="E5" s="14">
        <v>13.37</v>
      </c>
      <c r="F5" s="9">
        <f t="shared" si="2"/>
        <v>1.025984176</v>
      </c>
      <c r="H5" s="14">
        <v>1.18</v>
      </c>
      <c r="I5" s="9">
        <f t="shared" si="3"/>
        <v>0.8304704564</v>
      </c>
      <c r="K5" s="14">
        <v>19.1</v>
      </c>
      <c r="L5" s="9">
        <f t="shared" si="4"/>
        <v>0.8773070006</v>
      </c>
      <c r="N5" s="14">
        <v>1.69</v>
      </c>
      <c r="O5" s="9">
        <f t="shared" si="5"/>
        <v>2.370077746</v>
      </c>
      <c r="Q5" s="14">
        <v>42.46</v>
      </c>
      <c r="R5" s="9">
        <f t="shared" si="6"/>
        <v>2.734922806</v>
      </c>
      <c r="T5" s="29">
        <v>0.35</v>
      </c>
      <c r="U5" s="9">
        <f t="shared" si="10"/>
        <v>0.3025948485</v>
      </c>
      <c r="W5" s="13">
        <v>7.45</v>
      </c>
      <c r="X5" s="9">
        <f t="shared" si="11"/>
        <v>0.4209803449</v>
      </c>
      <c r="Z5" s="9">
        <f t="shared" si="7"/>
        <v>9.440475178</v>
      </c>
      <c r="AA5" s="63">
        <f t="shared" si="8"/>
        <v>3</v>
      </c>
      <c r="AB5" s="31">
        <f t="shared" si="9"/>
        <v>0.982290686</v>
      </c>
    </row>
    <row r="6">
      <c r="A6" s="6" t="s">
        <v>13</v>
      </c>
      <c r="B6" s="14">
        <v>1.22</v>
      </c>
      <c r="C6" s="9">
        <f t="shared" si="1"/>
        <v>1.318675157</v>
      </c>
      <c r="E6" s="14">
        <v>12.06</v>
      </c>
      <c r="F6" s="9">
        <f t="shared" si="2"/>
        <v>0.9017688621</v>
      </c>
      <c r="H6" s="14">
        <v>1.58</v>
      </c>
      <c r="I6" s="9">
        <f t="shared" si="3"/>
        <v>1.289665179</v>
      </c>
      <c r="K6" s="14">
        <v>14.06</v>
      </c>
      <c r="L6" s="9">
        <f t="shared" si="4"/>
        <v>0.5753486773</v>
      </c>
      <c r="N6" s="14">
        <v>-0.28</v>
      </c>
      <c r="O6" s="9">
        <f t="shared" si="5"/>
        <v>-0.1089401634</v>
      </c>
      <c r="Q6" s="14">
        <v>6.21</v>
      </c>
      <c r="R6" s="9">
        <f t="shared" si="6"/>
        <v>0.2162806415</v>
      </c>
      <c r="T6" s="29">
        <v>1.33</v>
      </c>
      <c r="U6" s="9">
        <f t="shared" si="10"/>
        <v>1.345536061</v>
      </c>
      <c r="W6" s="13">
        <v>9.47</v>
      </c>
      <c r="X6" s="9">
        <f t="shared" si="11"/>
        <v>0.6666603228</v>
      </c>
      <c r="Z6" s="9">
        <f t="shared" si="7"/>
        <v>6.204994738</v>
      </c>
      <c r="AA6" s="63">
        <f t="shared" si="8"/>
        <v>7</v>
      </c>
      <c r="AB6" s="31">
        <f t="shared" si="9"/>
        <v>0.8202012708</v>
      </c>
    </row>
    <row r="7">
      <c r="A7" s="6" t="s">
        <v>14</v>
      </c>
      <c r="B7" s="14">
        <v>-0.01</v>
      </c>
      <c r="C7" s="9">
        <f t="shared" si="1"/>
        <v>-0.8487686422</v>
      </c>
      <c r="E7" s="14">
        <v>-12.45</v>
      </c>
      <c r="F7" s="9">
        <f t="shared" si="2"/>
        <v>-1.422290177</v>
      </c>
      <c r="H7" s="14">
        <v>0.69</v>
      </c>
      <c r="I7" s="9">
        <f t="shared" si="3"/>
        <v>0.2679569207</v>
      </c>
      <c r="K7" s="14">
        <v>24.08</v>
      </c>
      <c r="L7" s="9">
        <f t="shared" si="4"/>
        <v>1.175670582</v>
      </c>
      <c r="N7" s="14">
        <v>-0.45</v>
      </c>
      <c r="O7" s="9">
        <f t="shared" si="5"/>
        <v>-0.3228655667</v>
      </c>
      <c r="Q7" s="14">
        <v>-6.74</v>
      </c>
      <c r="R7" s="9">
        <f t="shared" si="6"/>
        <v>-0.6834825595</v>
      </c>
      <c r="T7" s="29">
        <v>-0.46</v>
      </c>
      <c r="U7" s="9">
        <f t="shared" si="10"/>
        <v>-0.5594279908</v>
      </c>
      <c r="W7" s="13">
        <v>-1.3</v>
      </c>
      <c r="X7" s="9">
        <f t="shared" si="11"/>
        <v>-0.64322748</v>
      </c>
      <c r="Z7" s="9">
        <f t="shared" si="7"/>
        <v>-3.036434914</v>
      </c>
      <c r="AA7" s="63">
        <f t="shared" si="8"/>
        <v>32</v>
      </c>
      <c r="AB7" s="31">
        <f t="shared" si="9"/>
        <v>0.3572289377</v>
      </c>
    </row>
    <row r="8">
      <c r="A8" s="6" t="s">
        <v>15</v>
      </c>
      <c r="B8" s="14">
        <v>0.92</v>
      </c>
      <c r="C8" s="9">
        <f t="shared" si="1"/>
        <v>0.7900303278</v>
      </c>
      <c r="E8" s="14">
        <v>16.47</v>
      </c>
      <c r="F8" s="9">
        <f t="shared" si="2"/>
        <v>1.319928812</v>
      </c>
      <c r="H8" s="14">
        <v>1.55</v>
      </c>
      <c r="I8" s="9">
        <f t="shared" si="3"/>
        <v>1.255225575</v>
      </c>
      <c r="K8" s="14">
        <v>29.4</v>
      </c>
      <c r="L8" s="9">
        <f t="shared" si="4"/>
        <v>1.494404368</v>
      </c>
      <c r="N8" s="14">
        <v>0.44</v>
      </c>
      <c r="O8" s="9">
        <f t="shared" si="5"/>
        <v>0.797096839</v>
      </c>
      <c r="Q8" s="14">
        <v>21.43</v>
      </c>
      <c r="R8" s="9">
        <f t="shared" si="6"/>
        <v>1.273762952</v>
      </c>
      <c r="T8" s="29">
        <v>0.55</v>
      </c>
      <c r="U8" s="9">
        <f t="shared" si="10"/>
        <v>0.515439994</v>
      </c>
      <c r="W8" s="13">
        <v>20.51</v>
      </c>
      <c r="X8" s="9">
        <f t="shared" si="11"/>
        <v>2.009386539</v>
      </c>
      <c r="Z8" s="9">
        <f t="shared" si="7"/>
        <v>9.455275406</v>
      </c>
      <c r="AA8" s="63">
        <f t="shared" si="8"/>
        <v>2</v>
      </c>
      <c r="AB8" s="31">
        <f t="shared" si="9"/>
        <v>0.9830321401</v>
      </c>
    </row>
    <row r="9">
      <c r="A9" s="6" t="s">
        <v>16</v>
      </c>
      <c r="B9" s="14">
        <v>1.41</v>
      </c>
      <c r="C9" s="9">
        <f t="shared" si="1"/>
        <v>1.653483549</v>
      </c>
      <c r="E9" s="14">
        <v>20.42</v>
      </c>
      <c r="F9" s="9">
        <f t="shared" si="2"/>
        <v>1.69447117</v>
      </c>
      <c r="H9" s="14">
        <v>1.26</v>
      </c>
      <c r="I9" s="9">
        <f t="shared" si="3"/>
        <v>0.922309401</v>
      </c>
      <c r="K9" s="14">
        <v>30.11</v>
      </c>
      <c r="L9" s="9">
        <f t="shared" si="4"/>
        <v>1.536942148</v>
      </c>
      <c r="N9" s="14">
        <v>0.46</v>
      </c>
      <c r="O9" s="9">
        <f t="shared" si="5"/>
        <v>0.8222645336</v>
      </c>
      <c r="Q9" s="14">
        <v>7.48</v>
      </c>
      <c r="R9" s="9">
        <f t="shared" si="6"/>
        <v>0.304519967</v>
      </c>
      <c r="T9" s="29">
        <v>0.8</v>
      </c>
      <c r="U9" s="9">
        <f t="shared" si="10"/>
        <v>0.7814964259</v>
      </c>
      <c r="W9" s="13">
        <v>9.31</v>
      </c>
      <c r="X9" s="9">
        <f t="shared" si="11"/>
        <v>0.6472005226</v>
      </c>
      <c r="Z9" s="9">
        <f t="shared" si="7"/>
        <v>8.362687716</v>
      </c>
      <c r="AA9" s="63">
        <f t="shared" si="8"/>
        <v>4</v>
      </c>
      <c r="AB9" s="31">
        <f t="shared" si="9"/>
        <v>0.9282962506</v>
      </c>
    </row>
    <row r="10">
      <c r="A10" s="6" t="s">
        <v>21</v>
      </c>
      <c r="B10" s="14">
        <v>-0.35</v>
      </c>
      <c r="C10" s="9">
        <f t="shared" si="1"/>
        <v>-1.447899448</v>
      </c>
      <c r="E10" s="14">
        <v>-15.12</v>
      </c>
      <c r="F10" s="9">
        <f t="shared" si="2"/>
        <v>-1.675461847</v>
      </c>
      <c r="H10" s="14">
        <v>1.27</v>
      </c>
      <c r="I10" s="9">
        <f t="shared" si="3"/>
        <v>0.9337892691</v>
      </c>
      <c r="K10" s="14">
        <v>16.22</v>
      </c>
      <c r="L10" s="9">
        <f t="shared" si="4"/>
        <v>0.7047593873</v>
      </c>
      <c r="N10" s="14">
        <v>-0.7</v>
      </c>
      <c r="O10" s="9">
        <f t="shared" si="5"/>
        <v>-0.6374617481</v>
      </c>
      <c r="Q10" s="14">
        <v>-12.87</v>
      </c>
      <c r="R10" s="9">
        <f t="shared" si="6"/>
        <v>-1.109393635</v>
      </c>
      <c r="T10" s="29">
        <v>-0.91</v>
      </c>
      <c r="U10" s="9">
        <f t="shared" si="10"/>
        <v>-1.038329568</v>
      </c>
      <c r="W10" s="13">
        <v>-2.91</v>
      </c>
      <c r="X10" s="9">
        <f t="shared" si="11"/>
        <v>-0.8390417198</v>
      </c>
      <c r="Z10" s="9">
        <f t="shared" si="7"/>
        <v>-5.10903931</v>
      </c>
      <c r="AA10" s="63">
        <f t="shared" si="8"/>
        <v>37</v>
      </c>
      <c r="AB10" s="31">
        <f t="shared" si="9"/>
        <v>0.2533966813</v>
      </c>
    </row>
    <row r="11">
      <c r="A11" s="6" t="s">
        <v>22</v>
      </c>
      <c r="B11" s="14">
        <v>0.49</v>
      </c>
      <c r="C11" s="9">
        <f t="shared" si="1"/>
        <v>0.03230607289</v>
      </c>
      <c r="E11" s="14">
        <v>17.36</v>
      </c>
      <c r="F11" s="9">
        <f t="shared" si="2"/>
        <v>1.404319368</v>
      </c>
      <c r="H11" s="14">
        <v>1.04</v>
      </c>
      <c r="I11" s="9">
        <f t="shared" si="3"/>
        <v>0.6697523034</v>
      </c>
      <c r="K11" s="14">
        <v>20.03</v>
      </c>
      <c r="L11" s="9">
        <f t="shared" si="4"/>
        <v>0.9330255008</v>
      </c>
      <c r="N11" s="14">
        <v>0.7</v>
      </c>
      <c r="O11" s="9">
        <f t="shared" si="5"/>
        <v>1.124276868</v>
      </c>
      <c r="Q11" s="14">
        <v>17.87</v>
      </c>
      <c r="R11" s="9">
        <f t="shared" si="6"/>
        <v>1.026414921</v>
      </c>
      <c r="T11" s="29">
        <v>0.81</v>
      </c>
      <c r="U11" s="9">
        <f t="shared" si="10"/>
        <v>0.7921386832</v>
      </c>
      <c r="W11" s="13">
        <v>19.53</v>
      </c>
      <c r="X11" s="9">
        <f t="shared" si="11"/>
        <v>1.890195262</v>
      </c>
      <c r="Z11" s="9">
        <f t="shared" si="7"/>
        <v>7.87242898</v>
      </c>
      <c r="AA11" s="63">
        <f t="shared" si="8"/>
        <v>5</v>
      </c>
      <c r="AB11" s="31">
        <f t="shared" si="9"/>
        <v>0.9037355236</v>
      </c>
    </row>
    <row r="12">
      <c r="A12" s="6" t="s">
        <v>23</v>
      </c>
      <c r="B12" s="14">
        <v>0.87</v>
      </c>
      <c r="C12" s="9">
        <f t="shared" si="1"/>
        <v>0.7019228563</v>
      </c>
      <c r="E12" s="14">
        <v>9.62</v>
      </c>
      <c r="F12" s="9">
        <f t="shared" si="2"/>
        <v>0.6704059875</v>
      </c>
      <c r="H12" s="14">
        <v>-0.31</v>
      </c>
      <c r="I12" s="9">
        <f t="shared" si="3"/>
        <v>-0.8800298869</v>
      </c>
      <c r="K12" s="14">
        <v>-4.35</v>
      </c>
      <c r="L12" s="9">
        <f t="shared" si="4"/>
        <v>-0.5276379762</v>
      </c>
      <c r="N12" s="22"/>
      <c r="O12" s="61"/>
      <c r="Q12" s="22"/>
      <c r="R12" s="61"/>
      <c r="T12" s="22"/>
      <c r="U12" s="61"/>
      <c r="W12" s="22"/>
      <c r="X12" s="61"/>
      <c r="Z12" s="9">
        <f t="shared" si="7"/>
        <v>-0.03533901928</v>
      </c>
      <c r="AA12" s="63">
        <f t="shared" si="8"/>
        <v>21</v>
      </c>
      <c r="AB12" s="31">
        <f t="shared" si="9"/>
        <v>0.5075762779</v>
      </c>
    </row>
    <row r="13">
      <c r="A13" s="6" t="s">
        <v>25</v>
      </c>
      <c r="B13" s="14">
        <v>0.37</v>
      </c>
      <c r="C13" s="9">
        <f t="shared" si="1"/>
        <v>-0.1791518587</v>
      </c>
      <c r="E13" s="14">
        <v>7.03</v>
      </c>
      <c r="F13" s="9">
        <f t="shared" si="2"/>
        <v>0.4248199854</v>
      </c>
      <c r="H13" s="14">
        <v>-0.03</v>
      </c>
      <c r="I13" s="9">
        <f t="shared" si="3"/>
        <v>-0.5585935808</v>
      </c>
      <c r="K13" s="14">
        <v>11.52</v>
      </c>
      <c r="L13" s="9">
        <f t="shared" si="4"/>
        <v>0.4231712682</v>
      </c>
      <c r="N13" s="14">
        <v>0.29</v>
      </c>
      <c r="O13" s="9">
        <f t="shared" ref="O13:O21" si="12">(N13-$N$45)/$N$46</f>
        <v>0.6083391302</v>
      </c>
      <c r="Q13" s="14">
        <v>3.94</v>
      </c>
      <c r="R13" s="9">
        <f t="shared" ref="R13:R21" si="13">(Q13-$Q$45)/$Q$46</f>
        <v>0.05856153211</v>
      </c>
      <c r="T13" s="22"/>
      <c r="U13" s="61"/>
      <c r="W13" s="22"/>
      <c r="X13" s="61"/>
      <c r="Z13" s="9">
        <f t="shared" si="7"/>
        <v>0.7771464765</v>
      </c>
      <c r="AA13" s="63">
        <f t="shared" si="8"/>
        <v>16</v>
      </c>
      <c r="AB13" s="31">
        <f t="shared" si="9"/>
        <v>0.5482797534</v>
      </c>
    </row>
    <row r="14">
      <c r="A14" s="6" t="s">
        <v>26</v>
      </c>
      <c r="B14" s="14">
        <v>0.71</v>
      </c>
      <c r="C14" s="9">
        <f t="shared" si="1"/>
        <v>0.4199789475</v>
      </c>
      <c r="E14" s="14">
        <v>12.17</v>
      </c>
      <c r="F14" s="9">
        <f t="shared" si="2"/>
        <v>0.9121991556</v>
      </c>
      <c r="H14" s="14">
        <v>0.02</v>
      </c>
      <c r="I14" s="9">
        <f t="shared" si="3"/>
        <v>-0.5011942404</v>
      </c>
      <c r="K14" s="14">
        <v>-4.45</v>
      </c>
      <c r="L14" s="9">
        <f t="shared" si="4"/>
        <v>-0.5336292128</v>
      </c>
      <c r="N14" s="14">
        <v>-0.87</v>
      </c>
      <c r="O14" s="9">
        <f t="shared" si="12"/>
        <v>-0.8513871515</v>
      </c>
      <c r="Q14" s="14">
        <v>5.27</v>
      </c>
      <c r="R14" s="9">
        <f t="shared" si="13"/>
        <v>0.1509696446</v>
      </c>
      <c r="T14" s="29">
        <v>-0.4</v>
      </c>
      <c r="U14" s="9">
        <f t="shared" ref="U14:U19" si="14">(T14-$T$45)/$T$46</f>
        <v>-0.4955744471</v>
      </c>
      <c r="W14" s="13">
        <v>6.57</v>
      </c>
      <c r="X14" s="9">
        <f t="shared" ref="X14:X19" si="15">(W14-$W$45)/$W$46</f>
        <v>0.3139514437</v>
      </c>
      <c r="Z14" s="9">
        <f t="shared" si="7"/>
        <v>-0.5846858603</v>
      </c>
      <c r="AA14" s="63">
        <f t="shared" si="8"/>
        <v>25</v>
      </c>
      <c r="AB14" s="31">
        <f t="shared" si="9"/>
        <v>0.4800553858</v>
      </c>
    </row>
    <row r="15">
      <c r="A15" s="6" t="s">
        <v>27</v>
      </c>
      <c r="B15" s="14">
        <v>0.53</v>
      </c>
      <c r="C15" s="9">
        <f t="shared" si="1"/>
        <v>0.1027920501</v>
      </c>
      <c r="E15" s="14">
        <v>4.96</v>
      </c>
      <c r="F15" s="9">
        <f t="shared" si="2"/>
        <v>0.2285408255</v>
      </c>
      <c r="H15" s="14">
        <v>0.72</v>
      </c>
      <c r="I15" s="9">
        <f t="shared" si="3"/>
        <v>0.3023965249</v>
      </c>
      <c r="K15" s="14">
        <v>7.73</v>
      </c>
      <c r="L15" s="9">
        <f t="shared" si="4"/>
        <v>0.196103402</v>
      </c>
      <c r="N15" s="14">
        <v>-0.74</v>
      </c>
      <c r="O15" s="9">
        <f t="shared" si="12"/>
        <v>-0.6877971372</v>
      </c>
      <c r="Q15" s="14">
        <v>-0.63</v>
      </c>
      <c r="R15" s="9">
        <f t="shared" si="13"/>
        <v>-0.2589610801</v>
      </c>
      <c r="T15" s="29">
        <v>-0.02</v>
      </c>
      <c r="U15" s="9">
        <f t="shared" si="14"/>
        <v>-0.09116867066</v>
      </c>
      <c r="W15" s="13">
        <v>3.31</v>
      </c>
      <c r="X15" s="9">
        <f t="shared" si="15"/>
        <v>-0.08254198597</v>
      </c>
      <c r="Z15" s="9">
        <f t="shared" si="7"/>
        <v>-0.2906360714</v>
      </c>
      <c r="AA15" s="63">
        <f t="shared" si="8"/>
        <v>23</v>
      </c>
      <c r="AB15" s="31">
        <f t="shared" si="9"/>
        <v>0.4947865391</v>
      </c>
    </row>
    <row r="16">
      <c r="A16" s="6" t="s">
        <v>28</v>
      </c>
      <c r="B16" s="14">
        <v>1.15</v>
      </c>
      <c r="C16" s="9">
        <f t="shared" si="1"/>
        <v>1.195324697</v>
      </c>
      <c r="E16" s="14">
        <v>-2.86</v>
      </c>
      <c r="F16" s="9">
        <f t="shared" si="2"/>
        <v>-0.5129582234</v>
      </c>
      <c r="H16" s="14">
        <v>-0.25</v>
      </c>
      <c r="I16" s="9">
        <f t="shared" si="3"/>
        <v>-0.8111506784</v>
      </c>
      <c r="K16" s="14">
        <v>-18.53</v>
      </c>
      <c r="L16" s="9">
        <f t="shared" si="4"/>
        <v>-1.377195323</v>
      </c>
      <c r="N16" s="14">
        <v>-0.67</v>
      </c>
      <c r="O16" s="9">
        <f t="shared" si="12"/>
        <v>-0.5997102064</v>
      </c>
      <c r="Q16" s="14">
        <v>-7.46</v>
      </c>
      <c r="R16" s="9">
        <f t="shared" si="13"/>
        <v>-0.7335080039</v>
      </c>
      <c r="T16" s="29">
        <v>0.2</v>
      </c>
      <c r="U16" s="9">
        <f t="shared" si="14"/>
        <v>0.1429609894</v>
      </c>
      <c r="W16" s="13">
        <v>2.0</v>
      </c>
      <c r="X16" s="9">
        <f t="shared" si="15"/>
        <v>-0.2418691003</v>
      </c>
      <c r="Z16" s="9">
        <f t="shared" si="7"/>
        <v>-2.938105849</v>
      </c>
      <c r="AA16" s="63">
        <f t="shared" si="8"/>
        <v>31</v>
      </c>
      <c r="AB16" s="31">
        <f t="shared" si="9"/>
        <v>0.362154976</v>
      </c>
    </row>
    <row r="17">
      <c r="A17" s="6" t="s">
        <v>29</v>
      </c>
      <c r="B17" s="14">
        <v>1.15</v>
      </c>
      <c r="C17" s="9">
        <f t="shared" si="1"/>
        <v>1.195324697</v>
      </c>
      <c r="E17" s="14">
        <v>14.28</v>
      </c>
      <c r="F17" s="9">
        <f t="shared" si="2"/>
        <v>1.11227115</v>
      </c>
      <c r="H17" s="14">
        <v>1.97</v>
      </c>
      <c r="I17" s="9">
        <f t="shared" si="3"/>
        <v>1.737380034</v>
      </c>
      <c r="K17" s="14">
        <v>36.23</v>
      </c>
      <c r="L17" s="9">
        <f t="shared" si="4"/>
        <v>1.903605826</v>
      </c>
      <c r="N17" s="14">
        <v>0.97</v>
      </c>
      <c r="O17" s="9">
        <f t="shared" si="12"/>
        <v>1.464040744</v>
      </c>
      <c r="Q17" s="14">
        <v>28.97</v>
      </c>
      <c r="R17" s="9">
        <f t="shared" si="13"/>
        <v>1.797640522</v>
      </c>
      <c r="T17" s="29">
        <v>0.43</v>
      </c>
      <c r="U17" s="9">
        <f t="shared" si="14"/>
        <v>0.3877329067</v>
      </c>
      <c r="W17" s="13">
        <v>5.6</v>
      </c>
      <c r="X17" s="9">
        <f t="shared" si="15"/>
        <v>0.1959764048</v>
      </c>
      <c r="Z17" s="9">
        <f t="shared" si="7"/>
        <v>9.793972284</v>
      </c>
      <c r="AA17" s="63">
        <f t="shared" si="8"/>
        <v>1</v>
      </c>
      <c r="AB17" s="31">
        <f t="shared" si="9"/>
        <v>1</v>
      </c>
    </row>
    <row r="18">
      <c r="A18" s="6" t="s">
        <v>30</v>
      </c>
      <c r="B18" s="14">
        <v>0.57</v>
      </c>
      <c r="C18" s="9">
        <f t="shared" si="1"/>
        <v>0.1732780273</v>
      </c>
      <c r="E18" s="14">
        <v>11.45</v>
      </c>
      <c r="F18" s="9">
        <f t="shared" si="2"/>
        <v>0.8439281435</v>
      </c>
      <c r="H18" s="14">
        <v>-0.05</v>
      </c>
      <c r="I18" s="9">
        <f t="shared" si="3"/>
        <v>-0.5815533169</v>
      </c>
      <c r="K18" s="14">
        <v>-11.07</v>
      </c>
      <c r="L18" s="9">
        <f t="shared" si="4"/>
        <v>-0.9302490741</v>
      </c>
      <c r="N18" s="14">
        <v>-1.85</v>
      </c>
      <c r="O18" s="9">
        <f t="shared" si="12"/>
        <v>-2.084604183</v>
      </c>
      <c r="Q18" s="14">
        <v>-8.87</v>
      </c>
      <c r="R18" s="9">
        <f t="shared" si="13"/>
        <v>-0.8314744991</v>
      </c>
      <c r="T18" s="29">
        <v>2.64</v>
      </c>
      <c r="U18" s="9">
        <f t="shared" si="14"/>
        <v>2.739671765</v>
      </c>
      <c r="W18" s="13">
        <v>4.88</v>
      </c>
      <c r="X18" s="9">
        <f t="shared" si="15"/>
        <v>0.1084073038</v>
      </c>
      <c r="Z18" s="9">
        <f t="shared" si="7"/>
        <v>-0.5625958337</v>
      </c>
      <c r="AA18" s="63">
        <f t="shared" si="8"/>
        <v>24</v>
      </c>
      <c r="AB18" s="31">
        <f t="shared" si="9"/>
        <v>0.4811620404</v>
      </c>
    </row>
    <row r="19">
      <c r="A19" s="6" t="s">
        <v>31</v>
      </c>
      <c r="B19" s="14">
        <v>-0.62</v>
      </c>
      <c r="C19" s="9">
        <f t="shared" si="1"/>
        <v>-1.923679795</v>
      </c>
      <c r="E19" s="14">
        <v>-19.42</v>
      </c>
      <c r="F19" s="9">
        <f t="shared" si="2"/>
        <v>-2.083191503</v>
      </c>
      <c r="H19" s="14">
        <v>1.15</v>
      </c>
      <c r="I19" s="9">
        <f t="shared" si="3"/>
        <v>0.7960308522</v>
      </c>
      <c r="K19" s="14">
        <v>5.74</v>
      </c>
      <c r="L19" s="9">
        <f t="shared" si="4"/>
        <v>0.0768777942</v>
      </c>
      <c r="N19" s="14">
        <v>-1.72</v>
      </c>
      <c r="O19" s="9">
        <f t="shared" si="12"/>
        <v>-1.921014168</v>
      </c>
      <c r="Q19" s="14">
        <v>-18.06</v>
      </c>
      <c r="R19" s="9">
        <f t="shared" si="13"/>
        <v>-1.469993713</v>
      </c>
      <c r="T19" s="29">
        <v>-1.43</v>
      </c>
      <c r="U19" s="9">
        <f t="shared" si="14"/>
        <v>-1.591726946</v>
      </c>
      <c r="W19" s="13">
        <v>-12.87</v>
      </c>
      <c r="X19" s="9">
        <f t="shared" si="15"/>
        <v>-2.050414284</v>
      </c>
      <c r="Z19" s="9">
        <f t="shared" si="7"/>
        <v>-10.16711176</v>
      </c>
      <c r="AA19" s="63">
        <f t="shared" si="8"/>
        <v>42</v>
      </c>
      <c r="AB19" s="31">
        <f t="shared" si="9"/>
        <v>0</v>
      </c>
    </row>
    <row r="20">
      <c r="A20" s="6" t="s">
        <v>32</v>
      </c>
      <c r="B20" s="14">
        <v>1.03</v>
      </c>
      <c r="C20" s="9">
        <f t="shared" si="1"/>
        <v>0.9838667651</v>
      </c>
      <c r="E20" s="14">
        <v>11.1</v>
      </c>
      <c r="F20" s="9">
        <f t="shared" si="2"/>
        <v>0.8107408459</v>
      </c>
      <c r="H20" s="14">
        <v>-0.76</v>
      </c>
      <c r="I20" s="9">
        <f t="shared" si="3"/>
        <v>-1.39662395</v>
      </c>
      <c r="K20" s="14">
        <v>-15.89</v>
      </c>
      <c r="L20" s="9">
        <f t="shared" si="4"/>
        <v>-1.219026677</v>
      </c>
      <c r="N20" s="14">
        <v>-0.49</v>
      </c>
      <c r="O20" s="9">
        <f t="shared" si="12"/>
        <v>-0.3732009558</v>
      </c>
      <c r="Q20" s="14">
        <v>2.72</v>
      </c>
      <c r="R20" s="9">
        <f t="shared" si="13"/>
        <v>-0.0262038042</v>
      </c>
      <c r="T20" s="22"/>
      <c r="U20" s="61"/>
      <c r="W20" s="22"/>
      <c r="X20" s="61"/>
      <c r="Z20" s="9">
        <f t="shared" si="7"/>
        <v>-1.220447776</v>
      </c>
      <c r="AA20" s="63">
        <f t="shared" si="8"/>
        <v>26</v>
      </c>
      <c r="AB20" s="31">
        <f t="shared" si="9"/>
        <v>0.4482053162</v>
      </c>
    </row>
    <row r="21">
      <c r="A21" s="6" t="s">
        <v>33</v>
      </c>
      <c r="B21" s="14">
        <v>1.26</v>
      </c>
      <c r="C21" s="9">
        <f t="shared" si="1"/>
        <v>1.389161134</v>
      </c>
      <c r="E21" s="14">
        <v>18.51</v>
      </c>
      <c r="F21" s="9">
        <f t="shared" si="2"/>
        <v>1.513363346</v>
      </c>
      <c r="H21" s="14">
        <v>-0.11</v>
      </c>
      <c r="I21" s="9">
        <f t="shared" si="3"/>
        <v>-0.6504325254</v>
      </c>
      <c r="K21" s="14">
        <v>-2.05</v>
      </c>
      <c r="L21" s="9">
        <f t="shared" si="4"/>
        <v>-0.389839535</v>
      </c>
      <c r="N21" s="14">
        <v>0.27</v>
      </c>
      <c r="O21" s="9">
        <f t="shared" si="12"/>
        <v>0.5831714357</v>
      </c>
      <c r="Q21" s="14">
        <v>15.01</v>
      </c>
      <c r="R21" s="9">
        <f t="shared" si="13"/>
        <v>0.8277027394</v>
      </c>
      <c r="T21" s="29">
        <v>0.55</v>
      </c>
      <c r="U21" s="9">
        <f>(T21-$T$45)/$T$46</f>
        <v>0.515439994</v>
      </c>
      <c r="W21" s="13">
        <v>8.03</v>
      </c>
      <c r="X21" s="9">
        <f>(W21-$W$45)/$W$46</f>
        <v>0.4915221208</v>
      </c>
      <c r="Z21" s="9">
        <f t="shared" si="7"/>
        <v>4.28008871</v>
      </c>
      <c r="AA21" s="63">
        <f t="shared" si="8"/>
        <v>8</v>
      </c>
      <c r="AB21" s="31">
        <f t="shared" si="9"/>
        <v>0.7237683303</v>
      </c>
    </row>
    <row r="22">
      <c r="A22" s="6" t="s">
        <v>34</v>
      </c>
      <c r="B22" s="14">
        <v>0.97</v>
      </c>
      <c r="C22" s="9">
        <f t="shared" si="1"/>
        <v>0.8781377993</v>
      </c>
      <c r="E22" s="14">
        <v>15.21</v>
      </c>
      <c r="F22" s="9">
        <f t="shared" si="2"/>
        <v>1.20045454</v>
      </c>
      <c r="H22" s="22"/>
      <c r="I22" s="22"/>
      <c r="K22" s="22"/>
      <c r="L22" s="61"/>
      <c r="N22" s="22"/>
      <c r="O22" s="61"/>
      <c r="Q22" s="22"/>
      <c r="R22" s="61"/>
      <c r="T22" s="22"/>
      <c r="U22" s="61"/>
      <c r="W22" s="22"/>
      <c r="X22" s="61"/>
      <c r="Z22" s="9">
        <f t="shared" si="7"/>
        <v>2.07859234</v>
      </c>
      <c r="AA22" s="63">
        <f t="shared" si="8"/>
        <v>9</v>
      </c>
      <c r="AB22" s="31">
        <f t="shared" si="9"/>
        <v>0.613478911</v>
      </c>
    </row>
    <row r="23">
      <c r="A23" s="6" t="s">
        <v>35</v>
      </c>
      <c r="B23" s="14">
        <v>-0.11</v>
      </c>
      <c r="C23" s="9">
        <f t="shared" si="1"/>
        <v>-1.024983585</v>
      </c>
      <c r="E23" s="14">
        <v>-16.8</v>
      </c>
      <c r="F23" s="9">
        <f t="shared" si="2"/>
        <v>-1.834760876</v>
      </c>
      <c r="H23" s="14">
        <v>0.48</v>
      </c>
      <c r="I23" s="9">
        <f t="shared" ref="I23:I43" si="16">(H23-$H$45)/$H$46</f>
        <v>0.0268796911</v>
      </c>
      <c r="K23" s="14">
        <v>-1.11</v>
      </c>
      <c r="L23" s="9">
        <f t="shared" ref="L23:L43" si="17">(K23-$K$45)/$K$46</f>
        <v>-0.3335219112</v>
      </c>
      <c r="N23" s="22"/>
      <c r="O23" s="61"/>
      <c r="Q23" s="22"/>
      <c r="R23" s="61"/>
      <c r="T23" s="22"/>
      <c r="U23" s="61"/>
      <c r="W23" s="22"/>
      <c r="X23" s="61"/>
      <c r="Z23" s="9">
        <f t="shared" si="7"/>
        <v>-3.166386681</v>
      </c>
      <c r="AA23" s="63">
        <f t="shared" si="8"/>
        <v>33</v>
      </c>
      <c r="AB23" s="31">
        <f t="shared" si="9"/>
        <v>0.3507186817</v>
      </c>
    </row>
    <row r="24">
      <c r="A24" s="6" t="s">
        <v>36</v>
      </c>
      <c r="B24" s="14">
        <v>0.59</v>
      </c>
      <c r="C24" s="9">
        <f t="shared" si="1"/>
        <v>0.2085210159</v>
      </c>
      <c r="E24" s="14">
        <v>-0.22</v>
      </c>
      <c r="F24" s="9">
        <f t="shared" si="2"/>
        <v>-0.2626311787</v>
      </c>
      <c r="H24" s="14">
        <v>0.06</v>
      </c>
      <c r="I24" s="9">
        <f t="shared" si="16"/>
        <v>-0.4552747681</v>
      </c>
      <c r="K24" s="14">
        <v>7.0</v>
      </c>
      <c r="L24" s="9">
        <f t="shared" si="17"/>
        <v>0.152367375</v>
      </c>
      <c r="N24" s="29">
        <v>0.29</v>
      </c>
      <c r="O24" s="9">
        <f>(N24-$N$45)/$N$46</f>
        <v>0.6083391302</v>
      </c>
      <c r="Q24" s="13">
        <v>18.5</v>
      </c>
      <c r="R24" s="9">
        <f>(Q24-$Q$45)/$Q$46</f>
        <v>1.070187185</v>
      </c>
      <c r="T24" s="29">
        <v>-0.57</v>
      </c>
      <c r="U24" s="9">
        <f>(T24-$T$45)/$T$46</f>
        <v>-0.6764928208</v>
      </c>
      <c r="W24" s="13">
        <v>0.88</v>
      </c>
      <c r="X24" s="9">
        <f>(W24-$W$45)/$W$46</f>
        <v>-0.3780877019</v>
      </c>
      <c r="Z24" s="9">
        <f t="shared" si="7"/>
        <v>0.2669282367</v>
      </c>
      <c r="AA24" s="63">
        <f t="shared" si="8"/>
        <v>18</v>
      </c>
      <c r="AB24" s="31">
        <f t="shared" si="9"/>
        <v>0.5227191056</v>
      </c>
    </row>
    <row r="25">
      <c r="A25" s="6" t="s">
        <v>37</v>
      </c>
      <c r="B25" s="14">
        <v>0.82</v>
      </c>
      <c r="C25" s="9">
        <f t="shared" si="1"/>
        <v>0.6138153848</v>
      </c>
      <c r="E25" s="14">
        <v>5.34</v>
      </c>
      <c r="F25" s="9">
        <f t="shared" si="2"/>
        <v>0.2645727485</v>
      </c>
      <c r="H25" s="14">
        <v>0.68</v>
      </c>
      <c r="I25" s="9">
        <f t="shared" si="16"/>
        <v>0.2564770526</v>
      </c>
      <c r="K25" s="14">
        <v>4.1</v>
      </c>
      <c r="L25" s="9">
        <f t="shared" si="17"/>
        <v>-0.02137848563</v>
      </c>
      <c r="N25" s="22"/>
      <c r="O25" s="61"/>
      <c r="Q25" s="22"/>
      <c r="R25" s="61"/>
      <c r="T25" s="22"/>
      <c r="U25" s="61"/>
      <c r="W25" s="22"/>
      <c r="X25" s="61"/>
      <c r="Z25" s="9">
        <f t="shared" si="7"/>
        <v>1.1134867</v>
      </c>
      <c r="AA25" s="63">
        <f t="shared" si="8"/>
        <v>13</v>
      </c>
      <c r="AB25" s="31">
        <f t="shared" si="9"/>
        <v>0.5651295509</v>
      </c>
    </row>
    <row r="26">
      <c r="A26" s="6" t="s">
        <v>38</v>
      </c>
      <c r="B26" s="14">
        <v>1.43</v>
      </c>
      <c r="C26" s="9">
        <f t="shared" si="1"/>
        <v>1.688726537</v>
      </c>
      <c r="E26" s="14">
        <v>2.17</v>
      </c>
      <c r="F26" s="9">
        <f t="shared" si="2"/>
        <v>-0.0360093467</v>
      </c>
      <c r="H26" s="14">
        <v>0.07</v>
      </c>
      <c r="I26" s="9">
        <f t="shared" si="16"/>
        <v>-0.4437949</v>
      </c>
      <c r="K26" s="14">
        <v>-18.3</v>
      </c>
      <c r="L26" s="9">
        <f t="shared" si="17"/>
        <v>-1.363415478</v>
      </c>
      <c r="N26" s="29">
        <v>0.67</v>
      </c>
      <c r="O26" s="9">
        <f t="shared" ref="O26:O28" si="18">(N26-$N$45)/$N$46</f>
        <v>1.086525326</v>
      </c>
      <c r="Q26" s="13">
        <v>23.03</v>
      </c>
      <c r="R26" s="9">
        <f t="shared" ref="R26:R28" si="19">(Q26-$Q$45)/$Q$46</f>
        <v>1.384930606</v>
      </c>
      <c r="T26" s="29">
        <v>-0.77</v>
      </c>
      <c r="U26" s="9">
        <f t="shared" ref="U26:U28" si="20">(T26-$T$45)/$T$46</f>
        <v>-0.8893379663</v>
      </c>
      <c r="W26" s="13">
        <v>-6.02</v>
      </c>
      <c r="X26" s="9">
        <f t="shared" ref="X26:X28" si="21">(W26-$W$45)/$W$46</f>
        <v>-1.217291587</v>
      </c>
      <c r="Z26" s="9">
        <f t="shared" si="7"/>
        <v>0.2103331909</v>
      </c>
      <c r="AA26" s="63">
        <f t="shared" si="8"/>
        <v>20</v>
      </c>
      <c r="AB26" s="31">
        <f t="shared" si="9"/>
        <v>0.5198838364</v>
      </c>
    </row>
    <row r="27">
      <c r="A27" s="6" t="s">
        <v>39</v>
      </c>
      <c r="B27" s="14">
        <v>0.05</v>
      </c>
      <c r="C27" s="9">
        <f t="shared" si="1"/>
        <v>-0.7430396764</v>
      </c>
      <c r="E27" s="14">
        <v>-17.92</v>
      </c>
      <c r="F27" s="9">
        <f t="shared" si="2"/>
        <v>-1.940960228</v>
      </c>
      <c r="H27" s="14">
        <v>-0.08</v>
      </c>
      <c r="I27" s="9">
        <f t="shared" si="16"/>
        <v>-0.6159929211</v>
      </c>
      <c r="K27" s="14">
        <v>-7.64</v>
      </c>
      <c r="L27" s="9">
        <f t="shared" si="17"/>
        <v>-0.7247496596</v>
      </c>
      <c r="N27" s="29">
        <v>-0.17</v>
      </c>
      <c r="O27" s="9">
        <f t="shared" si="18"/>
        <v>0.02948215643</v>
      </c>
      <c r="Q27" s="13">
        <v>-4.67</v>
      </c>
      <c r="R27" s="9">
        <f t="shared" si="19"/>
        <v>-0.5396594069</v>
      </c>
      <c r="T27" s="29">
        <v>-0.27</v>
      </c>
      <c r="U27" s="9">
        <f t="shared" si="20"/>
        <v>-0.3572251025</v>
      </c>
      <c r="W27" s="13">
        <v>-5.99</v>
      </c>
      <c r="X27" s="9">
        <f t="shared" si="21"/>
        <v>-1.213642874</v>
      </c>
      <c r="Z27" s="9">
        <f t="shared" si="7"/>
        <v>-6.105787712</v>
      </c>
      <c r="AA27" s="63">
        <f t="shared" si="8"/>
        <v>38</v>
      </c>
      <c r="AB27" s="31">
        <f t="shared" si="9"/>
        <v>0.2034620986</v>
      </c>
    </row>
    <row r="28">
      <c r="A28" s="6" t="s">
        <v>40</v>
      </c>
      <c r="B28" s="14">
        <v>0.27</v>
      </c>
      <c r="C28" s="9">
        <f t="shared" si="1"/>
        <v>-0.3553668017</v>
      </c>
      <c r="E28" s="14">
        <v>2.69</v>
      </c>
      <c r="F28" s="9">
        <f t="shared" si="2"/>
        <v>0.01329749543</v>
      </c>
      <c r="H28" s="14">
        <v>1.49</v>
      </c>
      <c r="I28" s="9">
        <f t="shared" si="16"/>
        <v>1.186346367</v>
      </c>
      <c r="K28" s="14">
        <v>30.4</v>
      </c>
      <c r="L28" s="9">
        <f t="shared" si="17"/>
        <v>1.554316734</v>
      </c>
      <c r="N28" s="29">
        <v>-0.95</v>
      </c>
      <c r="O28" s="9">
        <f t="shared" si="18"/>
        <v>-0.9520579295</v>
      </c>
      <c r="Q28" s="13">
        <v>-7.95</v>
      </c>
      <c r="R28" s="9">
        <f t="shared" si="19"/>
        <v>-0.767553098</v>
      </c>
      <c r="T28" s="29">
        <v>0.92</v>
      </c>
      <c r="U28" s="9">
        <f t="shared" si="20"/>
        <v>0.9092035132</v>
      </c>
      <c r="W28" s="13">
        <v>6.28</v>
      </c>
      <c r="X28" s="9">
        <f t="shared" si="21"/>
        <v>0.2786805558</v>
      </c>
      <c r="Z28" s="9">
        <f t="shared" si="7"/>
        <v>1.866866836</v>
      </c>
      <c r="AA28" s="63">
        <f t="shared" si="8"/>
        <v>11</v>
      </c>
      <c r="AB28" s="31">
        <f t="shared" si="9"/>
        <v>0.6028719968</v>
      </c>
    </row>
    <row r="29">
      <c r="A29" s="6" t="s">
        <v>41</v>
      </c>
      <c r="B29" s="14">
        <v>0.05</v>
      </c>
      <c r="C29" s="9">
        <f t="shared" si="1"/>
        <v>-0.7430396764</v>
      </c>
      <c r="E29" s="14">
        <v>1.66</v>
      </c>
      <c r="F29" s="9">
        <f t="shared" si="2"/>
        <v>-0.08436798031</v>
      </c>
      <c r="H29" s="14">
        <v>1.62</v>
      </c>
      <c r="I29" s="9">
        <f t="shared" si="16"/>
        <v>1.335584652</v>
      </c>
      <c r="K29" s="14">
        <v>3.89</v>
      </c>
      <c r="L29" s="9">
        <f t="shared" si="17"/>
        <v>-0.03396008244</v>
      </c>
      <c r="N29" s="22"/>
      <c r="O29" s="61"/>
      <c r="Q29" s="22"/>
      <c r="R29" s="61"/>
      <c r="T29" s="22"/>
      <c r="U29" s="61"/>
      <c r="W29" s="22"/>
      <c r="X29" s="61"/>
      <c r="Z29" s="9">
        <f t="shared" si="7"/>
        <v>0.4742169127</v>
      </c>
      <c r="AA29" s="63">
        <f t="shared" si="8"/>
        <v>17</v>
      </c>
      <c r="AB29" s="31">
        <f t="shared" si="9"/>
        <v>0.5331037458</v>
      </c>
    </row>
    <row r="30">
      <c r="A30" s="6" t="s">
        <v>42</v>
      </c>
      <c r="B30" s="14">
        <v>0.54</v>
      </c>
      <c r="C30" s="9">
        <f t="shared" si="1"/>
        <v>0.1204135444</v>
      </c>
      <c r="E30" s="14">
        <v>-4.54</v>
      </c>
      <c r="F30" s="9">
        <f t="shared" si="2"/>
        <v>-0.6722572517</v>
      </c>
      <c r="H30" s="14">
        <v>0.05</v>
      </c>
      <c r="I30" s="9">
        <f t="shared" si="16"/>
        <v>-0.4667546362</v>
      </c>
      <c r="K30" s="14">
        <v>-5.72</v>
      </c>
      <c r="L30" s="9">
        <f t="shared" si="17"/>
        <v>-0.6097179173</v>
      </c>
      <c r="N30" s="29">
        <v>-1.41</v>
      </c>
      <c r="O30" s="9">
        <f>(N30-$N$45)/$N$46</f>
        <v>-1.530914903</v>
      </c>
      <c r="Q30" s="13">
        <v>-10.15</v>
      </c>
      <c r="R30" s="9">
        <f>(Q30-$Q$45)/$Q$46</f>
        <v>-0.9204086225</v>
      </c>
      <c r="T30" s="29">
        <v>-0.86</v>
      </c>
      <c r="U30" s="9">
        <f>(T30-$T$45)/$T$46</f>
        <v>-0.9851182818</v>
      </c>
      <c r="W30" s="13">
        <v>-7.41</v>
      </c>
      <c r="X30" s="9">
        <f>(W30-$W$45)/$W$46</f>
        <v>-1.386348601</v>
      </c>
      <c r="Z30" s="9">
        <f t="shared" si="7"/>
        <v>-6.45110667</v>
      </c>
      <c r="AA30" s="63">
        <f t="shared" si="8"/>
        <v>39</v>
      </c>
      <c r="AB30" s="31">
        <f t="shared" si="9"/>
        <v>0.1861624892</v>
      </c>
    </row>
    <row r="31">
      <c r="A31" s="6" t="s">
        <v>43</v>
      </c>
      <c r="B31" s="14">
        <v>0.15</v>
      </c>
      <c r="C31" s="9">
        <f t="shared" si="1"/>
        <v>-0.5668247333</v>
      </c>
      <c r="E31" s="14">
        <v>-1.05</v>
      </c>
      <c r="F31" s="9">
        <f t="shared" si="2"/>
        <v>-0.3413324844</v>
      </c>
      <c r="H31" s="14">
        <v>0.35</v>
      </c>
      <c r="I31" s="9">
        <f t="shared" si="16"/>
        <v>-0.1223585939</v>
      </c>
      <c r="K31" s="14">
        <v>-0.39</v>
      </c>
      <c r="L31" s="9">
        <f t="shared" si="17"/>
        <v>-0.2903850079</v>
      </c>
      <c r="N31" s="22"/>
      <c r="O31" s="61"/>
      <c r="Q31" s="22"/>
      <c r="R31" s="61"/>
      <c r="T31" s="22"/>
      <c r="U31" s="61"/>
      <c r="W31" s="22"/>
      <c r="X31" s="61"/>
      <c r="Z31" s="9">
        <f t="shared" si="7"/>
        <v>-1.32090082</v>
      </c>
      <c r="AA31" s="63">
        <f t="shared" si="8"/>
        <v>27</v>
      </c>
      <c r="AB31" s="31">
        <f t="shared" si="9"/>
        <v>0.4431728719</v>
      </c>
    </row>
    <row r="32">
      <c r="A32" s="6" t="s">
        <v>44</v>
      </c>
      <c r="B32" s="51">
        <v>0.9</v>
      </c>
      <c r="C32" s="9">
        <f t="shared" si="1"/>
        <v>0.7547873392</v>
      </c>
      <c r="E32" s="14">
        <v>7.55</v>
      </c>
      <c r="F32" s="9">
        <f t="shared" si="2"/>
        <v>0.4741268276</v>
      </c>
      <c r="H32" s="14">
        <v>1.28</v>
      </c>
      <c r="I32" s="9">
        <f t="shared" si="16"/>
        <v>0.9452691372</v>
      </c>
      <c r="K32" s="14">
        <v>2.0</v>
      </c>
      <c r="L32" s="9">
        <f t="shared" si="17"/>
        <v>-0.1471944537</v>
      </c>
      <c r="N32" s="22"/>
      <c r="O32" s="61"/>
      <c r="Q32" s="64"/>
      <c r="R32" s="61"/>
      <c r="T32" s="22"/>
      <c r="U32" s="61"/>
      <c r="W32" s="22"/>
      <c r="X32" s="61"/>
      <c r="Z32" s="9">
        <f t="shared" si="7"/>
        <v>2.02698885</v>
      </c>
      <c r="AA32" s="63">
        <f t="shared" si="8"/>
        <v>10</v>
      </c>
      <c r="AB32" s="31">
        <f t="shared" si="9"/>
        <v>0.6108937062</v>
      </c>
    </row>
    <row r="33">
      <c r="A33" s="13" t="s">
        <v>126</v>
      </c>
      <c r="B33" s="14">
        <v>0.96</v>
      </c>
      <c r="C33" s="9">
        <f t="shared" si="1"/>
        <v>0.860516305</v>
      </c>
      <c r="E33" s="14">
        <v>-0.9</v>
      </c>
      <c r="F33" s="9">
        <f t="shared" si="2"/>
        <v>-0.3271093569</v>
      </c>
      <c r="H33" s="14">
        <v>0.88</v>
      </c>
      <c r="I33" s="9">
        <f t="shared" si="16"/>
        <v>0.4860744141</v>
      </c>
      <c r="K33" s="14">
        <v>-2.54</v>
      </c>
      <c r="L33" s="9">
        <f t="shared" si="17"/>
        <v>-0.4191965942</v>
      </c>
      <c r="N33" s="14">
        <v>-0.94</v>
      </c>
      <c r="O33" s="9">
        <f t="shared" ref="O33:O43" si="22">(N33-$N$45)/$N$46</f>
        <v>-0.9394740823</v>
      </c>
      <c r="Q33" s="14">
        <v>-15.5</v>
      </c>
      <c r="R33" s="9">
        <f t="shared" ref="R33:R43" si="23">(Q33-$Q$45)/$Q$46</f>
        <v>-1.292125466</v>
      </c>
      <c r="T33" s="22"/>
      <c r="U33" s="61"/>
      <c r="W33" s="22"/>
      <c r="X33" s="61"/>
      <c r="Z33" s="9">
        <f t="shared" si="7"/>
        <v>-1.63131478</v>
      </c>
      <c r="AA33" s="63">
        <f t="shared" si="8"/>
        <v>28</v>
      </c>
      <c r="AB33" s="31">
        <f t="shared" si="9"/>
        <v>0.4276219148</v>
      </c>
    </row>
    <row r="34">
      <c r="A34" s="6" t="s">
        <v>46</v>
      </c>
      <c r="B34" s="14">
        <v>1.24</v>
      </c>
      <c r="C34" s="9">
        <f t="shared" si="1"/>
        <v>1.353918145</v>
      </c>
      <c r="E34" s="14">
        <v>13.37</v>
      </c>
      <c r="F34" s="9">
        <f t="shared" si="2"/>
        <v>1.025984176</v>
      </c>
      <c r="H34" s="14">
        <v>1.95</v>
      </c>
      <c r="I34" s="9">
        <f t="shared" si="16"/>
        <v>1.714420298</v>
      </c>
      <c r="K34" s="14">
        <v>46.69</v>
      </c>
      <c r="L34" s="9">
        <f t="shared" si="17"/>
        <v>2.530289172</v>
      </c>
      <c r="N34" s="14">
        <v>-0.17</v>
      </c>
      <c r="O34" s="9">
        <f t="shared" si="22"/>
        <v>0.02948215643</v>
      </c>
      <c r="Q34" s="14">
        <v>10.27</v>
      </c>
      <c r="R34" s="9">
        <f t="shared" si="23"/>
        <v>0.4983685639</v>
      </c>
      <c r="T34" s="29">
        <v>-0.23</v>
      </c>
      <c r="U34" s="9">
        <f t="shared" ref="U34:U37" si="24">(T34-$T$45)/$T$46</f>
        <v>-0.3146560734</v>
      </c>
      <c r="W34" s="13">
        <v>5.35</v>
      </c>
      <c r="X34" s="9">
        <f t="shared" ref="X34:X37" si="25">(W34-$W$45)/$W$46</f>
        <v>0.1655704669</v>
      </c>
      <c r="Z34" s="9">
        <f t="shared" si="7"/>
        <v>7.003376905</v>
      </c>
      <c r="AA34" s="63">
        <f t="shared" si="8"/>
        <v>6</v>
      </c>
      <c r="AB34" s="31">
        <f t="shared" si="9"/>
        <v>0.8601982051</v>
      </c>
    </row>
    <row r="35">
      <c r="A35" s="6" t="s">
        <v>47</v>
      </c>
      <c r="B35" s="14">
        <v>-0.72</v>
      </c>
      <c r="C35" s="9">
        <f t="shared" si="1"/>
        <v>-2.099894738</v>
      </c>
      <c r="E35" s="14">
        <v>-7.3</v>
      </c>
      <c r="F35" s="9">
        <f t="shared" si="2"/>
        <v>-0.9339627984</v>
      </c>
      <c r="H35" s="14">
        <v>-2.08</v>
      </c>
      <c r="I35" s="9">
        <f t="shared" si="16"/>
        <v>-2.911966536</v>
      </c>
      <c r="K35" s="14">
        <v>-24.0</v>
      </c>
      <c r="L35" s="9">
        <f t="shared" si="17"/>
        <v>-1.704915963</v>
      </c>
      <c r="N35" s="14">
        <v>-0.25</v>
      </c>
      <c r="O35" s="9">
        <f t="shared" si="22"/>
        <v>-0.07118862162</v>
      </c>
      <c r="Q35" s="14">
        <v>2.06</v>
      </c>
      <c r="R35" s="9">
        <f t="shared" si="23"/>
        <v>-0.07206046155</v>
      </c>
      <c r="T35" s="29">
        <v>-0.15</v>
      </c>
      <c r="U35" s="9">
        <f t="shared" si="24"/>
        <v>-0.2295180152</v>
      </c>
      <c r="W35" s="13">
        <v>7.99</v>
      </c>
      <c r="X35" s="9">
        <f t="shared" si="25"/>
        <v>0.4866571707</v>
      </c>
      <c r="Z35" s="9">
        <f t="shared" si="7"/>
        <v>-7.536849963</v>
      </c>
      <c r="AA35" s="63">
        <f t="shared" si="8"/>
        <v>40</v>
      </c>
      <c r="AB35" s="31">
        <f t="shared" si="9"/>
        <v>0.1317694867</v>
      </c>
    </row>
    <row r="36">
      <c r="A36" s="6" t="s">
        <v>48</v>
      </c>
      <c r="B36" s="14">
        <v>-0.27</v>
      </c>
      <c r="C36" s="9">
        <f t="shared" si="1"/>
        <v>-1.306927494</v>
      </c>
      <c r="E36" s="14">
        <v>-1.83</v>
      </c>
      <c r="F36" s="9">
        <f t="shared" si="2"/>
        <v>-0.4152927476</v>
      </c>
      <c r="H36" s="14">
        <v>0.05</v>
      </c>
      <c r="I36" s="9">
        <f t="shared" si="16"/>
        <v>-0.4667546362</v>
      </c>
      <c r="K36" s="14">
        <v>4.88</v>
      </c>
      <c r="L36" s="9">
        <f t="shared" si="17"/>
        <v>0.02535315965</v>
      </c>
      <c r="N36" s="14">
        <v>-0.35</v>
      </c>
      <c r="O36" s="9">
        <f t="shared" si="22"/>
        <v>-0.1970270942</v>
      </c>
      <c r="Q36" s="14">
        <v>0.75</v>
      </c>
      <c r="R36" s="9">
        <f t="shared" si="23"/>
        <v>-0.1630789784</v>
      </c>
      <c r="T36" s="29">
        <v>1.51</v>
      </c>
      <c r="U36" s="9">
        <f t="shared" si="24"/>
        <v>1.537096692</v>
      </c>
      <c r="W36" s="13">
        <v>18.77</v>
      </c>
      <c r="X36" s="9">
        <f t="shared" si="25"/>
        <v>1.797761211</v>
      </c>
      <c r="Z36" s="9">
        <f t="shared" si="7"/>
        <v>0.8111301128</v>
      </c>
      <c r="AA36" s="63">
        <f t="shared" si="8"/>
        <v>15</v>
      </c>
      <c r="AB36" s="31">
        <f t="shared" si="9"/>
        <v>0.549982248</v>
      </c>
    </row>
    <row r="37">
      <c r="A37" s="6" t="s">
        <v>49</v>
      </c>
      <c r="B37" s="14">
        <v>0.04</v>
      </c>
      <c r="C37" s="9">
        <f t="shared" si="1"/>
        <v>-0.7606611707</v>
      </c>
      <c r="E37" s="14">
        <v>-2.14</v>
      </c>
      <c r="F37" s="9">
        <f t="shared" si="2"/>
        <v>-0.4446872112</v>
      </c>
      <c r="H37" s="14">
        <v>-1.05</v>
      </c>
      <c r="I37" s="9">
        <f t="shared" si="16"/>
        <v>-1.729540125</v>
      </c>
      <c r="K37" s="14">
        <v>-3.45</v>
      </c>
      <c r="L37" s="9">
        <f t="shared" si="17"/>
        <v>-0.4737168471</v>
      </c>
      <c r="N37" s="14">
        <v>-0.47</v>
      </c>
      <c r="O37" s="9">
        <f t="shared" si="22"/>
        <v>-0.3480332613</v>
      </c>
      <c r="Q37" s="14">
        <v>-10.36</v>
      </c>
      <c r="R37" s="9">
        <f t="shared" si="23"/>
        <v>-0.9349993771</v>
      </c>
      <c r="T37" s="29">
        <v>1.5</v>
      </c>
      <c r="U37" s="9">
        <f t="shared" si="24"/>
        <v>1.526454435</v>
      </c>
      <c r="W37" s="13">
        <v>14.76</v>
      </c>
      <c r="X37" s="9">
        <f t="shared" si="25"/>
        <v>1.310049968</v>
      </c>
      <c r="Z37" s="9">
        <f t="shared" si="7"/>
        <v>-1.855133589</v>
      </c>
      <c r="AA37" s="63">
        <f t="shared" si="8"/>
        <v>29</v>
      </c>
      <c r="AB37" s="31">
        <f t="shared" si="9"/>
        <v>0.4164091567</v>
      </c>
    </row>
    <row r="38">
      <c r="A38" s="6" t="s">
        <v>50</v>
      </c>
      <c r="B38" s="14">
        <v>0.12</v>
      </c>
      <c r="C38" s="9">
        <f t="shared" si="1"/>
        <v>-0.6196892162</v>
      </c>
      <c r="E38" s="14">
        <v>-6.57</v>
      </c>
      <c r="F38" s="9">
        <f t="shared" si="2"/>
        <v>-0.8647435777</v>
      </c>
      <c r="H38" s="14">
        <v>0.29</v>
      </c>
      <c r="I38" s="9">
        <f t="shared" si="16"/>
        <v>-0.1912378023</v>
      </c>
      <c r="K38" s="14">
        <v>-5.58</v>
      </c>
      <c r="L38" s="9">
        <f t="shared" si="17"/>
        <v>-0.6013301861</v>
      </c>
      <c r="N38" s="14">
        <v>-0.85</v>
      </c>
      <c r="O38" s="9">
        <f t="shared" si="22"/>
        <v>-0.826219457</v>
      </c>
      <c r="Q38" s="14">
        <v>-12.68</v>
      </c>
      <c r="R38" s="9">
        <f t="shared" si="23"/>
        <v>-1.096192476</v>
      </c>
      <c r="T38" s="22"/>
      <c r="U38" s="61"/>
      <c r="W38" s="22"/>
      <c r="X38" s="61"/>
      <c r="Z38" s="9">
        <f t="shared" si="7"/>
        <v>-4.199412715</v>
      </c>
      <c r="AA38" s="63">
        <f t="shared" si="8"/>
        <v>35</v>
      </c>
      <c r="AB38" s="31">
        <f t="shared" si="9"/>
        <v>0.2989666811</v>
      </c>
    </row>
    <row r="39">
      <c r="A39" s="6" t="s">
        <v>51</v>
      </c>
      <c r="B39" s="14">
        <v>-0.2</v>
      </c>
      <c r="C39" s="9">
        <f t="shared" si="1"/>
        <v>-1.183577034</v>
      </c>
      <c r="E39" s="14">
        <v>-4.43</v>
      </c>
      <c r="F39" s="9">
        <f t="shared" si="2"/>
        <v>-0.6618269582</v>
      </c>
      <c r="H39" s="14">
        <v>-1.34</v>
      </c>
      <c r="I39" s="9">
        <f t="shared" si="16"/>
        <v>-2.062456299</v>
      </c>
      <c r="K39" s="14">
        <v>-25.1</v>
      </c>
      <c r="L39" s="9">
        <f t="shared" si="17"/>
        <v>-1.770819566</v>
      </c>
      <c r="N39" s="14">
        <v>0.32</v>
      </c>
      <c r="O39" s="9">
        <f t="shared" si="22"/>
        <v>0.646090672</v>
      </c>
      <c r="Q39" s="14">
        <v>2.04</v>
      </c>
      <c r="R39" s="9">
        <f t="shared" si="23"/>
        <v>-0.07345005722</v>
      </c>
      <c r="T39" s="14">
        <v>-1.61</v>
      </c>
      <c r="U39" s="9">
        <f t="shared" ref="U39:U43" si="26">(T39-$T$45)/$T$46</f>
        <v>-1.783287577</v>
      </c>
      <c r="W39" s="14">
        <v>-4.77</v>
      </c>
      <c r="X39" s="9">
        <f t="shared" ref="X39:X43" si="27">(W39-$W$45)/$W$46</f>
        <v>-1.065261897</v>
      </c>
      <c r="Z39" s="9">
        <f t="shared" si="7"/>
        <v>-7.954588717</v>
      </c>
      <c r="AA39" s="63">
        <f t="shared" si="8"/>
        <v>41</v>
      </c>
      <c r="AB39" s="31">
        <f t="shared" si="9"/>
        <v>0.1108418281</v>
      </c>
    </row>
    <row r="40">
      <c r="A40" s="6" t="s">
        <v>52</v>
      </c>
      <c r="B40" s="14">
        <v>0.0</v>
      </c>
      <c r="C40" s="9">
        <f t="shared" si="1"/>
        <v>-0.8311471479</v>
      </c>
      <c r="E40" s="14">
        <v>-3.13</v>
      </c>
      <c r="F40" s="9">
        <f t="shared" si="2"/>
        <v>-0.5385598529</v>
      </c>
      <c r="H40" s="14">
        <v>0.37</v>
      </c>
      <c r="I40" s="9">
        <f t="shared" si="16"/>
        <v>-0.09939885773</v>
      </c>
      <c r="K40" s="14">
        <v>-9.32</v>
      </c>
      <c r="L40" s="9">
        <f t="shared" si="17"/>
        <v>-0.825402434</v>
      </c>
      <c r="N40" s="14">
        <v>-1.49</v>
      </c>
      <c r="O40" s="9">
        <f t="shared" si="22"/>
        <v>-1.631585681</v>
      </c>
      <c r="Q40" s="14">
        <v>-24.64</v>
      </c>
      <c r="R40" s="9">
        <f t="shared" si="23"/>
        <v>-1.927170691</v>
      </c>
      <c r="T40" s="14">
        <v>0.36</v>
      </c>
      <c r="U40" s="9">
        <f t="shared" si="26"/>
        <v>0.3132371058</v>
      </c>
      <c r="W40" s="14">
        <v>13.1</v>
      </c>
      <c r="X40" s="9">
        <f t="shared" si="27"/>
        <v>1.108154541</v>
      </c>
      <c r="Z40" s="9">
        <f t="shared" si="7"/>
        <v>-4.431873018</v>
      </c>
      <c r="AA40" s="63">
        <f t="shared" si="8"/>
        <v>36</v>
      </c>
      <c r="AB40" s="31">
        <f t="shared" si="9"/>
        <v>0.2873210058</v>
      </c>
    </row>
    <row r="41">
      <c r="A41" s="6" t="s">
        <v>53</v>
      </c>
      <c r="B41" s="14">
        <v>0.17</v>
      </c>
      <c r="C41" s="9">
        <f t="shared" si="1"/>
        <v>-0.5315817447</v>
      </c>
      <c r="E41" s="14">
        <v>-1.87</v>
      </c>
      <c r="F41" s="9">
        <f t="shared" si="2"/>
        <v>-0.4190855816</v>
      </c>
      <c r="H41" s="14">
        <v>-0.11</v>
      </c>
      <c r="I41" s="9">
        <f t="shared" si="16"/>
        <v>-0.6504325254</v>
      </c>
      <c r="K41" s="14">
        <v>-16.33</v>
      </c>
      <c r="L41" s="9">
        <f t="shared" si="17"/>
        <v>-1.245388118</v>
      </c>
      <c r="N41" s="14">
        <v>0.19</v>
      </c>
      <c r="O41" s="9">
        <f t="shared" si="22"/>
        <v>0.4825006576</v>
      </c>
      <c r="Q41" s="14">
        <v>-1.37</v>
      </c>
      <c r="R41" s="9">
        <f t="shared" si="23"/>
        <v>-0.3103761202</v>
      </c>
      <c r="T41" s="14">
        <v>-0.29</v>
      </c>
      <c r="U41" s="9">
        <f t="shared" si="26"/>
        <v>-0.3785096171</v>
      </c>
      <c r="W41" s="14">
        <v>0.23</v>
      </c>
      <c r="X41" s="9">
        <f t="shared" si="27"/>
        <v>-0.4571431404</v>
      </c>
      <c r="Z41" s="9">
        <f t="shared" si="7"/>
        <v>-3.51001619</v>
      </c>
      <c r="AA41" s="63">
        <f t="shared" si="8"/>
        <v>34</v>
      </c>
      <c r="AB41" s="31">
        <f t="shared" si="9"/>
        <v>0.3335037094</v>
      </c>
    </row>
    <row r="42">
      <c r="A42" s="6" t="s">
        <v>54</v>
      </c>
      <c r="B42" s="14">
        <v>-0.12</v>
      </c>
      <c r="C42" s="9">
        <f t="shared" si="1"/>
        <v>-1.042605079</v>
      </c>
      <c r="E42" s="14">
        <v>-10.76</v>
      </c>
      <c r="F42" s="9">
        <f t="shared" si="2"/>
        <v>-1.26204294</v>
      </c>
      <c r="H42" s="14">
        <v>0.55</v>
      </c>
      <c r="I42" s="9">
        <f t="shared" si="16"/>
        <v>0.1072387676</v>
      </c>
      <c r="J42" s="14" t="s">
        <v>170</v>
      </c>
      <c r="K42" s="14">
        <v>6.81</v>
      </c>
      <c r="L42" s="9">
        <f t="shared" si="17"/>
        <v>0.1409840256</v>
      </c>
      <c r="N42" s="14">
        <v>0.69</v>
      </c>
      <c r="O42" s="9">
        <f t="shared" si="22"/>
        <v>1.11169302</v>
      </c>
      <c r="Q42" s="14">
        <v>22.54</v>
      </c>
      <c r="R42" s="9">
        <f t="shared" si="23"/>
        <v>1.350885512</v>
      </c>
      <c r="T42" s="14">
        <v>-0.09</v>
      </c>
      <c r="U42" s="9">
        <f t="shared" si="26"/>
        <v>-0.1656644716</v>
      </c>
      <c r="W42" s="14">
        <v>-0.28</v>
      </c>
      <c r="X42" s="9">
        <f t="shared" si="27"/>
        <v>-0.5191712536</v>
      </c>
      <c r="Z42" s="9">
        <f t="shared" si="7"/>
        <v>-0.2786824193</v>
      </c>
      <c r="AA42" s="63">
        <f t="shared" si="8"/>
        <v>22</v>
      </c>
      <c r="AB42" s="31">
        <f t="shared" si="9"/>
        <v>0.4953853869</v>
      </c>
    </row>
    <row r="43">
      <c r="A43" s="6" t="s">
        <v>55</v>
      </c>
      <c r="B43" s="14">
        <v>-0.11</v>
      </c>
      <c r="C43" s="9">
        <f t="shared" si="1"/>
        <v>-1.024983585</v>
      </c>
      <c r="E43" s="14">
        <v>1.07</v>
      </c>
      <c r="F43" s="9">
        <f t="shared" si="2"/>
        <v>-0.1403122819</v>
      </c>
      <c r="H43" s="14">
        <v>0.39</v>
      </c>
      <c r="I43" s="9">
        <f t="shared" si="16"/>
        <v>-0.07643912158</v>
      </c>
      <c r="K43" s="14">
        <v>6.04</v>
      </c>
      <c r="L43" s="9">
        <f t="shared" si="17"/>
        <v>0.09485150393</v>
      </c>
      <c r="N43" s="14">
        <v>0.23</v>
      </c>
      <c r="O43" s="9">
        <f t="shared" si="22"/>
        <v>0.5328360467</v>
      </c>
      <c r="Q43" s="14">
        <v>3.85</v>
      </c>
      <c r="R43" s="9">
        <f t="shared" si="23"/>
        <v>0.05230835156</v>
      </c>
      <c r="T43" s="14">
        <v>-0.87</v>
      </c>
      <c r="U43" s="9">
        <f t="shared" si="26"/>
        <v>-0.995760539</v>
      </c>
      <c r="W43" s="14">
        <v>-3.31</v>
      </c>
      <c r="X43" s="9">
        <f t="shared" si="27"/>
        <v>-0.8876912204</v>
      </c>
      <c r="Z43" s="9">
        <f t="shared" si="7"/>
        <v>-2.445190846</v>
      </c>
      <c r="AA43" s="63">
        <f t="shared" si="8"/>
        <v>30</v>
      </c>
      <c r="AB43" s="31">
        <f t="shared" si="9"/>
        <v>0.3868487753</v>
      </c>
    </row>
    <row r="45">
      <c r="B45" s="33">
        <f>AVERAGE(B2:B43)</f>
        <v>0.4716666667</v>
      </c>
      <c r="E45" s="33">
        <f>AVERAGE(E2:E43)</f>
        <v>2.549761905</v>
      </c>
      <c r="H45" s="33">
        <f>AVERAGE(H2:H43)</f>
        <v>0.4565853659</v>
      </c>
      <c r="K45" s="33">
        <f>AVERAGE(K2:K43)</f>
        <v>4.456829268</v>
      </c>
      <c r="N45" s="33">
        <f>AVERAGE(N2:N43)</f>
        <v>-0.1934285714</v>
      </c>
      <c r="Q45" s="33">
        <f>AVERAGE(Q2:Q43)</f>
        <v>3.097142857</v>
      </c>
      <c r="T45" s="33">
        <f>AVERAGE(T2:T43)</f>
        <v>0.06566666667</v>
      </c>
      <c r="W45" s="33">
        <f>AVERAGE(W2:W43)</f>
        <v>3.988666667</v>
      </c>
    </row>
    <row r="46">
      <c r="B46" s="33">
        <f>STDEV(B2:B43)</f>
        <v>0.5674887628</v>
      </c>
      <c r="E46" s="33">
        <f>STDEV(E2:E43)</f>
        <v>10.54620368</v>
      </c>
      <c r="H46" s="33">
        <f>STDEV(H2:H43)</f>
        <v>0.8710901496</v>
      </c>
      <c r="K46" s="33">
        <f>STDEV(K2:K43)</f>
        <v>16.69104512</v>
      </c>
      <c r="N46" s="33">
        <f>STDEV(N2:N43)</f>
        <v>0.7946695312</v>
      </c>
      <c r="Q46" s="33">
        <f>STDEV(Q2:Q43)</f>
        <v>14.39267575</v>
      </c>
      <c r="T46" s="33">
        <f>STDEV(T2:T43)</f>
        <v>0.9396502773</v>
      </c>
      <c r="W46" s="33">
        <f>STDEV(W2:W43)</f>
        <v>8.222078239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65" t="s">
        <v>0</v>
      </c>
      <c r="B1" s="39" t="s">
        <v>156</v>
      </c>
      <c r="C1" s="39" t="s">
        <v>157</v>
      </c>
      <c r="D1" s="66"/>
      <c r="E1" s="39" t="s">
        <v>158</v>
      </c>
      <c r="F1" s="39" t="s">
        <v>157</v>
      </c>
      <c r="G1" s="66"/>
      <c r="H1" s="39" t="s">
        <v>159</v>
      </c>
      <c r="I1" s="39" t="s">
        <v>68</v>
      </c>
      <c r="J1" s="39" t="s">
        <v>160</v>
      </c>
      <c r="K1" s="67"/>
      <c r="L1" s="67"/>
      <c r="M1" s="67"/>
      <c r="N1" s="67"/>
    </row>
    <row r="2">
      <c r="A2" s="68" t="s">
        <v>171</v>
      </c>
      <c r="B2" s="69">
        <v>0.5875</v>
      </c>
      <c r="C2" s="70">
        <f t="shared" ref="C2:C41" si="1">-(B2-$B$45)/$B$46</f>
        <v>-0.4168723027</v>
      </c>
      <c r="D2" s="71"/>
      <c r="E2" s="72">
        <v>0.9325</v>
      </c>
      <c r="F2" s="70">
        <f t="shared" ref="F2:F41" si="2">-(E2-$E$45)/$E$46</f>
        <v>0.4179598899</v>
      </c>
      <c r="G2" s="69"/>
      <c r="H2" s="73">
        <f t="shared" ref="H2:H41" si="3">C2+F2</f>
        <v>0.001087587271</v>
      </c>
      <c r="I2" s="69"/>
      <c r="J2" s="73">
        <f t="shared" ref="J2:J41" si="4">(H2-MIN($H$2:$H$41))/(MAX($H$2:$H$41)-MIN($H$2:$H$41))</f>
        <v>0.5888518454</v>
      </c>
      <c r="K2" s="69">
        <f t="shared" ref="K2:K41" si="5">RANK(J2,$J$2:$J$41)</f>
        <v>23</v>
      </c>
      <c r="L2" s="69"/>
      <c r="M2" s="69"/>
      <c r="N2" s="74"/>
    </row>
    <row r="3">
      <c r="A3" s="68" t="s">
        <v>172</v>
      </c>
      <c r="B3" s="69">
        <v>0.775</v>
      </c>
      <c r="C3" s="70">
        <f t="shared" si="1"/>
        <v>-3.613745789</v>
      </c>
      <c r="D3" s="71"/>
      <c r="E3" s="72">
        <v>1.1025</v>
      </c>
      <c r="F3" s="70">
        <f t="shared" si="2"/>
        <v>-1.620868841</v>
      </c>
      <c r="G3" s="69"/>
      <c r="H3" s="73">
        <f t="shared" si="3"/>
        <v>-5.234614631</v>
      </c>
      <c r="I3" s="69"/>
      <c r="J3" s="73">
        <f t="shared" si="4"/>
        <v>0</v>
      </c>
      <c r="K3" s="69">
        <f t="shared" si="5"/>
        <v>40</v>
      </c>
      <c r="L3" s="69"/>
      <c r="M3" s="69"/>
      <c r="N3" s="74"/>
    </row>
    <row r="4">
      <c r="A4" s="68" t="s">
        <v>173</v>
      </c>
      <c r="B4" s="69">
        <v>0.5625</v>
      </c>
      <c r="C4" s="70">
        <f t="shared" si="1"/>
        <v>0.009377495561</v>
      </c>
      <c r="D4" s="71"/>
      <c r="E4" s="72">
        <v>0.915</v>
      </c>
      <c r="F4" s="70">
        <f t="shared" si="2"/>
        <v>0.6278393182</v>
      </c>
      <c r="G4" s="69"/>
      <c r="H4" s="73">
        <f t="shared" si="3"/>
        <v>0.6372168137</v>
      </c>
      <c r="I4" s="69"/>
      <c r="J4" s="73">
        <f t="shared" si="4"/>
        <v>0.6603963781</v>
      </c>
      <c r="K4" s="69">
        <f t="shared" si="5"/>
        <v>15</v>
      </c>
      <c r="L4" s="69"/>
      <c r="M4" s="69"/>
      <c r="N4" s="74"/>
    </row>
    <row r="5">
      <c r="A5" s="68" t="s">
        <v>174</v>
      </c>
      <c r="B5" s="69">
        <v>0.5975</v>
      </c>
      <c r="C5" s="70">
        <f t="shared" si="1"/>
        <v>-0.5873722219</v>
      </c>
      <c r="D5" s="71"/>
      <c r="E5" s="72">
        <v>0.9425</v>
      </c>
      <c r="F5" s="70">
        <f t="shared" si="2"/>
        <v>0.2980287881</v>
      </c>
      <c r="G5" s="69"/>
      <c r="H5" s="73">
        <f t="shared" si="3"/>
        <v>-0.2893434339</v>
      </c>
      <c r="I5" s="69"/>
      <c r="J5" s="73">
        <f t="shared" si="4"/>
        <v>0.5561874891</v>
      </c>
      <c r="K5" s="69">
        <f t="shared" si="5"/>
        <v>26</v>
      </c>
      <c r="L5" s="69"/>
      <c r="M5" s="69"/>
      <c r="N5" s="74"/>
    </row>
    <row r="6">
      <c r="A6" s="68" t="s">
        <v>175</v>
      </c>
      <c r="B6" s="69">
        <v>0.545</v>
      </c>
      <c r="C6" s="70">
        <f t="shared" si="1"/>
        <v>0.3077523543</v>
      </c>
      <c r="D6" s="71"/>
      <c r="E6" s="72">
        <v>0.9125</v>
      </c>
      <c r="F6" s="70">
        <f t="shared" si="2"/>
        <v>0.6578220936</v>
      </c>
      <c r="G6" s="69"/>
      <c r="H6" s="73">
        <f t="shared" si="3"/>
        <v>0.9655744479</v>
      </c>
      <c r="I6" s="69"/>
      <c r="J6" s="73">
        <f t="shared" si="4"/>
        <v>0.6973262857</v>
      </c>
      <c r="K6" s="69">
        <f t="shared" si="5"/>
        <v>11</v>
      </c>
      <c r="L6" s="69"/>
      <c r="M6" s="69"/>
      <c r="N6" s="74"/>
    </row>
    <row r="7">
      <c r="A7" s="68" t="s">
        <v>176</v>
      </c>
      <c r="B7" s="69">
        <v>0.5575</v>
      </c>
      <c r="C7" s="70">
        <f t="shared" si="1"/>
        <v>0.0946274552</v>
      </c>
      <c r="D7" s="71"/>
      <c r="E7" s="72">
        <v>0.9075</v>
      </c>
      <c r="F7" s="70">
        <f t="shared" si="2"/>
        <v>0.7177876445</v>
      </c>
      <c r="G7" s="69"/>
      <c r="H7" s="73">
        <f t="shared" si="3"/>
        <v>0.8124150997</v>
      </c>
      <c r="I7" s="69"/>
      <c r="J7" s="73">
        <f t="shared" si="4"/>
        <v>0.6801006756</v>
      </c>
      <c r="K7" s="69">
        <f t="shared" si="5"/>
        <v>13</v>
      </c>
      <c r="L7" s="69"/>
      <c r="M7" s="69"/>
      <c r="N7" s="74"/>
    </row>
    <row r="8">
      <c r="A8" s="68" t="s">
        <v>177</v>
      </c>
      <c r="B8" s="69">
        <v>0.4535</v>
      </c>
      <c r="C8" s="70">
        <f t="shared" si="1"/>
        <v>1.867826616</v>
      </c>
      <c r="D8" s="71"/>
      <c r="E8" s="72">
        <v>0.83</v>
      </c>
      <c r="F8" s="70">
        <f t="shared" si="2"/>
        <v>1.647253684</v>
      </c>
      <c r="G8" s="69"/>
      <c r="H8" s="73">
        <f t="shared" si="3"/>
        <v>3.5150803</v>
      </c>
      <c r="I8" s="69"/>
      <c r="J8" s="73">
        <f t="shared" si="4"/>
        <v>0.9840655163</v>
      </c>
      <c r="K8" s="69">
        <f t="shared" si="5"/>
        <v>2</v>
      </c>
      <c r="L8" s="69"/>
      <c r="M8" s="69"/>
      <c r="N8" s="74"/>
    </row>
    <row r="9">
      <c r="A9" s="68" t="s">
        <v>178</v>
      </c>
      <c r="B9" s="69">
        <v>0.585</v>
      </c>
      <c r="C9" s="70">
        <f t="shared" si="1"/>
        <v>-0.3742473228</v>
      </c>
      <c r="D9" s="71"/>
      <c r="E9" s="72">
        <v>0.9975</v>
      </c>
      <c r="F9" s="70">
        <f t="shared" si="2"/>
        <v>-0.3615922721</v>
      </c>
      <c r="G9" s="69"/>
      <c r="H9" s="73">
        <f t="shared" si="3"/>
        <v>-0.7358395949</v>
      </c>
      <c r="I9" s="69"/>
      <c r="J9" s="73">
        <f t="shared" si="4"/>
        <v>0.5059707125</v>
      </c>
      <c r="K9" s="69">
        <f t="shared" si="5"/>
        <v>33</v>
      </c>
      <c r="L9" s="69"/>
      <c r="M9" s="69"/>
      <c r="N9" s="74"/>
    </row>
    <row r="10">
      <c r="A10" s="68" t="s">
        <v>179</v>
      </c>
      <c r="B10" s="69">
        <v>0.505</v>
      </c>
      <c r="C10" s="70">
        <f t="shared" si="1"/>
        <v>0.9897520315</v>
      </c>
      <c r="D10" s="71"/>
      <c r="E10" s="72">
        <v>0.885</v>
      </c>
      <c r="F10" s="70">
        <f t="shared" si="2"/>
        <v>0.9876326237</v>
      </c>
      <c r="G10" s="69"/>
      <c r="H10" s="73">
        <f t="shared" si="3"/>
        <v>1.977384655</v>
      </c>
      <c r="I10" s="69"/>
      <c r="J10" s="73">
        <f t="shared" si="4"/>
        <v>0.8111231142</v>
      </c>
      <c r="K10" s="69">
        <f t="shared" si="5"/>
        <v>4</v>
      </c>
      <c r="L10" s="69"/>
      <c r="M10" s="69"/>
      <c r="N10" s="74"/>
    </row>
    <row r="11">
      <c r="A11" s="68" t="s">
        <v>180</v>
      </c>
      <c r="B11" s="69">
        <v>0.605</v>
      </c>
      <c r="C11" s="70">
        <f t="shared" si="1"/>
        <v>-0.7152471614</v>
      </c>
      <c r="D11" s="71"/>
      <c r="E11" s="72">
        <v>0.9725</v>
      </c>
      <c r="F11" s="70">
        <f t="shared" si="2"/>
        <v>-0.06176451745</v>
      </c>
      <c r="G11" s="69"/>
      <c r="H11" s="73">
        <f t="shared" si="3"/>
        <v>-0.7770116789</v>
      </c>
      <c r="I11" s="69"/>
      <c r="J11" s="73">
        <f t="shared" si="4"/>
        <v>0.5013401479</v>
      </c>
      <c r="K11" s="69">
        <f t="shared" si="5"/>
        <v>34</v>
      </c>
      <c r="L11" s="69"/>
      <c r="M11" s="69"/>
      <c r="N11" s="74"/>
    </row>
    <row r="12">
      <c r="A12" s="68" t="s">
        <v>181</v>
      </c>
      <c r="B12" s="69">
        <v>0.565</v>
      </c>
      <c r="C12" s="70">
        <f t="shared" si="1"/>
        <v>-0.03324748426</v>
      </c>
      <c r="D12" s="71"/>
      <c r="E12" s="72">
        <v>1.025</v>
      </c>
      <c r="F12" s="70">
        <f t="shared" si="2"/>
        <v>-0.6914028021</v>
      </c>
      <c r="G12" s="69"/>
      <c r="H12" s="73">
        <f t="shared" si="3"/>
        <v>-0.7246502864</v>
      </c>
      <c r="I12" s="69"/>
      <c r="J12" s="73">
        <f t="shared" si="4"/>
        <v>0.5072291578</v>
      </c>
      <c r="K12" s="69">
        <f t="shared" si="5"/>
        <v>29</v>
      </c>
      <c r="L12" s="69"/>
      <c r="M12" s="69"/>
      <c r="N12" s="74"/>
    </row>
    <row r="13">
      <c r="A13" s="68" t="s">
        <v>182</v>
      </c>
      <c r="B13" s="69">
        <v>0.5725</v>
      </c>
      <c r="C13" s="70">
        <f t="shared" si="1"/>
        <v>-0.1611224237</v>
      </c>
      <c r="D13" s="71"/>
      <c r="E13" s="72">
        <v>0.9525</v>
      </c>
      <c r="F13" s="70">
        <f t="shared" si="2"/>
        <v>0.1780976862</v>
      </c>
      <c r="G13" s="69"/>
      <c r="H13" s="73">
        <f t="shared" si="3"/>
        <v>0.01697526251</v>
      </c>
      <c r="I13" s="69"/>
      <c r="J13" s="73">
        <f t="shared" si="4"/>
        <v>0.5906387092</v>
      </c>
      <c r="K13" s="69">
        <f t="shared" si="5"/>
        <v>19</v>
      </c>
      <c r="L13" s="69"/>
      <c r="M13" s="69"/>
      <c r="N13" s="74"/>
    </row>
    <row r="14">
      <c r="A14" s="68" t="s">
        <v>183</v>
      </c>
      <c r="B14" s="69">
        <v>0.565</v>
      </c>
      <c r="C14" s="70">
        <f t="shared" si="1"/>
        <v>-0.03324748426</v>
      </c>
      <c r="D14" s="71"/>
      <c r="E14" s="72">
        <v>0.9025</v>
      </c>
      <c r="F14" s="70">
        <f t="shared" si="2"/>
        <v>0.7777531955</v>
      </c>
      <c r="G14" s="69"/>
      <c r="H14" s="73">
        <f t="shared" si="3"/>
        <v>0.7445057112</v>
      </c>
      <c r="I14" s="69"/>
      <c r="J14" s="73">
        <f t="shared" si="4"/>
        <v>0.6724630051</v>
      </c>
      <c r="K14" s="69">
        <f t="shared" si="5"/>
        <v>14</v>
      </c>
      <c r="L14" s="69"/>
      <c r="M14" s="69"/>
      <c r="N14" s="74"/>
    </row>
    <row r="15">
      <c r="A15" s="68" t="s">
        <v>184</v>
      </c>
      <c r="B15" s="75">
        <v>0.53</v>
      </c>
      <c r="C15" s="70">
        <f t="shared" si="1"/>
        <v>0.5635022332</v>
      </c>
      <c r="E15" s="75">
        <v>0.8725</v>
      </c>
      <c r="F15" s="70">
        <f t="shared" si="2"/>
        <v>1.137546501</v>
      </c>
      <c r="H15" s="73">
        <f t="shared" si="3"/>
        <v>1.701048734</v>
      </c>
      <c r="J15" s="73">
        <f t="shared" si="4"/>
        <v>0.7800440135</v>
      </c>
      <c r="K15" s="69">
        <f t="shared" si="5"/>
        <v>6</v>
      </c>
    </row>
    <row r="16">
      <c r="A16" s="35" t="s">
        <v>185</v>
      </c>
      <c r="B16" s="75">
        <v>0.5505</v>
      </c>
      <c r="C16" s="70">
        <f t="shared" si="1"/>
        <v>0.2139773987</v>
      </c>
      <c r="E16" s="72">
        <v>0.9325</v>
      </c>
      <c r="F16" s="70">
        <f t="shared" si="2"/>
        <v>0.4179598899</v>
      </c>
      <c r="H16" s="73">
        <f t="shared" si="3"/>
        <v>0.6319372886</v>
      </c>
      <c r="J16" s="73">
        <f t="shared" si="4"/>
        <v>0.6598025976</v>
      </c>
      <c r="K16" s="69">
        <f t="shared" si="5"/>
        <v>16</v>
      </c>
    </row>
    <row r="17">
      <c r="A17" s="35" t="s">
        <v>186</v>
      </c>
      <c r="B17" s="75">
        <v>0.5225</v>
      </c>
      <c r="C17" s="70">
        <f t="shared" si="1"/>
        <v>0.6913771727</v>
      </c>
      <c r="E17" s="75">
        <v>0.9825</v>
      </c>
      <c r="F17" s="70">
        <f t="shared" si="2"/>
        <v>-0.1816956193</v>
      </c>
      <c r="H17" s="73">
        <f t="shared" si="3"/>
        <v>0.5096815534</v>
      </c>
      <c r="J17" s="73">
        <f t="shared" si="4"/>
        <v>0.6460526721</v>
      </c>
      <c r="K17" s="69">
        <f t="shared" si="5"/>
        <v>17</v>
      </c>
    </row>
    <row r="18">
      <c r="A18" s="35" t="s">
        <v>187</v>
      </c>
      <c r="B18" s="75">
        <v>0.5525</v>
      </c>
      <c r="C18" s="70">
        <f t="shared" si="1"/>
        <v>0.1798774148</v>
      </c>
      <c r="E18" s="75">
        <v>0.8875</v>
      </c>
      <c r="F18" s="70">
        <f t="shared" si="2"/>
        <v>0.9576498482</v>
      </c>
      <c r="H18" s="73">
        <f t="shared" si="3"/>
        <v>1.137527263</v>
      </c>
      <c r="J18" s="73">
        <f t="shared" si="4"/>
        <v>0.7166655698</v>
      </c>
      <c r="K18" s="69">
        <f t="shared" si="5"/>
        <v>9</v>
      </c>
    </row>
    <row r="19">
      <c r="A19" s="35" t="s">
        <v>188</v>
      </c>
      <c r="B19" s="75">
        <v>0.505</v>
      </c>
      <c r="C19" s="70">
        <f t="shared" si="1"/>
        <v>0.9897520315</v>
      </c>
      <c r="E19" s="75">
        <v>0.9075</v>
      </c>
      <c r="F19" s="70">
        <f t="shared" si="2"/>
        <v>0.7177876445</v>
      </c>
      <c r="H19" s="73">
        <f t="shared" si="3"/>
        <v>1.707539676</v>
      </c>
      <c r="J19" s="73">
        <f t="shared" si="4"/>
        <v>0.7807740403</v>
      </c>
      <c r="K19" s="69">
        <f t="shared" si="5"/>
        <v>5</v>
      </c>
    </row>
    <row r="20">
      <c r="A20" s="35" t="s">
        <v>189</v>
      </c>
      <c r="B20" s="75">
        <v>0.4575</v>
      </c>
      <c r="C20" s="70">
        <f t="shared" si="1"/>
        <v>1.799626648</v>
      </c>
      <c r="E20" s="75">
        <v>0.8125</v>
      </c>
      <c r="F20" s="70">
        <f t="shared" si="2"/>
        <v>1.857133112</v>
      </c>
      <c r="H20" s="73">
        <f t="shared" si="3"/>
        <v>3.65675976</v>
      </c>
      <c r="J20" s="73">
        <f t="shared" si="4"/>
        <v>1</v>
      </c>
      <c r="K20" s="69">
        <f t="shared" si="5"/>
        <v>1</v>
      </c>
    </row>
    <row r="21">
      <c r="A21" s="35" t="s">
        <v>190</v>
      </c>
      <c r="B21" s="75">
        <v>0.4775</v>
      </c>
      <c r="C21" s="70">
        <f t="shared" si="1"/>
        <v>1.458626809</v>
      </c>
      <c r="E21" s="75">
        <v>0.835</v>
      </c>
      <c r="F21" s="70">
        <f t="shared" si="2"/>
        <v>1.587288133</v>
      </c>
      <c r="H21" s="73">
        <f t="shared" si="3"/>
        <v>3.045914942</v>
      </c>
      <c r="J21" s="73">
        <f t="shared" si="4"/>
        <v>0.9312991681</v>
      </c>
      <c r="K21" s="69">
        <f t="shared" si="5"/>
        <v>3</v>
      </c>
    </row>
    <row r="22">
      <c r="A22" s="35" t="s">
        <v>191</v>
      </c>
      <c r="B22" s="75">
        <v>0.6725</v>
      </c>
      <c r="C22" s="70">
        <f t="shared" si="1"/>
        <v>-1.866121617</v>
      </c>
      <c r="E22" s="75">
        <v>1.1475</v>
      </c>
      <c r="F22" s="70">
        <f t="shared" si="2"/>
        <v>-2.1605588</v>
      </c>
      <c r="H22" s="73">
        <f t="shared" si="3"/>
        <v>-4.026680416</v>
      </c>
      <c r="J22" s="73">
        <f t="shared" si="4"/>
        <v>0.1358546116</v>
      </c>
      <c r="K22" s="69">
        <f t="shared" si="5"/>
        <v>39</v>
      </c>
    </row>
    <row r="23">
      <c r="A23" s="35" t="s">
        <v>192</v>
      </c>
      <c r="B23" s="75">
        <v>0.6725</v>
      </c>
      <c r="C23" s="70">
        <f t="shared" si="1"/>
        <v>-1.866121617</v>
      </c>
      <c r="E23" s="75">
        <v>1.1375</v>
      </c>
      <c r="F23" s="70">
        <f t="shared" si="2"/>
        <v>-2.040627698</v>
      </c>
      <c r="H23" s="73">
        <f t="shared" si="3"/>
        <v>-3.906749314</v>
      </c>
      <c r="J23" s="73">
        <f t="shared" si="4"/>
        <v>0.1493430889</v>
      </c>
      <c r="K23" s="69">
        <f t="shared" si="5"/>
        <v>38</v>
      </c>
    </row>
    <row r="24">
      <c r="A24" s="35" t="s">
        <v>193</v>
      </c>
      <c r="B24" s="75">
        <v>0.565</v>
      </c>
      <c r="C24" s="70">
        <f t="shared" si="1"/>
        <v>-0.03324748426</v>
      </c>
      <c r="E24" s="75">
        <v>1.01</v>
      </c>
      <c r="F24" s="70">
        <f t="shared" si="2"/>
        <v>-0.5115061494</v>
      </c>
      <c r="H24" s="73">
        <f t="shared" si="3"/>
        <v>-0.5447536336</v>
      </c>
      <c r="J24" s="73">
        <f t="shared" si="4"/>
        <v>0.5274618738</v>
      </c>
      <c r="K24" s="69">
        <f t="shared" si="5"/>
        <v>28</v>
      </c>
    </row>
    <row r="25">
      <c r="A25" s="35" t="s">
        <v>194</v>
      </c>
      <c r="B25" s="75">
        <v>0.5045</v>
      </c>
      <c r="C25" s="70">
        <f t="shared" si="1"/>
        <v>0.9982770274</v>
      </c>
      <c r="E25" s="75">
        <v>0.9325</v>
      </c>
      <c r="F25" s="70">
        <f t="shared" si="2"/>
        <v>0.4179598899</v>
      </c>
      <c r="H25" s="73">
        <f t="shared" si="3"/>
        <v>1.416236917</v>
      </c>
      <c r="J25" s="73">
        <f t="shared" si="4"/>
        <v>0.7480116409</v>
      </c>
      <c r="K25" s="69">
        <f t="shared" si="5"/>
        <v>7</v>
      </c>
    </row>
    <row r="26">
      <c r="A26" s="35" t="s">
        <v>195</v>
      </c>
      <c r="B26" s="75">
        <v>0.52</v>
      </c>
      <c r="C26" s="70">
        <f t="shared" si="1"/>
        <v>0.7340021525</v>
      </c>
      <c r="E26" s="75">
        <v>1.0275</v>
      </c>
      <c r="F26" s="70">
        <f t="shared" si="2"/>
        <v>-0.7213855776</v>
      </c>
      <c r="H26" s="73">
        <f t="shared" si="3"/>
        <v>0.01261657494</v>
      </c>
      <c r="J26" s="73">
        <f t="shared" si="4"/>
        <v>0.5901484939</v>
      </c>
      <c r="K26" s="69">
        <f t="shared" si="5"/>
        <v>21</v>
      </c>
    </row>
    <row r="27">
      <c r="A27" s="35" t="s">
        <v>196</v>
      </c>
      <c r="B27" s="76">
        <v>0.565</v>
      </c>
      <c r="C27" s="70">
        <f t="shared" si="1"/>
        <v>-0.03324748426</v>
      </c>
      <c r="D27" s="77"/>
      <c r="E27" s="72">
        <v>0.9925</v>
      </c>
      <c r="F27" s="70">
        <f t="shared" si="2"/>
        <v>-0.3016267211</v>
      </c>
      <c r="H27" s="73">
        <f t="shared" si="3"/>
        <v>-0.3348742054</v>
      </c>
      <c r="J27" s="73">
        <f t="shared" si="4"/>
        <v>0.5510667091</v>
      </c>
      <c r="K27" s="69">
        <f t="shared" si="5"/>
        <v>27</v>
      </c>
    </row>
    <row r="28">
      <c r="A28" s="35" t="s">
        <v>197</v>
      </c>
      <c r="B28" s="75">
        <v>0.665</v>
      </c>
      <c r="C28" s="70">
        <f t="shared" si="1"/>
        <v>-1.738246677</v>
      </c>
      <c r="E28" s="75">
        <v>1.135</v>
      </c>
      <c r="F28" s="70">
        <f t="shared" si="2"/>
        <v>-2.010644922</v>
      </c>
      <c r="H28" s="73">
        <f t="shared" si="3"/>
        <v>-3.7488916</v>
      </c>
      <c r="J28" s="73">
        <f t="shared" si="4"/>
        <v>0.1670971175</v>
      </c>
      <c r="K28" s="69">
        <f t="shared" si="5"/>
        <v>37</v>
      </c>
    </row>
    <row r="29">
      <c r="A29" s="35" t="s">
        <v>198</v>
      </c>
      <c r="B29" s="76">
        <v>0.565</v>
      </c>
      <c r="C29" s="70">
        <f t="shared" si="1"/>
        <v>-0.03324748426</v>
      </c>
      <c r="D29" s="77"/>
      <c r="E29" s="76">
        <v>1.025</v>
      </c>
      <c r="F29" s="70">
        <f t="shared" si="2"/>
        <v>-0.6914028021</v>
      </c>
      <c r="H29" s="73">
        <f t="shared" si="3"/>
        <v>-0.7246502864</v>
      </c>
      <c r="J29" s="73">
        <f t="shared" si="4"/>
        <v>0.5072291578</v>
      </c>
      <c r="K29" s="69">
        <f t="shared" si="5"/>
        <v>29</v>
      </c>
    </row>
    <row r="30">
      <c r="A30" s="35" t="s">
        <v>199</v>
      </c>
      <c r="B30" s="75">
        <v>0.585</v>
      </c>
      <c r="C30" s="70">
        <f t="shared" si="1"/>
        <v>-0.3742473228</v>
      </c>
      <c r="E30" s="75">
        <v>0.935</v>
      </c>
      <c r="F30" s="70">
        <f t="shared" si="2"/>
        <v>0.3879771145</v>
      </c>
      <c r="H30" s="73">
        <f t="shared" si="3"/>
        <v>0.01372979163</v>
      </c>
      <c r="J30" s="73">
        <f t="shared" si="4"/>
        <v>0.5902736958</v>
      </c>
      <c r="K30" s="69">
        <f t="shared" si="5"/>
        <v>20</v>
      </c>
    </row>
    <row r="31">
      <c r="A31" s="35" t="s">
        <v>200</v>
      </c>
      <c r="B31" s="75">
        <v>0.5175</v>
      </c>
      <c r="C31" s="70">
        <f t="shared" si="1"/>
        <v>0.7766271323</v>
      </c>
      <c r="E31" s="75">
        <v>0.915</v>
      </c>
      <c r="F31" s="70">
        <f t="shared" si="2"/>
        <v>0.6278393182</v>
      </c>
      <c r="H31" s="73">
        <f t="shared" si="3"/>
        <v>1.404466451</v>
      </c>
      <c r="J31" s="73">
        <f t="shared" si="4"/>
        <v>0.7466878336</v>
      </c>
      <c r="K31" s="69">
        <f t="shared" si="5"/>
        <v>8</v>
      </c>
    </row>
    <row r="32">
      <c r="A32" s="35" t="s">
        <v>201</v>
      </c>
      <c r="B32" s="76">
        <v>0.565</v>
      </c>
      <c r="C32" s="70">
        <f t="shared" si="1"/>
        <v>-0.03324748426</v>
      </c>
      <c r="E32" s="76">
        <v>1.025</v>
      </c>
      <c r="F32" s="70">
        <f t="shared" si="2"/>
        <v>-0.6914028021</v>
      </c>
      <c r="H32" s="73">
        <f t="shared" si="3"/>
        <v>-0.7246502864</v>
      </c>
      <c r="J32" s="73">
        <f t="shared" si="4"/>
        <v>0.5072291578</v>
      </c>
      <c r="K32" s="69">
        <f t="shared" si="5"/>
        <v>29</v>
      </c>
    </row>
    <row r="33">
      <c r="A33" s="35" t="s">
        <v>202</v>
      </c>
      <c r="B33" s="75">
        <v>0.53</v>
      </c>
      <c r="C33" s="70">
        <f t="shared" si="1"/>
        <v>0.5635022332</v>
      </c>
      <c r="E33" s="75">
        <v>0.9225</v>
      </c>
      <c r="F33" s="70">
        <f t="shared" si="2"/>
        <v>0.5378909918</v>
      </c>
      <c r="H33" s="73">
        <f t="shared" si="3"/>
        <v>1.101393225</v>
      </c>
      <c r="J33" s="73">
        <f t="shared" si="4"/>
        <v>0.7126016268</v>
      </c>
      <c r="K33" s="69">
        <f t="shared" si="5"/>
        <v>10</v>
      </c>
    </row>
    <row r="34">
      <c r="A34" s="35" t="s">
        <v>203</v>
      </c>
      <c r="B34" s="75">
        <v>0.565</v>
      </c>
      <c r="C34" s="70">
        <f t="shared" si="1"/>
        <v>-0.03324748426</v>
      </c>
      <c r="E34" s="75">
        <v>1.025</v>
      </c>
      <c r="F34" s="70">
        <f t="shared" si="2"/>
        <v>-0.6914028021</v>
      </c>
      <c r="H34" s="73">
        <f t="shared" si="3"/>
        <v>-0.7246502864</v>
      </c>
      <c r="J34" s="73">
        <f t="shared" si="4"/>
        <v>0.5072291578</v>
      </c>
      <c r="K34" s="69">
        <f t="shared" si="5"/>
        <v>29</v>
      </c>
    </row>
    <row r="35">
      <c r="A35" s="35" t="s">
        <v>204</v>
      </c>
      <c r="B35" s="75">
        <v>0.5575</v>
      </c>
      <c r="C35" s="70">
        <f t="shared" si="1"/>
        <v>0.0946274552</v>
      </c>
      <c r="E35" s="75">
        <v>0.9925</v>
      </c>
      <c r="F35" s="70">
        <f t="shared" si="2"/>
        <v>-0.3016267211</v>
      </c>
      <c r="H35" s="73">
        <f t="shared" si="3"/>
        <v>-0.2069992659</v>
      </c>
      <c r="J35" s="73">
        <f t="shared" si="4"/>
        <v>0.5654486184</v>
      </c>
      <c r="K35" s="69">
        <f t="shared" si="5"/>
        <v>25</v>
      </c>
    </row>
    <row r="36">
      <c r="A36" s="35" t="s">
        <v>205</v>
      </c>
      <c r="B36" s="75">
        <v>0.57</v>
      </c>
      <c r="C36" s="70">
        <f t="shared" si="1"/>
        <v>-0.1184974439</v>
      </c>
      <c r="E36" s="75">
        <v>0.9445</v>
      </c>
      <c r="F36" s="70">
        <f t="shared" si="2"/>
        <v>0.2740425677</v>
      </c>
      <c r="H36" s="73">
        <f t="shared" si="3"/>
        <v>0.1555451238</v>
      </c>
      <c r="J36" s="73">
        <f t="shared" si="4"/>
        <v>0.6062234608</v>
      </c>
      <c r="K36" s="69">
        <f t="shared" si="5"/>
        <v>18</v>
      </c>
    </row>
    <row r="37">
      <c r="A37" s="35" t="s">
        <v>206</v>
      </c>
      <c r="B37" s="75">
        <v>0.57</v>
      </c>
      <c r="C37" s="70">
        <f t="shared" si="1"/>
        <v>-0.1184974439</v>
      </c>
      <c r="E37" s="75">
        <v>1.075</v>
      </c>
      <c r="F37" s="70">
        <f t="shared" si="2"/>
        <v>-1.291058311</v>
      </c>
      <c r="H37" s="73">
        <f t="shared" si="3"/>
        <v>-1.409555755</v>
      </c>
      <c r="J37" s="73">
        <f t="shared" si="4"/>
        <v>0.4301988317</v>
      </c>
      <c r="K37" s="69">
        <f t="shared" si="5"/>
        <v>35</v>
      </c>
    </row>
    <row r="38">
      <c r="A38" s="35" t="s">
        <v>207</v>
      </c>
      <c r="B38" s="75">
        <v>0.5775</v>
      </c>
      <c r="C38" s="70">
        <f t="shared" si="1"/>
        <v>-0.2463723834</v>
      </c>
      <c r="E38" s="75">
        <v>1.1025</v>
      </c>
      <c r="F38" s="70">
        <f t="shared" si="2"/>
        <v>-1.620868841</v>
      </c>
      <c r="H38" s="73">
        <f t="shared" si="3"/>
        <v>-1.867241225</v>
      </c>
      <c r="J38" s="73">
        <f t="shared" si="4"/>
        <v>0.3787236099</v>
      </c>
      <c r="K38" s="69">
        <f t="shared" si="5"/>
        <v>36</v>
      </c>
    </row>
    <row r="39">
      <c r="A39" s="35" t="s">
        <v>208</v>
      </c>
      <c r="B39" s="75">
        <v>0.5675</v>
      </c>
      <c r="C39" s="70">
        <f t="shared" si="1"/>
        <v>-0.07587246408</v>
      </c>
      <c r="E39" s="75">
        <v>0.9675</v>
      </c>
      <c r="F39" s="70">
        <f t="shared" si="2"/>
        <v>-0.001798966528</v>
      </c>
      <c r="H39" s="73">
        <f t="shared" si="3"/>
        <v>-0.07767143061</v>
      </c>
      <c r="J39" s="73">
        <f t="shared" si="4"/>
        <v>0.5799939327</v>
      </c>
      <c r="K39" s="69">
        <f t="shared" si="5"/>
        <v>24</v>
      </c>
    </row>
    <row r="40">
      <c r="A40" s="35" t="s">
        <v>209</v>
      </c>
      <c r="B40" s="75">
        <v>0.5785</v>
      </c>
      <c r="C40" s="70">
        <f t="shared" si="1"/>
        <v>-0.2634223753</v>
      </c>
      <c r="E40" s="75">
        <v>0.9445</v>
      </c>
      <c r="F40" s="70">
        <f t="shared" si="2"/>
        <v>0.2740425677</v>
      </c>
      <c r="H40" s="73">
        <f t="shared" si="3"/>
        <v>0.01062019242</v>
      </c>
      <c r="J40" s="73">
        <f t="shared" si="4"/>
        <v>0.5899239637</v>
      </c>
      <c r="K40" s="69">
        <f t="shared" si="5"/>
        <v>22</v>
      </c>
    </row>
    <row r="41">
      <c r="A41" s="35" t="s">
        <v>210</v>
      </c>
      <c r="B41" s="75">
        <v>0.5375</v>
      </c>
      <c r="C41" s="70">
        <f t="shared" si="1"/>
        <v>0.4356272938</v>
      </c>
      <c r="E41" s="75">
        <v>0.93</v>
      </c>
      <c r="F41" s="70">
        <f t="shared" si="2"/>
        <v>0.4479426654</v>
      </c>
      <c r="H41" s="73">
        <f t="shared" si="3"/>
        <v>0.8835699592</v>
      </c>
      <c r="J41" s="73">
        <f t="shared" si="4"/>
        <v>0.6881033596</v>
      </c>
      <c r="K41" s="69">
        <f t="shared" si="5"/>
        <v>12</v>
      </c>
    </row>
    <row r="45">
      <c r="B45" s="33">
        <f>AVERAGE(B2:B41)</f>
        <v>0.56305</v>
      </c>
      <c r="E45" s="33">
        <f>AVERAGE(E2:E41)</f>
        <v>0.96735</v>
      </c>
    </row>
    <row r="46">
      <c r="B46" s="33">
        <f>STDEV(B2:B41)</f>
        <v>0.05865105416</v>
      </c>
      <c r="E46" s="33">
        <f>STDEV(E2:E41)</f>
        <v>0.08338120676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>
      <c r="A1" s="65" t="s">
        <v>0</v>
      </c>
      <c r="B1" s="39" t="s">
        <v>211</v>
      </c>
      <c r="C1" s="39" t="s">
        <v>157</v>
      </c>
      <c r="D1" s="66"/>
      <c r="E1" s="39" t="s">
        <v>212</v>
      </c>
      <c r="F1" s="39" t="s">
        <v>157</v>
      </c>
      <c r="G1" s="66"/>
      <c r="H1" s="39" t="s">
        <v>159</v>
      </c>
      <c r="I1" s="39" t="s">
        <v>68</v>
      </c>
      <c r="J1" s="39" t="s">
        <v>169</v>
      </c>
      <c r="K1" s="67"/>
      <c r="L1" s="67"/>
      <c r="M1" s="67"/>
      <c r="N1" s="67"/>
    </row>
    <row r="2">
      <c r="A2" s="78" t="s">
        <v>213</v>
      </c>
      <c r="B2" s="79"/>
      <c r="C2" s="80"/>
      <c r="D2" s="71"/>
      <c r="E2" s="71">
        <v>11.1</v>
      </c>
      <c r="F2" s="70">
        <f t="shared" ref="F2:F41" si="1">(E2-AVERAGE($E$2:$E$41))/STDEV($E$2:$E$41)</f>
        <v>0.3777859877</v>
      </c>
      <c r="G2" s="69"/>
      <c r="H2" s="69"/>
      <c r="I2" s="69"/>
      <c r="J2" s="73">
        <f t="shared" ref="J2:J41" si="2">(F2-MIN($F$2:$F$41))/(MAX($F$2:$F$41)-MIN($F$2:$F$41))</f>
        <v>0.4342597271</v>
      </c>
      <c r="K2" s="69"/>
      <c r="L2" s="81"/>
      <c r="M2" s="69"/>
      <c r="N2" s="74"/>
    </row>
    <row r="3">
      <c r="A3" s="78" t="s">
        <v>214</v>
      </c>
      <c r="B3" s="79"/>
      <c r="C3" s="80"/>
      <c r="D3" s="71"/>
      <c r="E3" s="71">
        <v>0.89</v>
      </c>
      <c r="F3" s="70">
        <f t="shared" si="1"/>
        <v>-0.2362947979</v>
      </c>
      <c r="G3" s="69"/>
      <c r="H3" s="69"/>
      <c r="I3" s="69"/>
      <c r="J3" s="73">
        <f t="shared" si="2"/>
        <v>0.3310763012</v>
      </c>
      <c r="K3" s="69"/>
      <c r="L3" s="81"/>
      <c r="M3" s="69"/>
      <c r="N3" s="74"/>
    </row>
    <row r="4">
      <c r="A4" s="78" t="s">
        <v>215</v>
      </c>
      <c r="B4" s="79"/>
      <c r="C4" s="80"/>
      <c r="D4" s="71"/>
      <c r="E4" s="71">
        <v>1.78</v>
      </c>
      <c r="F4" s="70">
        <f t="shared" si="1"/>
        <v>-0.1827657186</v>
      </c>
      <c r="G4" s="69"/>
      <c r="H4" s="69"/>
      <c r="I4" s="69"/>
      <c r="J4" s="73">
        <f t="shared" si="2"/>
        <v>0.3400707428</v>
      </c>
      <c r="K4" s="69"/>
      <c r="L4" s="81"/>
      <c r="M4" s="69"/>
      <c r="N4" s="74"/>
    </row>
    <row r="5">
      <c r="A5" s="78" t="s">
        <v>216</v>
      </c>
      <c r="B5" s="79"/>
      <c r="C5" s="80"/>
      <c r="D5" s="71"/>
      <c r="E5" s="71">
        <v>17.34</v>
      </c>
      <c r="F5" s="70">
        <f t="shared" si="1"/>
        <v>0.7530909928</v>
      </c>
      <c r="G5" s="69"/>
      <c r="H5" s="69"/>
      <c r="I5" s="69"/>
      <c r="J5" s="73">
        <f t="shared" si="2"/>
        <v>0.4973218797</v>
      </c>
      <c r="K5" s="69"/>
      <c r="L5" s="81"/>
      <c r="M5" s="69"/>
      <c r="N5" s="74"/>
    </row>
    <row r="6">
      <c r="A6" s="78" t="s">
        <v>217</v>
      </c>
      <c r="B6" s="79"/>
      <c r="C6" s="80"/>
      <c r="D6" s="71"/>
      <c r="E6" s="71">
        <v>2.54</v>
      </c>
      <c r="F6" s="70">
        <f t="shared" si="1"/>
        <v>-0.1370554937</v>
      </c>
      <c r="G6" s="69"/>
      <c r="H6" s="69"/>
      <c r="I6" s="69"/>
      <c r="J6" s="73">
        <f t="shared" si="2"/>
        <v>0.3477513896</v>
      </c>
      <c r="K6" s="69"/>
      <c r="L6" s="81"/>
      <c r="M6" s="69"/>
      <c r="N6" s="74"/>
    </row>
    <row r="7">
      <c r="A7" s="78" t="s">
        <v>218</v>
      </c>
      <c r="B7" s="79"/>
      <c r="C7" s="80"/>
      <c r="D7" s="71"/>
      <c r="E7" s="71">
        <v>12.91</v>
      </c>
      <c r="F7" s="70">
        <f t="shared" si="1"/>
        <v>0.4866484972</v>
      </c>
      <c r="G7" s="69"/>
      <c r="H7" s="69"/>
      <c r="I7" s="69"/>
      <c r="J7" s="73">
        <f t="shared" si="2"/>
        <v>0.4525517938</v>
      </c>
      <c r="K7" s="69"/>
      <c r="L7" s="81"/>
      <c r="M7" s="69"/>
      <c r="N7" s="74"/>
    </row>
    <row r="8">
      <c r="A8" s="78" t="s">
        <v>219</v>
      </c>
      <c r="B8" s="79"/>
      <c r="C8" s="82"/>
      <c r="D8" s="71"/>
      <c r="E8" s="71">
        <v>17.96</v>
      </c>
      <c r="F8" s="70">
        <f t="shared" si="1"/>
        <v>0.7903809132</v>
      </c>
      <c r="G8" s="69"/>
      <c r="H8" s="69"/>
      <c r="I8" s="69"/>
      <c r="J8" s="73">
        <f t="shared" si="2"/>
        <v>0.5035876705</v>
      </c>
      <c r="K8" s="69"/>
      <c r="L8" s="81"/>
      <c r="M8" s="69"/>
      <c r="N8" s="74"/>
    </row>
    <row r="9">
      <c r="A9" s="78" t="s">
        <v>220</v>
      </c>
      <c r="B9" s="79"/>
      <c r="C9" s="80"/>
      <c r="D9" s="71"/>
      <c r="E9" s="71">
        <v>-2.6</v>
      </c>
      <c r="F9" s="70">
        <f t="shared" si="1"/>
        <v>-0.4462009626</v>
      </c>
      <c r="G9" s="69"/>
      <c r="H9" s="69"/>
      <c r="I9" s="69"/>
      <c r="J9" s="73">
        <f t="shared" si="2"/>
        <v>0.2958059626</v>
      </c>
      <c r="K9" s="69"/>
      <c r="L9" s="81"/>
      <c r="M9" s="69"/>
      <c r="N9" s="74"/>
    </row>
    <row r="10">
      <c r="A10" s="78" t="s">
        <v>221</v>
      </c>
      <c r="B10" s="79"/>
      <c r="C10" s="80"/>
      <c r="D10" s="71"/>
      <c r="E10" s="71">
        <v>30.2</v>
      </c>
      <c r="F10" s="70">
        <f t="shared" si="1"/>
        <v>1.526556116</v>
      </c>
      <c r="G10" s="69"/>
      <c r="H10" s="69"/>
      <c r="I10" s="69"/>
      <c r="J10" s="73">
        <f t="shared" si="2"/>
        <v>0.6272865083</v>
      </c>
      <c r="K10" s="69"/>
      <c r="L10" s="81"/>
      <c r="M10" s="69"/>
      <c r="N10" s="74"/>
    </row>
    <row r="11">
      <c r="A11" s="78" t="s">
        <v>222</v>
      </c>
      <c r="B11" s="79"/>
      <c r="C11" s="80"/>
      <c r="D11" s="71"/>
      <c r="E11" s="71">
        <v>5.45</v>
      </c>
      <c r="F11" s="70">
        <f t="shared" si="1"/>
        <v>0.037966552</v>
      </c>
      <c r="G11" s="69"/>
      <c r="H11" s="69"/>
      <c r="I11" s="69"/>
      <c r="J11" s="73">
        <f t="shared" si="2"/>
        <v>0.3771601819</v>
      </c>
      <c r="K11" s="69"/>
      <c r="L11" s="81"/>
      <c r="M11" s="69"/>
      <c r="N11" s="74"/>
    </row>
    <row r="12">
      <c r="A12" s="78" t="s">
        <v>223</v>
      </c>
      <c r="B12" s="79"/>
      <c r="C12" s="80"/>
      <c r="D12" s="71"/>
      <c r="E12" s="71">
        <v>7.17</v>
      </c>
      <c r="F12" s="70">
        <f t="shared" si="1"/>
        <v>0.1414160085</v>
      </c>
      <c r="G12" s="69"/>
      <c r="H12" s="69"/>
      <c r="I12" s="69"/>
      <c r="J12" s="73">
        <f t="shared" si="2"/>
        <v>0.3945426983</v>
      </c>
      <c r="K12" s="69"/>
      <c r="L12" s="81"/>
      <c r="M12" s="69"/>
      <c r="N12" s="74"/>
    </row>
    <row r="13">
      <c r="A13" s="78" t="s">
        <v>224</v>
      </c>
      <c r="B13" s="79"/>
      <c r="C13" s="80"/>
      <c r="D13" s="71"/>
      <c r="E13" s="71">
        <v>14.37</v>
      </c>
      <c r="F13" s="70">
        <f t="shared" si="1"/>
        <v>0.5744602452</v>
      </c>
      <c r="G13" s="69"/>
      <c r="H13" s="69"/>
      <c r="I13" s="69"/>
      <c r="J13" s="73">
        <f t="shared" si="2"/>
        <v>0.4673067206</v>
      </c>
      <c r="K13" s="69"/>
      <c r="L13" s="81"/>
      <c r="M13" s="69"/>
      <c r="N13" s="74"/>
    </row>
    <row r="14">
      <c r="A14" s="78" t="s">
        <v>225</v>
      </c>
      <c r="B14" s="79"/>
      <c r="C14" s="80"/>
      <c r="D14" s="71"/>
      <c r="E14" s="71">
        <v>15.34</v>
      </c>
      <c r="F14" s="70">
        <f t="shared" si="1"/>
        <v>0.6328009271</v>
      </c>
      <c r="G14" s="69"/>
      <c r="H14" s="69"/>
      <c r="I14" s="69"/>
      <c r="J14" s="73">
        <f t="shared" si="2"/>
        <v>0.4771096513</v>
      </c>
      <c r="K14" s="69"/>
      <c r="L14" s="69"/>
      <c r="M14" s="69"/>
      <c r="N14" s="74"/>
    </row>
    <row r="15">
      <c r="A15" s="78" t="s">
        <v>226</v>
      </c>
      <c r="B15" s="63"/>
      <c r="C15" s="63"/>
      <c r="E15" s="76">
        <v>-15.65</v>
      </c>
      <c r="F15" s="70">
        <f t="shared" si="1"/>
        <v>-1.231093642</v>
      </c>
      <c r="J15" s="73">
        <f t="shared" si="2"/>
        <v>0.1639211723</v>
      </c>
    </row>
    <row r="16">
      <c r="A16" s="83" t="s">
        <v>227</v>
      </c>
      <c r="B16" s="63"/>
      <c r="C16" s="63"/>
      <c r="E16" s="76">
        <v>1.28</v>
      </c>
      <c r="F16" s="70">
        <f t="shared" si="1"/>
        <v>-0.2128382351</v>
      </c>
      <c r="J16" s="73">
        <f t="shared" si="2"/>
        <v>0.3350176857</v>
      </c>
    </row>
    <row r="17">
      <c r="A17" s="83" t="s">
        <v>228</v>
      </c>
      <c r="B17" s="63"/>
      <c r="C17" s="63"/>
      <c r="E17" s="76">
        <v>0.12</v>
      </c>
      <c r="F17" s="70">
        <f t="shared" si="1"/>
        <v>-0.2826064732</v>
      </c>
      <c r="J17" s="73">
        <f t="shared" si="2"/>
        <v>0.3232945932</v>
      </c>
    </row>
    <row r="18">
      <c r="A18" s="83" t="s">
        <v>229</v>
      </c>
      <c r="B18" s="63"/>
      <c r="C18" s="63"/>
      <c r="E18" s="76">
        <v>20.21</v>
      </c>
      <c r="F18" s="70">
        <f t="shared" si="1"/>
        <v>0.9257072372</v>
      </c>
      <c r="J18" s="73">
        <f t="shared" si="2"/>
        <v>0.5263264275</v>
      </c>
    </row>
    <row r="19">
      <c r="A19" s="83" t="s">
        <v>230</v>
      </c>
      <c r="B19" s="63"/>
      <c r="C19" s="63"/>
      <c r="E19" s="76">
        <v>18.01</v>
      </c>
      <c r="F19" s="70">
        <f t="shared" si="1"/>
        <v>0.7933881648</v>
      </c>
      <c r="J19" s="73">
        <f t="shared" si="2"/>
        <v>0.5040929763</v>
      </c>
    </row>
    <row r="20">
      <c r="A20" s="83" t="s">
        <v>231</v>
      </c>
      <c r="B20" s="63"/>
      <c r="C20" s="63"/>
      <c r="E20" s="76">
        <v>67.08</v>
      </c>
      <c r="F20" s="70">
        <f t="shared" si="1"/>
        <v>3.744704928</v>
      </c>
      <c r="J20" s="73">
        <f t="shared" si="2"/>
        <v>1</v>
      </c>
    </row>
    <row r="21">
      <c r="A21" s="83" t="s">
        <v>232</v>
      </c>
      <c r="B21" s="63"/>
      <c r="C21" s="63"/>
      <c r="E21" s="76">
        <v>-29.56</v>
      </c>
      <c r="F21" s="70">
        <f t="shared" si="1"/>
        <v>-2.067711049</v>
      </c>
      <c r="J21" s="73">
        <f t="shared" si="2"/>
        <v>0.0233451238</v>
      </c>
    </row>
    <row r="22">
      <c r="A22" s="83" t="s">
        <v>233</v>
      </c>
      <c r="B22" s="63"/>
      <c r="C22" s="63"/>
      <c r="E22" s="84">
        <v>-0.34</v>
      </c>
      <c r="F22" s="70">
        <f t="shared" si="1"/>
        <v>-0.3102731883</v>
      </c>
      <c r="J22" s="73">
        <f t="shared" si="2"/>
        <v>0.3186457807</v>
      </c>
    </row>
    <row r="23">
      <c r="A23" s="83" t="s">
        <v>234</v>
      </c>
      <c r="B23" s="63"/>
      <c r="C23" s="63"/>
      <c r="E23" s="84">
        <v>-4.44</v>
      </c>
      <c r="F23" s="70">
        <f t="shared" si="1"/>
        <v>-0.5568678231</v>
      </c>
      <c r="J23" s="73">
        <f t="shared" si="2"/>
        <v>0.2772107125</v>
      </c>
    </row>
    <row r="24">
      <c r="A24" s="83" t="s">
        <v>235</v>
      </c>
      <c r="B24" s="63"/>
      <c r="C24" s="63"/>
      <c r="E24" s="76">
        <v>31.7</v>
      </c>
      <c r="F24" s="70">
        <f t="shared" si="1"/>
        <v>1.616773665</v>
      </c>
      <c r="J24" s="73">
        <f t="shared" si="2"/>
        <v>0.6424456796</v>
      </c>
    </row>
    <row r="25">
      <c r="A25" s="83" t="s">
        <v>236</v>
      </c>
      <c r="B25" s="63"/>
      <c r="C25" s="63"/>
      <c r="E25" s="76">
        <v>8.96</v>
      </c>
      <c r="F25" s="70">
        <f t="shared" si="1"/>
        <v>0.2490756174</v>
      </c>
      <c r="J25" s="73">
        <f t="shared" si="2"/>
        <v>0.4126326427</v>
      </c>
    </row>
    <row r="26">
      <c r="A26" s="83" t="s">
        <v>237</v>
      </c>
      <c r="B26" s="63"/>
      <c r="C26" s="63"/>
      <c r="E26" s="84">
        <v>-4.58</v>
      </c>
      <c r="F26" s="70">
        <f t="shared" si="1"/>
        <v>-0.5652881277</v>
      </c>
      <c r="J26" s="73">
        <f t="shared" si="2"/>
        <v>0.2757958565</v>
      </c>
    </row>
    <row r="27">
      <c r="A27" s="83" t="s">
        <v>238</v>
      </c>
      <c r="B27" s="63"/>
      <c r="C27" s="63"/>
      <c r="E27" s="84">
        <v>13.19</v>
      </c>
      <c r="F27" s="70">
        <f t="shared" si="1"/>
        <v>0.5034891064</v>
      </c>
      <c r="J27" s="73">
        <f t="shared" si="2"/>
        <v>0.4553815058</v>
      </c>
    </row>
    <row r="28">
      <c r="A28" s="83" t="s">
        <v>239</v>
      </c>
      <c r="B28" s="63"/>
      <c r="C28" s="63"/>
      <c r="E28" s="84">
        <v>4.83</v>
      </c>
      <c r="F28" s="70">
        <f t="shared" si="1"/>
        <v>0.0006766316198</v>
      </c>
      <c r="J28" s="73">
        <f t="shared" si="2"/>
        <v>0.3708943911</v>
      </c>
    </row>
    <row r="29">
      <c r="A29" s="83" t="s">
        <v>240</v>
      </c>
      <c r="B29" s="63"/>
      <c r="C29" s="63"/>
      <c r="E29" s="84">
        <v>-11.74</v>
      </c>
      <c r="F29" s="70">
        <f t="shared" si="1"/>
        <v>-0.995926563</v>
      </c>
      <c r="J29" s="73">
        <f t="shared" si="2"/>
        <v>0.2034360788</v>
      </c>
    </row>
    <row r="30">
      <c r="A30" s="83" t="s">
        <v>241</v>
      </c>
      <c r="B30" s="63"/>
      <c r="C30" s="63"/>
      <c r="E30" s="84">
        <v>-31.87</v>
      </c>
      <c r="F30" s="70">
        <f t="shared" si="1"/>
        <v>-2.206646075</v>
      </c>
      <c r="J30" s="73">
        <f t="shared" si="2"/>
        <v>0</v>
      </c>
    </row>
    <row r="31">
      <c r="A31" s="83" t="s">
        <v>242</v>
      </c>
      <c r="B31" s="63"/>
      <c r="C31" s="63"/>
      <c r="E31" s="84">
        <v>-7.59</v>
      </c>
      <c r="F31" s="70">
        <f t="shared" si="1"/>
        <v>-0.7463246766</v>
      </c>
      <c r="J31" s="73">
        <f t="shared" si="2"/>
        <v>0.2453764528</v>
      </c>
    </row>
    <row r="32">
      <c r="A32" s="83" t="s">
        <v>243</v>
      </c>
      <c r="B32" s="63"/>
      <c r="C32" s="63"/>
      <c r="E32" s="84">
        <v>-6.59</v>
      </c>
      <c r="F32" s="70">
        <f t="shared" si="1"/>
        <v>-0.6861796438</v>
      </c>
      <c r="J32" s="73">
        <f t="shared" si="2"/>
        <v>0.255482567</v>
      </c>
    </row>
    <row r="33">
      <c r="A33" s="83" t="s">
        <v>244</v>
      </c>
      <c r="B33" s="63"/>
      <c r="C33" s="63"/>
      <c r="E33" s="76">
        <v>-1.52</v>
      </c>
      <c r="F33" s="70">
        <f t="shared" si="1"/>
        <v>-0.3812443271</v>
      </c>
      <c r="J33" s="73">
        <f t="shared" si="2"/>
        <v>0.3067205659</v>
      </c>
    </row>
    <row r="34">
      <c r="A34" s="83" t="s">
        <v>245</v>
      </c>
      <c r="B34" s="63"/>
      <c r="C34" s="63"/>
      <c r="E34" s="84">
        <v>-10.8</v>
      </c>
      <c r="F34" s="70">
        <f t="shared" si="1"/>
        <v>-0.9393902321</v>
      </c>
      <c r="J34" s="73">
        <f t="shared" si="2"/>
        <v>0.2129358262</v>
      </c>
    </row>
    <row r="35">
      <c r="A35" s="83" t="s">
        <v>246</v>
      </c>
      <c r="B35" s="63"/>
      <c r="C35" s="63"/>
      <c r="E35" s="76">
        <v>12.53</v>
      </c>
      <c r="F35" s="70">
        <f t="shared" si="1"/>
        <v>0.4637933847</v>
      </c>
      <c r="J35" s="73">
        <f t="shared" si="2"/>
        <v>0.4487114704</v>
      </c>
    </row>
    <row r="36">
      <c r="A36" s="83" t="s">
        <v>247</v>
      </c>
      <c r="B36" s="63"/>
      <c r="C36" s="63"/>
      <c r="E36" s="84">
        <v>-0.47</v>
      </c>
      <c r="F36" s="70">
        <f t="shared" si="1"/>
        <v>-0.3180920426</v>
      </c>
      <c r="J36" s="73">
        <f t="shared" si="2"/>
        <v>0.3173319859</v>
      </c>
    </row>
    <row r="37">
      <c r="A37" s="83" t="s">
        <v>248</v>
      </c>
      <c r="B37" s="63"/>
      <c r="C37" s="63"/>
      <c r="E37" s="84">
        <v>-7.39</v>
      </c>
      <c r="F37" s="70">
        <f t="shared" si="1"/>
        <v>-0.73429567</v>
      </c>
      <c r="J37" s="73">
        <f t="shared" si="2"/>
        <v>0.2473976756</v>
      </c>
    </row>
    <row r="38">
      <c r="A38" s="83" t="s">
        <v>249</v>
      </c>
      <c r="B38" s="63"/>
      <c r="C38" s="63"/>
      <c r="E38" s="84">
        <v>4.93</v>
      </c>
      <c r="F38" s="70">
        <f t="shared" si="1"/>
        <v>0.006691134907</v>
      </c>
      <c r="J38" s="73">
        <f t="shared" si="2"/>
        <v>0.3719050025</v>
      </c>
    </row>
    <row r="39">
      <c r="A39" s="83" t="s">
        <v>250</v>
      </c>
      <c r="B39" s="63"/>
      <c r="C39" s="63"/>
      <c r="E39" s="84">
        <v>-0.42</v>
      </c>
      <c r="F39" s="70">
        <f t="shared" si="1"/>
        <v>-0.3150847909</v>
      </c>
      <c r="J39" s="73">
        <f t="shared" si="2"/>
        <v>0.3178372916</v>
      </c>
    </row>
    <row r="40">
      <c r="A40" s="83" t="s">
        <v>251</v>
      </c>
      <c r="B40" s="63"/>
      <c r="C40" s="63"/>
      <c r="E40" s="76">
        <v>7.62</v>
      </c>
      <c r="F40" s="70">
        <f t="shared" si="1"/>
        <v>0.1684812733</v>
      </c>
      <c r="J40" s="73">
        <f t="shared" si="2"/>
        <v>0.3990904497</v>
      </c>
    </row>
    <row r="41">
      <c r="A41" s="83" t="s">
        <v>252</v>
      </c>
      <c r="B41" s="63"/>
      <c r="C41" s="63"/>
      <c r="E41" s="84">
        <v>0.8</v>
      </c>
      <c r="F41" s="70">
        <f t="shared" si="1"/>
        <v>-0.2417078508</v>
      </c>
      <c r="J41" s="73">
        <f t="shared" si="2"/>
        <v>0.3301667509</v>
      </c>
    </row>
  </sheetData>
  <drawing r:id="rId1"/>
</worksheet>
</file>