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9525"/>
  </bookViews>
  <sheets>
    <sheet name="rating predictor" sheetId="1" r:id="rId1"/>
  </sheets>
  <definedNames>
    <definedName name="_xlnm._FilterDatabase" localSheetId="0" hidden="1">'rating predictor'!$G$135:$M$135</definedName>
    <definedName name="centraal" localSheetId="0">'rating predictor'!$P$57:$Q$67</definedName>
    <definedName name="centraal">#REF!</definedName>
    <definedName name="coach" localSheetId="0">'rating predictor'!$S$77:$U$79</definedName>
    <definedName name="coach">#REF!</definedName>
    <definedName name="contributies" localSheetId="0">'rating predictor'!$P$3:$Z$24</definedName>
    <definedName name="contributies">#REF!</definedName>
    <definedName name="instelling" localSheetId="0">'rating predictor'!$S$67:$T$69</definedName>
    <definedName name="instelling">#REF!</definedName>
    <definedName name="spelers" localSheetId="0">'rating predictor'!$B$7:$N$57</definedName>
    <definedName name="spelers">#REF!</definedName>
    <definedName name="stats" localSheetId="0">'rating predictor'!$Z$46:$AB$125</definedName>
    <definedName name="stats">#REF!</definedName>
    <definedName name="tactiek" localSheetId="0">'rating predictor'!$S$58:$T$63</definedName>
    <definedName name="tactiek">#REF!</definedName>
    <definedName name="ts" localSheetId="0">'rating predictor'!$W$46:$X$86</definedName>
    <definedName name="ts">#REF!</definedName>
    <definedName name="wedstrijd" localSheetId="0">'rating predictor'!$S$72:$T$74</definedName>
    <definedName name="wedstrijd">#REF!</definedName>
    <definedName name="zv" localSheetId="0">'rating predictor'!$S$46:$T$55</definedName>
    <definedName name="zv">#REF!</definedName>
  </definedNames>
  <calcPr calcId="145621"/>
</workbook>
</file>

<file path=xl/calcChain.xml><?xml version="1.0" encoding="utf-8"?>
<calcChain xmlns="http://schemas.openxmlformats.org/spreadsheetml/2006/main">
  <c r="Q19" i="1" l="1"/>
  <c r="Q15" i="1"/>
  <c r="L154" i="1" l="1"/>
  <c r="M154" i="1" s="1"/>
  <c r="J154" i="1"/>
  <c r="L153" i="1"/>
  <c r="J153" i="1"/>
  <c r="M153" i="1" s="1"/>
  <c r="L152" i="1"/>
  <c r="J152" i="1"/>
  <c r="M152" i="1" s="1"/>
  <c r="M151" i="1"/>
  <c r="L151" i="1"/>
  <c r="J151" i="1"/>
  <c r="L150" i="1"/>
  <c r="M150" i="1" s="1"/>
  <c r="J150" i="1"/>
  <c r="L149" i="1"/>
  <c r="J149" i="1"/>
  <c r="L148" i="1"/>
  <c r="J148" i="1"/>
  <c r="M148" i="1" s="1"/>
  <c r="M147" i="1"/>
  <c r="L147" i="1"/>
  <c r="J147" i="1"/>
  <c r="L146" i="1"/>
  <c r="M146" i="1" s="1"/>
  <c r="J146" i="1"/>
  <c r="L145" i="1"/>
  <c r="J145" i="1"/>
  <c r="M145" i="1" s="1"/>
  <c r="L144" i="1"/>
  <c r="J144" i="1"/>
  <c r="M144" i="1" s="1"/>
  <c r="M143" i="1"/>
  <c r="L143" i="1"/>
  <c r="J143" i="1"/>
  <c r="L142" i="1"/>
  <c r="M142" i="1" s="1"/>
  <c r="J142" i="1"/>
  <c r="N141" i="1"/>
  <c r="L141" i="1"/>
  <c r="M141" i="1" s="1"/>
  <c r="J141" i="1"/>
  <c r="L140" i="1"/>
  <c r="J140" i="1"/>
  <c r="L139" i="1"/>
  <c r="J139" i="1"/>
  <c r="M139" i="1" s="1"/>
  <c r="M138" i="1"/>
  <c r="L138" i="1"/>
  <c r="J138" i="1"/>
  <c r="L137" i="1"/>
  <c r="M137" i="1" s="1"/>
  <c r="J137" i="1"/>
  <c r="O136" i="1"/>
  <c r="L136" i="1"/>
  <c r="M136" i="1" s="1"/>
  <c r="J136" i="1"/>
  <c r="G123" i="1"/>
  <c r="G122" i="1"/>
  <c r="G121" i="1"/>
  <c r="G119" i="1"/>
  <c r="L112" i="1"/>
  <c r="L111" i="1"/>
  <c r="L110" i="1"/>
  <c r="L108" i="1"/>
  <c r="L107" i="1"/>
  <c r="L106" i="1"/>
  <c r="R102" i="1"/>
  <c r="X82" i="1"/>
  <c r="X81" i="1"/>
  <c r="X80" i="1"/>
  <c r="X79" i="1"/>
  <c r="U79" i="1"/>
  <c r="X78" i="1"/>
  <c r="X77" i="1"/>
  <c r="T77" i="1"/>
  <c r="X76" i="1"/>
  <c r="X75" i="1"/>
  <c r="X74" i="1"/>
  <c r="X73" i="1"/>
  <c r="G73" i="1"/>
  <c r="K73" i="1" s="1"/>
  <c r="X72" i="1"/>
  <c r="G72" i="1"/>
  <c r="K72" i="1" s="1"/>
  <c r="X71" i="1"/>
  <c r="X70" i="1"/>
  <c r="G70" i="1"/>
  <c r="L70" i="1" s="1"/>
  <c r="X69" i="1"/>
  <c r="X68" i="1"/>
  <c r="X67" i="1"/>
  <c r="X66" i="1"/>
  <c r="X65" i="1"/>
  <c r="X64" i="1"/>
  <c r="T64" i="1"/>
  <c r="X63" i="1"/>
  <c r="X62" i="1"/>
  <c r="T62" i="1"/>
  <c r="X61" i="1"/>
  <c r="X60" i="1"/>
  <c r="X59" i="1"/>
  <c r="X58" i="1"/>
  <c r="X57" i="1"/>
  <c r="N57" i="1"/>
  <c r="F57" i="1"/>
  <c r="D57" i="1"/>
  <c r="X56" i="1"/>
  <c r="N56" i="1"/>
  <c r="F56" i="1"/>
  <c r="D56" i="1"/>
  <c r="X55" i="1"/>
  <c r="N55" i="1"/>
  <c r="F55" i="1"/>
  <c r="D55" i="1"/>
  <c r="X54" i="1"/>
  <c r="T54" i="1"/>
  <c r="T53" i="1" s="1"/>
  <c r="T52" i="1" s="1"/>
  <c r="N54" i="1"/>
  <c r="F54" i="1"/>
  <c r="D54" i="1"/>
  <c r="X53" i="1"/>
  <c r="N53" i="1"/>
  <c r="F53" i="1"/>
  <c r="D53" i="1"/>
  <c r="X52" i="1"/>
  <c r="N52" i="1"/>
  <c r="F52" i="1"/>
  <c r="D52" i="1"/>
  <c r="X51" i="1"/>
  <c r="T51" i="1"/>
  <c r="T50" i="1" s="1"/>
  <c r="T49" i="1" s="1"/>
  <c r="T48" i="1" s="1"/>
  <c r="N51" i="1"/>
  <c r="F51" i="1"/>
  <c r="D51" i="1"/>
  <c r="X50" i="1"/>
  <c r="N50" i="1"/>
  <c r="F50" i="1"/>
  <c r="D50" i="1"/>
  <c r="X49" i="1"/>
  <c r="N49" i="1"/>
  <c r="F49" i="1"/>
  <c r="D49" i="1"/>
  <c r="X48" i="1"/>
  <c r="N48" i="1"/>
  <c r="F48" i="1"/>
  <c r="D48" i="1"/>
  <c r="X47" i="1"/>
  <c r="T47" i="1"/>
  <c r="T46" i="1" s="1"/>
  <c r="N47" i="1"/>
  <c r="F47" i="1"/>
  <c r="D47" i="1"/>
  <c r="X46" i="1"/>
  <c r="N46" i="1"/>
  <c r="F46" i="1"/>
  <c r="D46" i="1"/>
  <c r="N45" i="1"/>
  <c r="F45" i="1"/>
  <c r="D45" i="1"/>
  <c r="N44" i="1"/>
  <c r="F44" i="1"/>
  <c r="D44" i="1"/>
  <c r="N43" i="1"/>
  <c r="F43" i="1"/>
  <c r="D43" i="1"/>
  <c r="N42" i="1"/>
  <c r="F42" i="1"/>
  <c r="D42" i="1"/>
  <c r="N41" i="1"/>
  <c r="F41" i="1"/>
  <c r="D41" i="1"/>
  <c r="N40" i="1"/>
  <c r="F40" i="1"/>
  <c r="D40" i="1"/>
  <c r="N39" i="1"/>
  <c r="F39" i="1"/>
  <c r="D39" i="1"/>
  <c r="N38" i="1"/>
  <c r="F38" i="1"/>
  <c r="D38" i="1"/>
  <c r="N37" i="1"/>
  <c r="F37" i="1"/>
  <c r="D37" i="1"/>
  <c r="N36" i="1"/>
  <c r="F36" i="1"/>
  <c r="D36" i="1"/>
  <c r="N35" i="1"/>
  <c r="F35" i="1"/>
  <c r="D35" i="1"/>
  <c r="N34" i="1"/>
  <c r="F34" i="1"/>
  <c r="D34" i="1"/>
  <c r="N33" i="1"/>
  <c r="F33" i="1"/>
  <c r="D33" i="1"/>
  <c r="N32" i="1"/>
  <c r="F32" i="1"/>
  <c r="D32" i="1"/>
  <c r="N31" i="1"/>
  <c r="F31" i="1"/>
  <c r="D31" i="1"/>
  <c r="N30" i="1"/>
  <c r="F30" i="1"/>
  <c r="D30" i="1"/>
  <c r="N29" i="1"/>
  <c r="F29" i="1"/>
  <c r="D29" i="1"/>
  <c r="N28" i="1"/>
  <c r="F28" i="1"/>
  <c r="D28" i="1"/>
  <c r="N27" i="1"/>
  <c r="F27" i="1"/>
  <c r="D27" i="1"/>
  <c r="N26" i="1"/>
  <c r="F26" i="1"/>
  <c r="D26" i="1"/>
  <c r="N25" i="1"/>
  <c r="F25" i="1"/>
  <c r="D25" i="1"/>
  <c r="AL24" i="1"/>
  <c r="Z24" i="1"/>
  <c r="N24" i="1"/>
  <c r="F24" i="1"/>
  <c r="D24" i="1"/>
  <c r="BU23" i="1"/>
  <c r="Z23" i="1"/>
  <c r="Y23" i="1"/>
  <c r="X23" i="1"/>
  <c r="W23" i="1"/>
  <c r="V23" i="1"/>
  <c r="N23" i="1"/>
  <c r="F23" i="1"/>
  <c r="D23" i="1"/>
  <c r="AJ22" i="1"/>
  <c r="X22" i="1" s="1"/>
  <c r="V22" i="1"/>
  <c r="N22" i="1"/>
  <c r="F22" i="1"/>
  <c r="D22" i="1"/>
  <c r="BU21" i="1"/>
  <c r="BR21" i="1"/>
  <c r="BM21" i="1"/>
  <c r="V21" i="1"/>
  <c r="N21" i="1"/>
  <c r="F21" i="1"/>
  <c r="D21" i="1"/>
  <c r="BV20" i="1"/>
  <c r="BU20" i="1"/>
  <c r="Z20" i="1"/>
  <c r="Y20" i="1"/>
  <c r="X20" i="1"/>
  <c r="N20" i="1"/>
  <c r="F20" i="1"/>
  <c r="D20" i="1"/>
  <c r="BU19" i="1"/>
  <c r="BM19" i="1"/>
  <c r="Y19" i="1"/>
  <c r="X19" i="1"/>
  <c r="N19" i="1"/>
  <c r="F19" i="1"/>
  <c r="D19" i="1"/>
  <c r="BU18" i="1"/>
  <c r="BQ18" i="1"/>
  <c r="BO18" i="1"/>
  <c r="BM18" i="1"/>
  <c r="AH18" i="1"/>
  <c r="V18" i="1"/>
  <c r="N18" i="1"/>
  <c r="F18" i="1"/>
  <c r="D18" i="1"/>
  <c r="BU17" i="1"/>
  <c r="BQ17" i="1"/>
  <c r="BM17" i="1"/>
  <c r="Y17" i="1"/>
  <c r="X17" i="1"/>
  <c r="N17" i="1"/>
  <c r="F17" i="1"/>
  <c r="D17" i="1"/>
  <c r="BU16" i="1"/>
  <c r="BM16" i="1"/>
  <c r="AG16" i="1"/>
  <c r="AE16" i="1"/>
  <c r="Y16" i="1"/>
  <c r="X16" i="1"/>
  <c r="U16" i="1"/>
  <c r="S16" i="1"/>
  <c r="N16" i="1"/>
  <c r="F16" i="1"/>
  <c r="D16" i="1"/>
  <c r="AE15" i="1"/>
  <c r="Y15" i="1"/>
  <c r="X15" i="1"/>
  <c r="S15" i="1"/>
  <c r="N15" i="1"/>
  <c r="F15" i="1"/>
  <c r="D15" i="1"/>
  <c r="X14" i="1"/>
  <c r="N14" i="1"/>
  <c r="F14" i="1"/>
  <c r="D14" i="1"/>
  <c r="X13" i="1"/>
  <c r="N13" i="1"/>
  <c r="F13" i="1"/>
  <c r="D13" i="1"/>
  <c r="X12" i="1"/>
  <c r="N12" i="1"/>
  <c r="F12" i="1"/>
  <c r="D12" i="1"/>
  <c r="BU11" i="1"/>
  <c r="AK11" i="1"/>
  <c r="AG11" i="1"/>
  <c r="AE11" i="1"/>
  <c r="AC11" i="1"/>
  <c r="Y11" i="1"/>
  <c r="U11" i="1"/>
  <c r="S11" i="1"/>
  <c r="Q11" i="1"/>
  <c r="N11" i="1"/>
  <c r="F11" i="1"/>
  <c r="D11" i="1"/>
  <c r="BU10" i="1"/>
  <c r="AK10" i="1"/>
  <c r="AG10" i="1"/>
  <c r="AE10" i="1"/>
  <c r="AC10" i="1"/>
  <c r="Y10" i="1"/>
  <c r="U10" i="1"/>
  <c r="S10" i="1"/>
  <c r="Q10" i="1"/>
  <c r="N10" i="1"/>
  <c r="F10" i="1"/>
  <c r="D10" i="1"/>
  <c r="G78" i="1"/>
  <c r="BU9" i="1"/>
  <c r="AK9" i="1"/>
  <c r="AG9" i="1"/>
  <c r="AE9" i="1"/>
  <c r="AC9" i="1"/>
  <c r="Y9" i="1"/>
  <c r="U9" i="1"/>
  <c r="S9" i="1"/>
  <c r="Q9" i="1"/>
  <c r="N9" i="1"/>
  <c r="F9" i="1"/>
  <c r="D9" i="1"/>
  <c r="BU8" i="1"/>
  <c r="AK8" i="1"/>
  <c r="AG8" i="1"/>
  <c r="AE8" i="1"/>
  <c r="AC8" i="1"/>
  <c r="Y8" i="1"/>
  <c r="U8" i="1"/>
  <c r="S8" i="1"/>
  <c r="Q8" i="1"/>
  <c r="N8" i="1"/>
  <c r="F8" i="1"/>
  <c r="D8" i="1"/>
  <c r="BQ7" i="1"/>
  <c r="BM7" i="1"/>
  <c r="AE7" i="1"/>
  <c r="U7" i="1"/>
  <c r="S7" i="1"/>
  <c r="N7" i="1"/>
  <c r="F7" i="1"/>
  <c r="D7" i="1"/>
  <c r="BM6" i="1"/>
  <c r="U6" i="1"/>
  <c r="S6" i="1"/>
  <c r="BM5" i="1"/>
  <c r="U5" i="1"/>
  <c r="S5" i="1"/>
  <c r="BQ4" i="1"/>
  <c r="BP4" i="1"/>
  <c r="BO4" i="1"/>
  <c r="BN4" i="1"/>
  <c r="U4" i="1"/>
  <c r="T4" i="1"/>
  <c r="S4" i="1"/>
  <c r="R4" i="1"/>
  <c r="H72" i="1" l="1"/>
  <c r="I72" i="1"/>
  <c r="H70" i="1"/>
  <c r="J72" i="1"/>
  <c r="I70" i="1"/>
  <c r="J70" i="1"/>
  <c r="M78" i="1"/>
  <c r="I78" i="1"/>
  <c r="L78" i="1"/>
  <c r="H78" i="1"/>
  <c r="N78" i="1"/>
  <c r="K78" i="1"/>
  <c r="J78" i="1"/>
  <c r="G83" i="1"/>
  <c r="J73" i="1"/>
  <c r="H73" i="1"/>
  <c r="N73" i="1"/>
  <c r="G74" i="1"/>
  <c r="G82" i="1"/>
  <c r="G80" i="1"/>
  <c r="G79" i="1"/>
  <c r="G76" i="1"/>
  <c r="G68" i="1"/>
  <c r="G71" i="1"/>
  <c r="G77" i="1"/>
  <c r="G84" i="1"/>
  <c r="M140" i="1"/>
  <c r="M149" i="1"/>
  <c r="N79" i="1" l="1"/>
  <c r="H79" i="1"/>
  <c r="M79" i="1"/>
  <c r="K79" i="1"/>
  <c r="J79" i="1"/>
  <c r="M83" i="1"/>
  <c r="L83" i="1"/>
  <c r="N83" i="1"/>
  <c r="H83" i="1"/>
  <c r="L84" i="1"/>
  <c r="H84" i="1"/>
  <c r="N84" i="1"/>
  <c r="M84" i="1"/>
  <c r="N80" i="1"/>
  <c r="H80" i="1"/>
  <c r="M80" i="1"/>
  <c r="K80" i="1"/>
  <c r="J80" i="1"/>
  <c r="I77" i="1"/>
  <c r="M77" i="1"/>
  <c r="H77" i="1"/>
  <c r="L77" i="1"/>
  <c r="J77" i="1"/>
  <c r="J68" i="1"/>
  <c r="I68" i="1"/>
  <c r="K68" i="1"/>
  <c r="H82" i="1"/>
  <c r="N82" i="1"/>
  <c r="M82" i="1"/>
  <c r="L82" i="1"/>
  <c r="I71" i="1"/>
  <c r="H71" i="1"/>
  <c r="J71" i="1"/>
  <c r="L71" i="1"/>
  <c r="M76" i="1"/>
  <c r="H76" i="1"/>
  <c r="L76" i="1"/>
  <c r="J76" i="1"/>
  <c r="I76" i="1"/>
  <c r="N74" i="1"/>
  <c r="K74" i="1"/>
  <c r="J74" i="1"/>
  <c r="H74" i="1"/>
  <c r="L86" i="1" l="1"/>
  <c r="L88" i="1" s="1"/>
  <c r="N98" i="1" s="1"/>
  <c r="J131" i="1" s="1"/>
  <c r="J165" i="1" s="1"/>
  <c r="K86" i="1"/>
  <c r="K88" i="1" s="1"/>
  <c r="I110" i="1" s="1"/>
  <c r="N86" i="1"/>
  <c r="N88" i="1" s="1"/>
  <c r="N90" i="1" s="1"/>
  <c r="E100" i="1" s="1"/>
  <c r="I86" i="1"/>
  <c r="I88" i="1" s="1"/>
  <c r="L127" i="1" s="1"/>
  <c r="H86" i="1"/>
  <c r="H88" i="1" s="1"/>
  <c r="J86" i="1"/>
  <c r="J88" i="1" s="1"/>
  <c r="M86" i="1"/>
  <c r="M88" i="1" s="1"/>
  <c r="L131" i="1" l="1"/>
  <c r="O98" i="1" s="1"/>
  <c r="S98" i="1" s="1"/>
  <c r="I108" i="1"/>
  <c r="L90" i="1"/>
  <c r="E98" i="1" s="1"/>
  <c r="K90" i="1"/>
  <c r="E96" i="1" s="1"/>
  <c r="L129" i="1"/>
  <c r="O96" i="1" s="1"/>
  <c r="S96" i="1" s="1"/>
  <c r="N96" i="1"/>
  <c r="J129" i="1" s="1"/>
  <c r="J159" i="1" s="1"/>
  <c r="N94" i="1"/>
  <c r="J127" i="1" s="1"/>
  <c r="J161" i="1" s="1"/>
  <c r="I90" i="1"/>
  <c r="E94" i="1" s="1"/>
  <c r="I112" i="1"/>
  <c r="J112" i="1" s="1"/>
  <c r="I106" i="1"/>
  <c r="J106" i="1" s="1"/>
  <c r="N100" i="1"/>
  <c r="J133" i="1" s="1"/>
  <c r="J163" i="1" s="1"/>
  <c r="L133" i="1"/>
  <c r="L163" i="1" s="1"/>
  <c r="M90" i="1"/>
  <c r="E99" i="1" s="1"/>
  <c r="N99" i="1"/>
  <c r="J132" i="1" s="1"/>
  <c r="J164" i="1" s="1"/>
  <c r="I107" i="1"/>
  <c r="L132" i="1"/>
  <c r="K112" i="1"/>
  <c r="L128" i="1"/>
  <c r="N95" i="1"/>
  <c r="J128" i="1" s="1"/>
  <c r="J160" i="1" s="1"/>
  <c r="J90" i="1"/>
  <c r="E95" i="1" s="1"/>
  <c r="I111" i="1"/>
  <c r="L125" i="1"/>
  <c r="N92" i="1"/>
  <c r="J125" i="1" s="1"/>
  <c r="J157" i="1" s="1"/>
  <c r="H90" i="1"/>
  <c r="I104" i="1"/>
  <c r="J104" i="1" s="1"/>
  <c r="K104" i="1" s="1"/>
  <c r="G88" i="1"/>
  <c r="K110" i="1"/>
  <c r="J110" i="1"/>
  <c r="O94" i="1"/>
  <c r="S94" i="1" s="1"/>
  <c r="L161" i="1"/>
  <c r="K108" i="1"/>
  <c r="J108" i="1"/>
  <c r="L165" i="1" l="1"/>
  <c r="L159" i="1"/>
  <c r="O100" i="1"/>
  <c r="S100" i="1" s="1"/>
  <c r="K106" i="1"/>
  <c r="M106" i="1" s="1"/>
  <c r="K111" i="1"/>
  <c r="M111" i="1" s="1"/>
  <c r="J111" i="1"/>
  <c r="O99" i="1"/>
  <c r="S99" i="1" s="1"/>
  <c r="L164" i="1"/>
  <c r="L157" i="1"/>
  <c r="O92" i="1"/>
  <c r="K107" i="1"/>
  <c r="M107" i="1" s="1"/>
  <c r="J107" i="1"/>
  <c r="M110" i="1"/>
  <c r="M112" i="1"/>
  <c r="M108" i="1"/>
  <c r="G90" i="1"/>
  <c r="E92" i="1"/>
  <c r="L160" i="1"/>
  <c r="O95" i="1"/>
  <c r="S95" i="1" s="1"/>
  <c r="M109" i="1" l="1"/>
  <c r="O102" i="1"/>
  <c r="S102" i="1" s="1"/>
  <c r="S92" i="1"/>
  <c r="M113" i="1"/>
  <c r="N113" i="1" l="1"/>
  <c r="M116" i="1"/>
</calcChain>
</file>

<file path=xl/sharedStrings.xml><?xml version="1.0" encoding="utf-8"?>
<sst xmlns="http://schemas.openxmlformats.org/spreadsheetml/2006/main" count="584" uniqueCount="215">
  <si>
    <t>LEGENDA:</t>
  </si>
  <si>
    <t>[Magnus_Maior_Maximus]</t>
  </si>
  <si>
    <t>[andreac]</t>
  </si>
  <si>
    <t>(pretty &amp; cirlama)</t>
  </si>
  <si>
    <t>(flatterman)</t>
  </si>
  <si>
    <t>geel</t>
  </si>
  <si>
    <t>Inputvelden</t>
  </si>
  <si>
    <t>POSITIE</t>
  </si>
  <si>
    <t>MID-PM</t>
  </si>
  <si>
    <t>CD-GK</t>
  </si>
  <si>
    <t>CD-DEF</t>
  </si>
  <si>
    <t>WB-GK</t>
  </si>
  <si>
    <t>WB-DEF</t>
  </si>
  <si>
    <t>CA-PASS</t>
  </si>
  <si>
    <t>CA-SCOR</t>
  </si>
  <si>
    <t>WI-PASS</t>
  </si>
  <si>
    <t>WI-WING</t>
  </si>
  <si>
    <t>WI-SCOR</t>
  </si>
  <si>
    <t>groen</t>
  </si>
  <si>
    <t>Outputvelden</t>
  </si>
  <si>
    <t>K</t>
  </si>
  <si>
    <t>CD</t>
  </si>
  <si>
    <t>Speler</t>
  </si>
  <si>
    <t>Vorm</t>
  </si>
  <si>
    <t>Conditie</t>
  </si>
  <si>
    <t>D</t>
  </si>
  <si>
    <t>PM</t>
  </si>
  <si>
    <t>VL</t>
  </si>
  <si>
    <t>PASS</t>
  </si>
  <si>
    <t>SC</t>
  </si>
  <si>
    <t>Ervaring</t>
  </si>
  <si>
    <t>OCD</t>
  </si>
  <si>
    <t>CDTW</t>
  </si>
  <si>
    <t>NWB</t>
  </si>
  <si>
    <t>OWB</t>
  </si>
  <si>
    <t>DWB</t>
  </si>
  <si>
    <t>WBTM</t>
  </si>
  <si>
    <t>IM</t>
  </si>
  <si>
    <t>OIM</t>
  </si>
  <si>
    <t>DIM</t>
  </si>
  <si>
    <t>IMTW</t>
  </si>
  <si>
    <t>NW</t>
  </si>
  <si>
    <t xml:space="preserve">NW </t>
  </si>
  <si>
    <t>OW</t>
  </si>
  <si>
    <t xml:space="preserve">OW </t>
  </si>
  <si>
    <t>DW</t>
  </si>
  <si>
    <t xml:space="preserve">DW </t>
  </si>
  <si>
    <t>WTM</t>
  </si>
  <si>
    <t>FW</t>
  </si>
  <si>
    <t>DFW</t>
  </si>
  <si>
    <t>TDFW</t>
  </si>
  <si>
    <t>FTW</t>
  </si>
  <si>
    <t>Other FTW</t>
  </si>
  <si>
    <t>Zelfvertrouwen</t>
  </si>
  <si>
    <t>TS</t>
  </si>
  <si>
    <t>Stats</t>
  </si>
  <si>
    <t>compleet overdreven</t>
  </si>
  <si>
    <t>rampzalig</t>
  </si>
  <si>
    <t>heel laag</t>
  </si>
  <si>
    <t>overdreven</t>
  </si>
  <si>
    <t>laag</t>
  </si>
  <si>
    <t>lichtelijk overdreven</t>
  </si>
  <si>
    <t>hoog</t>
  </si>
  <si>
    <t>wonderbaarlijk</t>
  </si>
  <si>
    <t>heel hoog</t>
  </si>
  <si>
    <t>sterk</t>
  </si>
  <si>
    <t>waardeloos</t>
  </si>
  <si>
    <t>behoorlijk</t>
  </si>
  <si>
    <t>slecht</t>
  </si>
  <si>
    <t>niet-bestaand</t>
  </si>
  <si>
    <t>Centraal</t>
  </si>
  <si>
    <t>CD (1)</t>
  </si>
  <si>
    <t>Tactieken</t>
  </si>
  <si>
    <t>CD (2)</t>
  </si>
  <si>
    <t>Geen</t>
  </si>
  <si>
    <t>zwak</t>
  </si>
  <si>
    <t>locatie</t>
  </si>
  <si>
    <t>Uit</t>
  </si>
  <si>
    <t>CD (3)</t>
  </si>
  <si>
    <t>AIM</t>
  </si>
  <si>
    <t>instelling</t>
  </si>
  <si>
    <t>MOTS</t>
  </si>
  <si>
    <t>AOW</t>
  </si>
  <si>
    <t>teamspirit</t>
  </si>
  <si>
    <t>IM (1)</t>
  </si>
  <si>
    <t>Counter</t>
  </si>
  <si>
    <t>zelfvertrouwen</t>
  </si>
  <si>
    <t>IM (2)</t>
  </si>
  <si>
    <t>Creative</t>
  </si>
  <si>
    <t>matig</t>
  </si>
  <si>
    <t>tactiek</t>
  </si>
  <si>
    <t>IM (3)</t>
  </si>
  <si>
    <t>Long Shots</t>
  </si>
  <si>
    <t>coach</t>
  </si>
  <si>
    <t>Aanvallend</t>
  </si>
  <si>
    <t>LS (M/A)</t>
  </si>
  <si>
    <t>FW (1)</t>
  </si>
  <si>
    <t>Opstelling</t>
  </si>
  <si>
    <t>FW (2)</t>
  </si>
  <si>
    <t>Instelling</t>
  </si>
  <si>
    <t>redelijk</t>
  </si>
  <si>
    <t>Linie</t>
  </si>
  <si>
    <t>Positie</t>
  </si>
  <si>
    <t>Naam</t>
  </si>
  <si>
    <t>Status</t>
  </si>
  <si>
    <t>MID</t>
  </si>
  <si>
    <t>RD</t>
  </si>
  <si>
    <t>LD</t>
  </si>
  <si>
    <t>RA</t>
  </si>
  <si>
    <t>CA</t>
  </si>
  <si>
    <t>LA</t>
  </si>
  <si>
    <t>FW (3)</t>
  </si>
  <si>
    <t>PIC</t>
  </si>
  <si>
    <t>Keeper</t>
  </si>
  <si>
    <t>Stuifzand</t>
  </si>
  <si>
    <t>PIN</t>
  </si>
  <si>
    <t>Verdediging</t>
  </si>
  <si>
    <t>goed</t>
  </si>
  <si>
    <t>CD (RE)</t>
  </si>
  <si>
    <t>Luberti</t>
  </si>
  <si>
    <t>Wedstrijd</t>
  </si>
  <si>
    <t>CD (CNT)</t>
  </si>
  <si>
    <t>Thuis</t>
  </si>
  <si>
    <t>CD (LI)</t>
  </si>
  <si>
    <t>Derby</t>
  </si>
  <si>
    <t>LWB</t>
  </si>
  <si>
    <t>Mathijsse</t>
  </si>
  <si>
    <t>uitstekend</t>
  </si>
  <si>
    <t>Middenveld</t>
  </si>
  <si>
    <t>RW</t>
  </si>
  <si>
    <t>Coach</t>
  </si>
  <si>
    <t>IM (RE)</t>
  </si>
  <si>
    <t>Verdedigend</t>
  </si>
  <si>
    <t>IM (CNT)</t>
  </si>
  <si>
    <t>Neutraal</t>
  </si>
  <si>
    <t>formidabel</t>
  </si>
  <si>
    <t>IM (LI)</t>
  </si>
  <si>
    <t>LW</t>
  </si>
  <si>
    <t>Aanval</t>
  </si>
  <si>
    <t>FW (RE)</t>
  </si>
  <si>
    <t>uitmuntend</t>
  </si>
  <si>
    <t>FW (CNT)</t>
  </si>
  <si>
    <t>FW (LI)</t>
  </si>
  <si>
    <t>briljant</t>
  </si>
  <si>
    <t>Magic Numbers -&gt;</t>
  </si>
  <si>
    <t>constante TS:</t>
  </si>
  <si>
    <t>Hatstats</t>
  </si>
  <si>
    <t>Pullback in minuut:</t>
  </si>
  <si>
    <t>echte ratings</t>
  </si>
  <si>
    <t xml:space="preserve"> Pull Back</t>
  </si>
  <si>
    <t>Wedstrijdratings</t>
  </si>
  <si>
    <t>Defensie rechts</t>
  </si>
  <si>
    <t>Rechterverdediging</t>
  </si>
  <si>
    <t>wereldklasse</t>
  </si>
  <si>
    <t>Defensie centraal</t>
  </si>
  <si>
    <t>Centrale verdediging</t>
  </si>
  <si>
    <t>Defensie links</t>
  </si>
  <si>
    <t>Linkerverdediging</t>
  </si>
  <si>
    <t>Aanval rechts</t>
  </si>
  <si>
    <t>Rechteraanval</t>
  </si>
  <si>
    <t>bovennatuurlijk</t>
  </si>
  <si>
    <t>Aanval centraal</t>
  </si>
  <si>
    <t>Centrale aanval</t>
  </si>
  <si>
    <t>Aanval links</t>
  </si>
  <si>
    <t>Linkeraanval</t>
  </si>
  <si>
    <t>Verwachte ratings:</t>
  </si>
  <si>
    <t>reusachtig</t>
  </si>
  <si>
    <t>Tegenst.</t>
  </si>
  <si>
    <t>PiP</t>
  </si>
  <si>
    <t>% verh.</t>
  </si>
  <si>
    <t>buitenaards</t>
  </si>
  <si>
    <t>mythisch</t>
  </si>
  <si>
    <t>Tactiek tegenst.</t>
  </si>
  <si>
    <t>magisch</t>
  </si>
  <si>
    <t>Verwachte uitslag excl. SH/SE:</t>
  </si>
  <si>
    <t>Forum:</t>
  </si>
  <si>
    <t>Let op: de berekening gaat uit van diverse aannames, namelijk:</t>
  </si>
  <si>
    <t>utopisch</t>
  </si>
  <si>
    <t>- een geschat aantal counterkansen onafhankelijk van evt. countervaardigheid</t>
  </si>
  <si>
    <t>- een gemiddelde vaardigheid in AIM of AOW</t>
  </si>
  <si>
    <t>- doorrekening van evt tactieken bij tegenstander zelf doen, bijv. counterinvloed op middenveld</t>
  </si>
  <si>
    <t>- 10 reguliere kansen zonder onderscheid in exclusief/non-exclusief of de 15 cycli</t>
  </si>
  <si>
    <t>goddelijk</t>
  </si>
  <si>
    <t>[table][tr][td]</t>
  </si>
  <si>
    <t>[/td][td]</t>
  </si>
  <si>
    <t>[/td][/tr]</t>
  </si>
  <si>
    <t>[tr][td]</t>
  </si>
  <si>
    <t>[/td][/tr][/table]</t>
  </si>
  <si>
    <t>Def</t>
  </si>
  <si>
    <t>Pass</t>
  </si>
  <si>
    <t>Rating</t>
  </si>
  <si>
    <t>Factor</t>
  </si>
  <si>
    <t>Rating totaal</t>
  </si>
  <si>
    <t>Counterrating:</t>
  </si>
  <si>
    <t>Hooghiemstra</t>
  </si>
  <si>
    <t>Gommers</t>
  </si>
  <si>
    <t>Hogeling</t>
  </si>
  <si>
    <t>Buitendijk</t>
  </si>
  <si>
    <t>Poon</t>
  </si>
  <si>
    <t>Potgieter</t>
  </si>
  <si>
    <t>van Diest</t>
  </si>
  <si>
    <t>Totaal</t>
  </si>
  <si>
    <t>van der Vlugt</t>
  </si>
  <si>
    <t>van de Loo</t>
  </si>
  <si>
    <t>Groot Bruinderink</t>
  </si>
  <si>
    <t>Naeff</t>
  </si>
  <si>
    <t>van Minnen</t>
  </si>
  <si>
    <t>Batenburg</t>
  </si>
  <si>
    <t>Kap</t>
  </si>
  <si>
    <t>Töre</t>
  </si>
  <si>
    <t>Wellens</t>
  </si>
  <si>
    <t>Bruggink</t>
  </si>
  <si>
    <t>GESPIEGELD:</t>
  </si>
  <si>
    <t>etc..</t>
  </si>
  <si>
    <t>klopt niet???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</si>
</sst>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00"/>
    <numFmt numFmtId="165" formatCode="0.0000"/>
    <numFmt numFmtId="166" formatCode="0.000"/>
    <numFmt numFmtId="167" formatCode="#,##0.000"/>
    <numFmt numFmtId="168" formatCode="0.0"/>
    <numFmt numFmtId="169" formatCode="0.0%"/>
    <numFmt numFmtId="170" formatCode="_-* #,##0.00_-;\-* #,##0.00_-;_-* &quot;-&quot;??_-;_-@_-"/>
    <numFmt numFmtId="171" formatCode="_-* #,##0.00_-;_-* #,##0.00\-;_-* &quot;-&quot;??_-;_-@_-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indexed="20"/>
      <name val="Arial"/>
      <family val="2"/>
    </font>
    <font>
      <sz val="10"/>
      <color rgb="FFFF000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i/>
      <sz val="10"/>
      <color rgb="FF0000FF"/>
      <name val="Arial"/>
      <family val="2"/>
    </font>
    <font>
      <i/>
      <sz val="10"/>
      <name val="Arial"/>
      <family val="2"/>
    </font>
    <font>
      <b/>
      <sz val="8"/>
      <color rgb="FF000000"/>
      <name val="Verdana"/>
      <family val="2"/>
    </font>
    <font>
      <sz val="7.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55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0" fontId="1" fillId="0" borderId="0" applyFill="0" applyBorder="0" applyAlignment="0" applyProtection="0"/>
    <xf numFmtId="9" fontId="1" fillId="0" borderId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Fill="1" applyAlignment="1">
      <alignment vertical="center"/>
    </xf>
    <xf numFmtId="4" fontId="3" fillId="0" borderId="5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" fontId="0" fillId="0" borderId="11" xfId="0" applyNumberFormat="1" applyFont="1" applyFill="1" applyBorder="1" applyAlignment="1">
      <alignment vertical="center"/>
    </xf>
    <xf numFmtId="4" fontId="0" fillId="0" borderId="12" xfId="0" applyNumberFormat="1" applyFont="1" applyFill="1" applyBorder="1" applyAlignment="1">
      <alignment horizontal="center" vertical="center"/>
    </xf>
    <xf numFmtId="4" fontId="0" fillId="0" borderId="11" xfId="0" applyNumberFormat="1" applyFont="1" applyFill="1" applyBorder="1" applyAlignment="1">
      <alignment horizontal="center" vertical="center"/>
    </xf>
    <xf numFmtId="4" fontId="0" fillId="0" borderId="9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vertical="center"/>
    </xf>
    <xf numFmtId="4" fontId="0" fillId="5" borderId="11" xfId="0" applyNumberFormat="1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/>
    </xf>
    <xf numFmtId="164" fontId="0" fillId="5" borderId="11" xfId="0" applyNumberFormat="1" applyFont="1" applyFill="1" applyBorder="1" applyAlignment="1">
      <alignment horizontal="center" vertical="center"/>
    </xf>
    <xf numFmtId="164" fontId="0" fillId="5" borderId="9" xfId="0" applyNumberFormat="1" applyFont="1" applyFill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5" fontId="0" fillId="0" borderId="9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9" fillId="0" borderId="11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6" fontId="0" fillId="2" borderId="0" xfId="0" applyNumberFormat="1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locked="0"/>
    </xf>
    <xf numFmtId="166" fontId="0" fillId="2" borderId="0" xfId="0" applyNumberFormat="1" applyFon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0" fillId="6" borderId="8" xfId="0" applyFill="1" applyBorder="1" applyAlignment="1" applyProtection="1">
      <alignment horizontal="left" vertical="center"/>
      <protection locked="0"/>
    </xf>
    <xf numFmtId="0" fontId="0" fillId="6" borderId="0" xfId="0" applyFont="1" applyFill="1" applyBorder="1" applyAlignment="1" applyProtection="1">
      <alignment horizontal="center" vertical="center"/>
      <protection locked="0"/>
    </xf>
    <xf numFmtId="164" fontId="7" fillId="5" borderId="12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164" fontId="7" fillId="5" borderId="9" xfId="0" applyNumberFormat="1" applyFont="1" applyFill="1" applyBorder="1" applyAlignment="1">
      <alignment horizontal="center" vertical="center"/>
    </xf>
    <xf numFmtId="164" fontId="7" fillId="5" borderId="11" xfId="0" applyNumberFormat="1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4" fontId="0" fillId="0" borderId="17" xfId="0" applyNumberFormat="1" applyFont="1" applyFill="1" applyBorder="1" applyAlignment="1">
      <alignment vertical="center"/>
    </xf>
    <xf numFmtId="164" fontId="0" fillId="0" borderId="18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5" fontId="0" fillId="0" borderId="19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1" xfId="0" applyFill="1" applyBorder="1" applyAlignment="1">
      <alignment vertical="center"/>
    </xf>
    <xf numFmtId="2" fontId="0" fillId="0" borderId="9" xfId="0" applyNumberFormat="1" applyFill="1" applyBorder="1" applyAlignment="1">
      <alignment vertical="center"/>
    </xf>
    <xf numFmtId="2" fontId="0" fillId="0" borderId="11" xfId="0" applyNumberFormat="1" applyFill="1" applyBorder="1" applyAlignment="1">
      <alignment vertical="center"/>
    </xf>
    <xf numFmtId="166" fontId="0" fillId="0" borderId="9" xfId="0" applyNumberForma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2" fontId="0" fillId="0" borderId="14" xfId="0" applyNumberFormat="1" applyFill="1" applyBorder="1" applyAlignment="1">
      <alignment vertical="center"/>
    </xf>
    <xf numFmtId="0" fontId="2" fillId="0" borderId="5" xfId="0" applyFont="1" applyFill="1" applyBorder="1"/>
    <xf numFmtId="0" fontId="0" fillId="0" borderId="7" xfId="0" applyFill="1" applyBorder="1"/>
    <xf numFmtId="166" fontId="5" fillId="0" borderId="9" xfId="0" applyNumberFormat="1" applyFont="1" applyFill="1" applyBorder="1" applyAlignment="1">
      <alignment vertical="center"/>
    </xf>
    <xf numFmtId="2" fontId="0" fillId="0" borderId="7" xfId="0" applyNumberFormat="1" applyFill="1" applyBorder="1" applyAlignment="1">
      <alignment vertical="center"/>
    </xf>
    <xf numFmtId="0" fontId="0" fillId="3" borderId="15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right" vertical="center"/>
    </xf>
    <xf numFmtId="0" fontId="0" fillId="0" borderId="0" xfId="0" applyBorder="1"/>
    <xf numFmtId="0" fontId="0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0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4" fontId="2" fillId="2" borderId="8" xfId="0" applyNumberFormat="1" applyFont="1" applyFill="1" applyBorder="1" applyAlignment="1">
      <alignment horizontal="left" vertical="center"/>
    </xf>
    <xf numFmtId="4" fontId="2" fillId="2" borderId="15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0" borderId="5" xfId="0" applyFont="1" applyBorder="1" applyAlignment="1">
      <alignment horizontal="center"/>
    </xf>
    <xf numFmtId="166" fontId="5" fillId="0" borderId="14" xfId="0" applyNumberFormat="1" applyFont="1" applyFill="1" applyBorder="1" applyAlignment="1">
      <alignment vertical="center"/>
    </xf>
    <xf numFmtId="4" fontId="0" fillId="2" borderId="8" xfId="0" applyNumberFormat="1" applyFont="1" applyFill="1" applyBorder="1" applyAlignment="1">
      <alignment horizontal="left" vertical="center"/>
    </xf>
    <xf numFmtId="0" fontId="0" fillId="3" borderId="0" xfId="0" applyFill="1" applyBorder="1" applyAlignment="1" applyProtection="1">
      <alignment vertical="center"/>
      <protection locked="0"/>
    </xf>
    <xf numFmtId="0" fontId="2" fillId="3" borderId="0" xfId="0" applyFont="1" applyFill="1" applyBorder="1" applyAlignment="1">
      <alignment vertical="center"/>
    </xf>
    <xf numFmtId="0" fontId="0" fillId="3" borderId="9" xfId="0" applyFont="1" applyFill="1" applyBorder="1" applyAlignment="1" applyProtection="1">
      <alignment vertical="center"/>
      <protection locked="0"/>
    </xf>
    <xf numFmtId="166" fontId="0" fillId="2" borderId="11" xfId="0" applyNumberForma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3" borderId="0" xfId="0" applyFont="1" applyFill="1" applyBorder="1" applyAlignment="1" applyProtection="1">
      <alignment vertical="center"/>
      <protection locked="0"/>
    </xf>
    <xf numFmtId="0" fontId="0" fillId="2" borderId="11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9" xfId="0" applyFill="1" applyBorder="1" applyAlignment="1" applyProtection="1">
      <alignment vertical="center"/>
      <protection locked="0"/>
    </xf>
    <xf numFmtId="2" fontId="0" fillId="0" borderId="0" xfId="0" applyNumberFormat="1" applyFill="1" applyBorder="1" applyAlignment="1">
      <alignment vertical="center"/>
    </xf>
    <xf numFmtId="2" fontId="6" fillId="0" borderId="19" xfId="0" applyNumberFormat="1" applyFont="1" applyFill="1" applyBorder="1" applyAlignment="1">
      <alignment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10" xfId="0" applyNumberFormat="1" applyFont="1" applyFill="1" applyBorder="1" applyAlignment="1">
      <alignment horizontal="center" vertical="center"/>
    </xf>
    <xf numFmtId="2" fontId="0" fillId="0" borderId="17" xfId="0" applyNumberFormat="1" applyFill="1" applyBorder="1" applyAlignment="1">
      <alignment vertical="center"/>
    </xf>
    <xf numFmtId="166" fontId="0" fillId="0" borderId="14" xfId="0" applyNumberFormat="1" applyFill="1" applyBorder="1" applyAlignment="1">
      <alignment vertical="center"/>
    </xf>
    <xf numFmtId="0" fontId="6" fillId="0" borderId="0" xfId="0" applyFont="1" applyFill="1" applyBorder="1"/>
    <xf numFmtId="0" fontId="0" fillId="2" borderId="13" xfId="0" applyFill="1" applyBorder="1" applyAlignment="1">
      <alignment horizontal="left" vertical="center"/>
    </xf>
    <xf numFmtId="0" fontId="0" fillId="2" borderId="19" xfId="0" applyFill="1" applyBorder="1" applyAlignment="1">
      <alignment vertical="center"/>
    </xf>
    <xf numFmtId="166" fontId="0" fillId="2" borderId="17" xfId="0" applyNumberFormat="1" applyFill="1" applyBorder="1" applyAlignment="1">
      <alignment horizontal="center" vertical="center"/>
    </xf>
    <xf numFmtId="2" fontId="0" fillId="2" borderId="19" xfId="0" applyNumberFormat="1" applyFill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2" fontId="0" fillId="2" borderId="19" xfId="0" applyNumberFormat="1" applyFont="1" applyFill="1" applyBorder="1" applyAlignment="1">
      <alignment horizontal="center" vertical="center"/>
    </xf>
    <xf numFmtId="2" fontId="0" fillId="2" borderId="2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68" fontId="0" fillId="2" borderId="0" xfId="0" applyNumberFormat="1" applyFill="1" applyBorder="1" applyAlignment="1">
      <alignment horizontal="center" vertical="center"/>
    </xf>
    <xf numFmtId="168" fontId="0" fillId="2" borderId="10" xfId="0" applyNumberFormat="1" applyFill="1" applyBorder="1" applyAlignment="1">
      <alignment horizontal="center" vertical="center"/>
    </xf>
    <xf numFmtId="168" fontId="0" fillId="2" borderId="0" xfId="0" applyNumberFormat="1" applyFill="1" applyBorder="1" applyAlignment="1">
      <alignment vertical="center"/>
    </xf>
    <xf numFmtId="2" fontId="13" fillId="2" borderId="0" xfId="0" applyNumberFormat="1" applyFont="1" applyFill="1" applyBorder="1" applyAlignment="1">
      <alignment horizontal="center" vertical="center"/>
    </xf>
    <xf numFmtId="2" fontId="13" fillId="2" borderId="1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168" fontId="2" fillId="4" borderId="0" xfId="0" applyNumberFormat="1" applyFont="1" applyFill="1" applyBorder="1" applyAlignment="1">
      <alignment horizontal="left" vertical="center"/>
    </xf>
    <xf numFmtId="168" fontId="2" fillId="4" borderId="0" xfId="0" applyNumberFormat="1" applyFont="1" applyFill="1" applyBorder="1" applyAlignment="1">
      <alignment horizontal="center" vertical="center"/>
    </xf>
    <xf numFmtId="168" fontId="5" fillId="4" borderId="0" xfId="0" applyNumberFormat="1" applyFont="1" applyFill="1" applyBorder="1" applyAlignment="1">
      <alignment horizontal="center" vertical="center"/>
    </xf>
    <xf numFmtId="168" fontId="5" fillId="4" borderId="1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68" fontId="2" fillId="2" borderId="0" xfId="0" applyNumberFormat="1" applyFont="1" applyFill="1" applyBorder="1" applyAlignment="1">
      <alignment horizontal="center" vertical="center"/>
    </xf>
    <xf numFmtId="168" fontId="2" fillId="0" borderId="10" xfId="0" applyNumberFormat="1" applyFont="1" applyFill="1" applyBorder="1" applyAlignment="1">
      <alignment vertical="center"/>
    </xf>
    <xf numFmtId="0" fontId="2" fillId="3" borderId="0" xfId="0" applyFont="1" applyFill="1" applyBorder="1" applyAlignment="1" applyProtection="1">
      <alignment vertical="center"/>
      <protection locked="0"/>
    </xf>
    <xf numFmtId="168" fontId="2" fillId="4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0" fontId="0" fillId="7" borderId="0" xfId="0" applyFill="1" applyBorder="1" applyAlignment="1"/>
    <xf numFmtId="0" fontId="0" fillId="4" borderId="0" xfId="0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15" fillId="0" borderId="0" xfId="0" applyFont="1" applyFill="1" applyBorder="1" applyAlignment="1">
      <alignment horizontal="left" vertical="center" wrapText="1"/>
    </xf>
    <xf numFmtId="1" fontId="0" fillId="0" borderId="0" xfId="0" applyNumberFormat="1" applyFill="1" applyBorder="1"/>
    <xf numFmtId="0" fontId="0" fillId="4" borderId="10" xfId="0" applyFill="1" applyBorder="1" applyAlignment="1">
      <alignment vertical="center"/>
    </xf>
    <xf numFmtId="0" fontId="0" fillId="0" borderId="0" xfId="0" applyFont="1" applyFill="1" applyBorder="1"/>
    <xf numFmtId="0" fontId="0" fillId="2" borderId="21" xfId="0" applyFill="1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vertical="center"/>
    </xf>
    <xf numFmtId="1" fontId="0" fillId="0" borderId="0" xfId="0" applyNumberFormat="1" applyFill="1" applyBorder="1" applyAlignment="1">
      <alignment vertical="center"/>
    </xf>
    <xf numFmtId="168" fontId="0" fillId="8" borderId="24" xfId="0" applyNumberFormat="1" applyFill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9" fontId="1" fillId="0" borderId="0" xfId="2" applyNumberFormat="1" applyFill="1" applyBorder="1" applyAlignment="1">
      <alignment vertical="center"/>
    </xf>
    <xf numFmtId="168" fontId="0" fillId="8" borderId="12" xfId="0" applyNumberForma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70" fontId="1" fillId="9" borderId="0" xfId="1" applyFill="1" applyBorder="1" applyAlignment="1">
      <alignment vertical="center"/>
    </xf>
    <xf numFmtId="170" fontId="1" fillId="0" borderId="0" xfId="1" applyFill="1" applyBorder="1" applyAlignment="1">
      <alignment vertical="center"/>
    </xf>
    <xf numFmtId="0" fontId="2" fillId="0" borderId="0" xfId="0" applyFont="1" applyFill="1" applyBorder="1"/>
    <xf numFmtId="0" fontId="16" fillId="0" borderId="0" xfId="0" applyFont="1" applyFill="1" applyBorder="1"/>
    <xf numFmtId="170" fontId="2" fillId="9" borderId="25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1" fontId="2" fillId="0" borderId="0" xfId="0" applyNumberFormat="1" applyFont="1" applyFill="1" applyBorder="1"/>
    <xf numFmtId="168" fontId="0" fillId="8" borderId="18" xfId="0" applyNumberFormat="1" applyFill="1" applyBorder="1" applyAlignment="1">
      <alignment vertical="center"/>
    </xf>
    <xf numFmtId="0" fontId="0" fillId="8" borderId="26" xfId="0" applyFill="1" applyBorder="1" applyAlignment="1">
      <alignment horizontal="right" vertical="center"/>
    </xf>
    <xf numFmtId="170" fontId="2" fillId="9" borderId="0" xfId="0" applyNumberFormat="1" applyFont="1" applyFill="1" applyAlignment="1">
      <alignment horizontal="right" vertical="center"/>
    </xf>
    <xf numFmtId="0" fontId="2" fillId="0" borderId="0" xfId="0" applyFont="1"/>
    <xf numFmtId="0" fontId="0" fillId="0" borderId="0" xfId="0" quotePrefix="1" applyAlignment="1">
      <alignment vertical="center"/>
    </xf>
    <xf numFmtId="0" fontId="0" fillId="0" borderId="0" xfId="0" quotePrefix="1"/>
    <xf numFmtId="14" fontId="0" fillId="0" borderId="0" xfId="0" applyNumberFormat="1"/>
    <xf numFmtId="0" fontId="0" fillId="0" borderId="14" xfId="0" applyFill="1" applyBorder="1" applyAlignment="1">
      <alignment vertical="center"/>
    </xf>
    <xf numFmtId="0" fontId="0" fillId="0" borderId="0" xfId="0" applyNumberFormat="1"/>
    <xf numFmtId="0" fontId="2" fillId="9" borderId="0" xfId="0" applyFont="1" applyFill="1" applyBorder="1"/>
    <xf numFmtId="0" fontId="17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center"/>
    </xf>
    <xf numFmtId="1" fontId="0" fillId="9" borderId="0" xfId="0" applyNumberFormat="1" applyFill="1"/>
    <xf numFmtId="0" fontId="0" fillId="9" borderId="0" xfId="0" applyFill="1" applyBorder="1"/>
    <xf numFmtId="168" fontId="0" fillId="0" borderId="0" xfId="0" applyNumberFormat="1" applyAlignment="1">
      <alignment vertical="center"/>
    </xf>
    <xf numFmtId="168" fontId="0" fillId="0" borderId="0" xfId="0" applyNumberFormat="1" applyFill="1" applyBorder="1"/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Border="1"/>
    <xf numFmtId="0" fontId="2" fillId="10" borderId="0" xfId="0" applyFont="1" applyFill="1" applyAlignment="1">
      <alignment vertical="center"/>
    </xf>
    <xf numFmtId="0" fontId="18" fillId="10" borderId="0" xfId="0" applyFont="1" applyFill="1" applyBorder="1" applyAlignment="1">
      <alignment horizontal="left" vertical="top" wrapText="1"/>
    </xf>
    <xf numFmtId="0" fontId="2" fillId="10" borderId="0" xfId="0" applyFont="1" applyFill="1"/>
    <xf numFmtId="0" fontId="0" fillId="3" borderId="8" xfId="0" applyFill="1" applyBorder="1" applyAlignment="1" applyProtection="1">
      <alignment horizontal="left" vertical="center"/>
      <protection locked="0"/>
    </xf>
    <xf numFmtId="0" fontId="0" fillId="8" borderId="0" xfId="0" applyFill="1" applyAlignment="1">
      <alignment vertical="center"/>
    </xf>
    <xf numFmtId="2" fontId="0" fillId="8" borderId="0" xfId="0" applyNumberFormat="1" applyFill="1"/>
    <xf numFmtId="168" fontId="0" fillId="8" borderId="0" xfId="0" applyNumberFormat="1" applyFill="1" applyAlignment="1">
      <alignment vertical="center"/>
    </xf>
    <xf numFmtId="0" fontId="0" fillId="3" borderId="8" xfId="0" applyFont="1" applyFill="1" applyBorder="1" applyAlignment="1" applyProtection="1">
      <alignment horizontal="left" vertical="center"/>
      <protection locked="0"/>
    </xf>
    <xf numFmtId="0" fontId="19" fillId="0" borderId="0" xfId="0" applyFont="1"/>
    <xf numFmtId="168" fontId="2" fillId="0" borderId="0" xfId="0" applyNumberFormat="1" applyFont="1" applyAlignment="1">
      <alignment vertical="center"/>
    </xf>
    <xf numFmtId="168" fontId="0" fillId="0" borderId="0" xfId="0" applyNumberFormat="1" applyFill="1" applyBorder="1" applyAlignment="1">
      <alignment vertical="center"/>
    </xf>
    <xf numFmtId="2" fontId="0" fillId="0" borderId="0" xfId="0" applyNumberFormat="1" applyFill="1"/>
    <xf numFmtId="168" fontId="0" fillId="0" borderId="0" xfId="0" applyNumberFormat="1" applyFill="1" applyAlignment="1">
      <alignment vertical="center"/>
    </xf>
    <xf numFmtId="164" fontId="6" fillId="5" borderId="12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BV201"/>
  <sheetViews>
    <sheetView tabSelected="1" zoomScale="60" zoomScaleNormal="60" workbookViewId="0">
      <pane xSplit="1" ySplit="6" topLeftCell="B7" activePane="bottomRight" state="frozen"/>
      <selection activeCell="T79" sqref="T79"/>
      <selection pane="topRight" activeCell="T79" sqref="T79"/>
      <selection pane="bottomLeft" activeCell="T79" sqref="T79"/>
      <selection pane="bottomRight" activeCell="D7" sqref="D7"/>
    </sheetView>
  </sheetViews>
  <sheetFormatPr defaultColWidth="2.7109375" defaultRowHeight="12.75" x14ac:dyDescent="0.2"/>
  <cols>
    <col min="1" max="1" width="2.7109375" style="2"/>
    <col min="2" max="2" width="18.140625" style="1" customWidth="1"/>
    <col min="3" max="3" width="17.28515625" style="2" bestFit="1" customWidth="1"/>
    <col min="4" max="4" width="21.7109375" style="2" bestFit="1" customWidth="1"/>
    <col min="5" max="5" width="20.85546875" style="2" customWidth="1"/>
    <col min="6" max="6" width="11.5703125" style="2" bestFit="1" customWidth="1"/>
    <col min="7" max="7" width="19.85546875" style="2" customWidth="1"/>
    <col min="8" max="8" width="8.42578125" style="2" customWidth="1"/>
    <col min="9" max="10" width="6.42578125" style="2" bestFit="1" customWidth="1"/>
    <col min="11" max="11" width="7.85546875" style="2" bestFit="1" customWidth="1"/>
    <col min="12" max="12" width="18.85546875" style="2" bestFit="1" customWidth="1"/>
    <col min="13" max="13" width="16.28515625" style="2" bestFit="1" customWidth="1"/>
    <col min="14" max="14" width="23.5703125" style="2" bestFit="1" customWidth="1"/>
    <col min="15" max="15" width="5.85546875" style="2" customWidth="1"/>
    <col min="16" max="16" width="22" style="3" bestFit="1" customWidth="1"/>
    <col min="17" max="17" width="15" style="3" customWidth="1"/>
    <col min="18" max="18" width="9.28515625" style="3" customWidth="1"/>
    <col min="19" max="19" width="19.7109375" style="3" bestFit="1" customWidth="1"/>
    <col min="20" max="20" width="9.85546875" style="3" customWidth="1"/>
    <col min="21" max="21" width="13.42578125" style="3" customWidth="1"/>
    <col min="22" max="22" width="10.140625" style="3" bestFit="1" customWidth="1"/>
    <col min="23" max="23" width="10.28515625" style="3" bestFit="1" customWidth="1"/>
    <col min="24" max="24" width="12.5703125" style="3" customWidth="1"/>
    <col min="25" max="25" width="11.28515625" style="3" customWidth="1"/>
    <col min="26" max="26" width="9.5703125" style="3" bestFit="1" customWidth="1"/>
    <col min="27" max="27" width="14.42578125" style="3" bestFit="1" customWidth="1"/>
    <col min="28" max="28" width="16.28515625" style="3" bestFit="1" customWidth="1"/>
    <col min="29" max="29" width="10.28515625" style="3" customWidth="1"/>
    <col min="30" max="30" width="9.28515625" style="3" customWidth="1"/>
    <col min="31" max="31" width="13.7109375" style="3" customWidth="1"/>
    <col min="32" max="32" width="9.5703125" style="3" customWidth="1"/>
    <col min="33" max="33" width="17.85546875" style="3" customWidth="1"/>
    <col min="34" max="34" width="10.140625" style="3" bestFit="1" customWidth="1"/>
    <col min="35" max="35" width="10.28515625" style="3" bestFit="1" customWidth="1"/>
    <col min="36" max="36" width="9.28515625" style="3" bestFit="1" customWidth="1"/>
    <col min="37" max="37" width="11.28515625" style="3" customWidth="1"/>
    <col min="38" max="38" width="9.5703125" style="3" bestFit="1" customWidth="1"/>
    <col min="39" max="45" width="2.7109375" style="2"/>
    <col min="46" max="46" width="23.42578125" style="2" bestFit="1" customWidth="1"/>
    <col min="47" max="47" width="9.85546875" style="2" bestFit="1" customWidth="1"/>
    <col min="48" max="48" width="9.42578125" style="2" bestFit="1" customWidth="1"/>
    <col min="49" max="49" width="9" style="2" bestFit="1" customWidth="1"/>
    <col min="50" max="50" width="9.140625" style="2" bestFit="1" customWidth="1"/>
    <col min="51" max="51" width="9.85546875" style="2" bestFit="1" customWidth="1"/>
    <col min="52" max="52" width="10.140625" style="2" bestFit="1" customWidth="1"/>
    <col min="53" max="53" width="10.5703125" style="2" bestFit="1" customWidth="1"/>
    <col min="54" max="54" width="9.7109375" style="2" bestFit="1" customWidth="1"/>
    <col min="55" max="55" width="9.85546875" style="2" bestFit="1" customWidth="1"/>
    <col min="56" max="56" width="10.140625" style="2" bestFit="1" customWidth="1"/>
    <col min="57" max="63" width="2.7109375" style="2"/>
    <col min="64" max="64" width="16.85546875" style="2" bestFit="1" customWidth="1"/>
    <col min="65" max="65" width="9.140625" style="2" bestFit="1" customWidth="1"/>
    <col min="66" max="66" width="7.7109375" style="2" bestFit="1" customWidth="1"/>
    <col min="67" max="67" width="9" style="2" bestFit="1" customWidth="1"/>
    <col min="68" max="68" width="8.28515625" style="2" bestFit="1" customWidth="1"/>
    <col min="69" max="69" width="9.42578125" style="2" bestFit="1" customWidth="1"/>
    <col min="70" max="70" width="10.140625" style="2" bestFit="1" customWidth="1"/>
    <col min="71" max="71" width="10.5703125" style="2" bestFit="1" customWidth="1"/>
    <col min="72" max="72" width="9.7109375" style="2" bestFit="1" customWidth="1"/>
    <col min="73" max="73" width="9.85546875" style="2" bestFit="1" customWidth="1"/>
    <col min="74" max="74" width="10.140625" style="2" bestFit="1" customWidth="1"/>
    <col min="75" max="16384" width="2.7109375" style="2"/>
  </cols>
  <sheetData>
    <row r="1" spans="2:74" ht="13.5" thickBot="1" x14ac:dyDescent="0.25"/>
    <row r="2" spans="2:74" s="8" customFormat="1" x14ac:dyDescent="0.2">
      <c r="B2" s="4" t="s">
        <v>0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P2" s="9" t="s">
        <v>1</v>
      </c>
      <c r="Q2" s="10"/>
      <c r="R2" s="10"/>
      <c r="S2" s="10"/>
      <c r="T2" s="10"/>
      <c r="U2" s="10"/>
      <c r="V2" s="10"/>
      <c r="W2" s="10"/>
      <c r="X2" s="10"/>
      <c r="Y2" s="10"/>
      <c r="Z2" s="11"/>
      <c r="AA2" s="3"/>
      <c r="AB2" s="9" t="s">
        <v>2</v>
      </c>
      <c r="AC2" s="10"/>
      <c r="AD2" s="10"/>
      <c r="AE2" s="10"/>
      <c r="AF2" s="10"/>
      <c r="AG2" s="10"/>
      <c r="AH2" s="10"/>
      <c r="AI2" s="10"/>
      <c r="AJ2" s="10"/>
      <c r="AK2" s="10"/>
      <c r="AL2" s="11"/>
      <c r="AM2" s="2"/>
      <c r="AT2" s="9" t="s">
        <v>3</v>
      </c>
      <c r="AU2" s="10"/>
      <c r="AV2" s="10"/>
      <c r="AW2" s="10"/>
      <c r="AX2" s="10"/>
      <c r="AY2" s="10"/>
      <c r="AZ2" s="10"/>
      <c r="BA2" s="10"/>
      <c r="BB2" s="10"/>
      <c r="BC2" s="10"/>
      <c r="BD2" s="11"/>
      <c r="BL2" s="9" t="s">
        <v>4</v>
      </c>
      <c r="BM2" s="10"/>
      <c r="BN2" s="10"/>
      <c r="BO2" s="10"/>
      <c r="BP2" s="10"/>
      <c r="BQ2" s="10"/>
      <c r="BR2" s="10"/>
      <c r="BS2" s="10"/>
      <c r="BT2" s="10"/>
      <c r="BU2" s="10"/>
      <c r="BV2" s="11"/>
    </row>
    <row r="3" spans="2:74" s="8" customFormat="1" x14ac:dyDescent="0.2">
      <c r="B3" s="12" t="s">
        <v>5</v>
      </c>
      <c r="C3" s="13" t="s">
        <v>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P3" s="16" t="s">
        <v>7</v>
      </c>
      <c r="Q3" s="17" t="s">
        <v>8</v>
      </c>
      <c r="R3" s="18" t="s">
        <v>9</v>
      </c>
      <c r="S3" s="19" t="s">
        <v>10</v>
      </c>
      <c r="T3" s="18" t="s">
        <v>11</v>
      </c>
      <c r="U3" s="19" t="s">
        <v>12</v>
      </c>
      <c r="V3" s="18" t="s">
        <v>13</v>
      </c>
      <c r="W3" s="19" t="s">
        <v>14</v>
      </c>
      <c r="X3" s="20" t="s">
        <v>15</v>
      </c>
      <c r="Y3" s="20" t="s">
        <v>16</v>
      </c>
      <c r="Z3" s="19" t="s">
        <v>17</v>
      </c>
      <c r="AA3" s="21"/>
      <c r="AB3" s="16" t="s">
        <v>7</v>
      </c>
      <c r="AC3" s="20" t="s">
        <v>8</v>
      </c>
      <c r="AD3" s="20" t="s">
        <v>9</v>
      </c>
      <c r="AE3" s="20" t="s">
        <v>10</v>
      </c>
      <c r="AF3" s="20" t="s">
        <v>11</v>
      </c>
      <c r="AG3" s="20" t="s">
        <v>12</v>
      </c>
      <c r="AH3" s="20" t="s">
        <v>13</v>
      </c>
      <c r="AI3" s="20" t="s">
        <v>14</v>
      </c>
      <c r="AJ3" s="20" t="s">
        <v>15</v>
      </c>
      <c r="AK3" s="20" t="s">
        <v>16</v>
      </c>
      <c r="AL3" s="19" t="s">
        <v>17</v>
      </c>
      <c r="AM3" s="2"/>
      <c r="AT3" s="16" t="s">
        <v>7</v>
      </c>
      <c r="AU3" s="20" t="s">
        <v>8</v>
      </c>
      <c r="AV3" s="20" t="s">
        <v>9</v>
      </c>
      <c r="AW3" s="20" t="s">
        <v>10</v>
      </c>
      <c r="AX3" s="20" t="s">
        <v>11</v>
      </c>
      <c r="AY3" s="20" t="s">
        <v>12</v>
      </c>
      <c r="AZ3" s="20" t="s">
        <v>13</v>
      </c>
      <c r="BA3" s="20" t="s">
        <v>14</v>
      </c>
      <c r="BB3" s="20" t="s">
        <v>15</v>
      </c>
      <c r="BC3" s="20" t="s">
        <v>16</v>
      </c>
      <c r="BD3" s="19" t="s">
        <v>17</v>
      </c>
      <c r="BL3" s="18" t="s">
        <v>7</v>
      </c>
      <c r="BM3" s="20" t="s">
        <v>8</v>
      </c>
      <c r="BN3" s="20" t="s">
        <v>9</v>
      </c>
      <c r="BO3" s="20" t="s">
        <v>10</v>
      </c>
      <c r="BP3" s="20" t="s">
        <v>11</v>
      </c>
      <c r="BQ3" s="20" t="s">
        <v>12</v>
      </c>
      <c r="BR3" s="20" t="s">
        <v>13</v>
      </c>
      <c r="BS3" s="20" t="s">
        <v>14</v>
      </c>
      <c r="BT3" s="20" t="s">
        <v>15</v>
      </c>
      <c r="BU3" s="20" t="s">
        <v>16</v>
      </c>
      <c r="BV3" s="19" t="s">
        <v>17</v>
      </c>
    </row>
    <row r="4" spans="2:74" s="8" customFormat="1" x14ac:dyDescent="0.2">
      <c r="B4" s="22" t="s">
        <v>18</v>
      </c>
      <c r="C4" s="23" t="s">
        <v>19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P4" s="24" t="s">
        <v>20</v>
      </c>
      <c r="Q4" s="25"/>
      <c r="R4" s="26">
        <f>AD4</f>
        <v>0.5575</v>
      </c>
      <c r="S4" s="27">
        <f>AE4</f>
        <v>0.26500000000000001</v>
      </c>
      <c r="T4" s="28">
        <f>AF4*0.95</f>
        <v>0.58614999999999995</v>
      </c>
      <c r="U4" s="29">
        <f>AG4*0.95</f>
        <v>0.26267499999999999</v>
      </c>
      <c r="V4" s="30"/>
      <c r="W4" s="31"/>
      <c r="X4" s="32"/>
      <c r="Y4" s="32"/>
      <c r="Z4" s="31"/>
      <c r="AA4" s="3"/>
      <c r="AB4" s="16" t="s">
        <v>20</v>
      </c>
      <c r="AC4" s="33"/>
      <c r="AD4" s="34">
        <v>0.5575</v>
      </c>
      <c r="AE4" s="34">
        <v>0.26500000000000001</v>
      </c>
      <c r="AF4" s="34">
        <v>0.61699999999999999</v>
      </c>
      <c r="AG4" s="35">
        <v>0.27650000000000002</v>
      </c>
      <c r="AH4" s="36"/>
      <c r="AI4" s="36"/>
      <c r="AJ4" s="36"/>
      <c r="AK4" s="36"/>
      <c r="AL4" s="37"/>
      <c r="AM4" s="2"/>
      <c r="AT4" s="16" t="s">
        <v>20</v>
      </c>
      <c r="AU4" s="36"/>
      <c r="AV4" s="38">
        <v>0.54047210000000001</v>
      </c>
      <c r="AW4" s="36">
        <v>0.264934</v>
      </c>
      <c r="AX4" s="38">
        <v>0.59814754999999997</v>
      </c>
      <c r="AY4" s="36">
        <v>0.27657900000000002</v>
      </c>
      <c r="AZ4" s="36"/>
      <c r="BA4" s="36"/>
      <c r="BB4" s="36"/>
      <c r="BC4" s="36"/>
      <c r="BD4" s="37"/>
      <c r="BL4" s="16" t="s">
        <v>20</v>
      </c>
      <c r="BM4" s="39"/>
      <c r="BN4" s="39">
        <f>0.568918</f>
        <v>0.56891800000000003</v>
      </c>
      <c r="BO4" s="39">
        <f>0.264934</f>
        <v>0.264934</v>
      </c>
      <c r="BP4" s="39">
        <f>0.629629</f>
        <v>0.62962899999999999</v>
      </c>
      <c r="BQ4" s="39">
        <f>0.276579</f>
        <v>0.27657900000000002</v>
      </c>
      <c r="BR4" s="39"/>
      <c r="BS4" s="39"/>
      <c r="BT4" s="39"/>
      <c r="BU4" s="39"/>
      <c r="BV4" s="40"/>
    </row>
    <row r="5" spans="2:74" x14ac:dyDescent="0.2">
      <c r="B5" s="4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P5" s="16" t="s">
        <v>21</v>
      </c>
      <c r="Q5" s="42">
        <v>0.11799999999999999</v>
      </c>
      <c r="R5" s="43"/>
      <c r="S5" s="44">
        <f>0.627/0.95</f>
        <v>0.66</v>
      </c>
      <c r="T5" s="45"/>
      <c r="U5" s="44">
        <f>0.499476/0.95</f>
        <v>0.52576421052631583</v>
      </c>
      <c r="V5" s="46"/>
      <c r="W5" s="37"/>
      <c r="X5" s="36"/>
      <c r="Y5" s="36"/>
      <c r="Z5" s="37"/>
      <c r="AB5" s="16" t="s">
        <v>21</v>
      </c>
      <c r="AC5" s="34">
        <v>0.11799999999999999</v>
      </c>
      <c r="AD5" s="33"/>
      <c r="AE5" s="34">
        <v>0.627</v>
      </c>
      <c r="AF5" s="36"/>
      <c r="AG5" s="34">
        <v>0.51900000000000002</v>
      </c>
      <c r="AH5" s="36"/>
      <c r="AI5" s="36"/>
      <c r="AJ5" s="36"/>
      <c r="AK5" s="36"/>
      <c r="AL5" s="37"/>
      <c r="AT5" s="16" t="s">
        <v>21</v>
      </c>
      <c r="AU5" s="38">
        <v>0.11046692</v>
      </c>
      <c r="AV5" s="36"/>
      <c r="AW5" s="36">
        <v>0.60208299999999992</v>
      </c>
      <c r="AX5" s="36"/>
      <c r="AY5" s="36">
        <v>0.49947599999999998</v>
      </c>
      <c r="AZ5" s="36"/>
      <c r="BA5" s="36"/>
      <c r="BB5" s="36"/>
      <c r="BC5" s="36"/>
      <c r="BD5" s="37"/>
      <c r="BL5" s="16" t="s">
        <v>21</v>
      </c>
      <c r="BM5" s="39">
        <f>0.12596</f>
        <v>0.12595999999999999</v>
      </c>
      <c r="BN5" s="39"/>
      <c r="BO5" s="39">
        <v>0.60208299999999992</v>
      </c>
      <c r="BP5" s="39"/>
      <c r="BQ5" s="39">
        <v>0.49947599999999998</v>
      </c>
      <c r="BR5" s="39"/>
      <c r="BS5" s="39"/>
      <c r="BT5" s="39"/>
      <c r="BU5" s="39"/>
      <c r="BV5" s="40"/>
    </row>
    <row r="6" spans="2:74" x14ac:dyDescent="0.2">
      <c r="B6" s="47" t="s">
        <v>22</v>
      </c>
      <c r="C6" s="48" t="s">
        <v>23</v>
      </c>
      <c r="D6" s="49" t="s">
        <v>23</v>
      </c>
      <c r="E6" s="48" t="s">
        <v>24</v>
      </c>
      <c r="F6" s="50" t="s">
        <v>24</v>
      </c>
      <c r="G6" s="48" t="s">
        <v>20</v>
      </c>
      <c r="H6" s="48" t="s">
        <v>25</v>
      </c>
      <c r="I6" s="48" t="s">
        <v>26</v>
      </c>
      <c r="J6" s="48" t="s">
        <v>27</v>
      </c>
      <c r="K6" s="48" t="s">
        <v>28</v>
      </c>
      <c r="L6" s="48" t="s">
        <v>29</v>
      </c>
      <c r="M6" s="48" t="s">
        <v>30</v>
      </c>
      <c r="N6" s="51" t="s">
        <v>30</v>
      </c>
      <c r="P6" s="16" t="s">
        <v>31</v>
      </c>
      <c r="Q6" s="42">
        <v>0.159</v>
      </c>
      <c r="R6" s="43"/>
      <c r="S6" s="44">
        <f>AE6/0.95</f>
        <v>0.46105263157894738</v>
      </c>
      <c r="T6" s="45"/>
      <c r="U6" s="44">
        <f>AG6/0.95</f>
        <v>0.41315789473684217</v>
      </c>
      <c r="V6" s="46"/>
      <c r="W6" s="37"/>
      <c r="X6" s="36"/>
      <c r="Y6" s="36"/>
      <c r="Z6" s="37"/>
      <c r="AB6" s="16" t="s">
        <v>31</v>
      </c>
      <c r="AC6" s="34">
        <v>0.159</v>
      </c>
      <c r="AD6" s="33"/>
      <c r="AE6" s="35">
        <v>0.438</v>
      </c>
      <c r="AF6" s="36"/>
      <c r="AG6" s="34">
        <v>0.39250000000000002</v>
      </c>
      <c r="AH6" s="36"/>
      <c r="AI6" s="36"/>
      <c r="AJ6" s="36"/>
      <c r="AK6" s="36"/>
      <c r="AL6" s="37"/>
      <c r="AT6" s="16" t="s">
        <v>31</v>
      </c>
      <c r="AU6" s="38">
        <v>0.14893827900000001</v>
      </c>
      <c r="AV6" s="36"/>
      <c r="AW6" s="36">
        <v>0.43655000000000005</v>
      </c>
      <c r="AX6" s="36"/>
      <c r="AY6" s="36">
        <v>0.36573299999999997</v>
      </c>
      <c r="AZ6" s="36"/>
      <c r="BA6" s="36"/>
      <c r="BB6" s="36"/>
      <c r="BC6" s="36"/>
      <c r="BD6" s="37"/>
      <c r="BL6" s="16" t="s">
        <v>31</v>
      </c>
      <c r="BM6" s="39">
        <f>0.169827</f>
        <v>0.16982700000000001</v>
      </c>
      <c r="BN6" s="39"/>
      <c r="BO6" s="39">
        <v>0.43655000000000005</v>
      </c>
      <c r="BP6" s="39"/>
      <c r="BQ6" s="39">
        <v>0.36573299999999997</v>
      </c>
      <c r="BR6" s="39"/>
      <c r="BS6" s="39"/>
      <c r="BT6" s="39"/>
      <c r="BU6" s="39"/>
      <c r="BV6" s="40"/>
    </row>
    <row r="7" spans="2:74" x14ac:dyDescent="0.2">
      <c r="B7" s="58" t="s">
        <v>114</v>
      </c>
      <c r="C7" s="59">
        <v>6</v>
      </c>
      <c r="D7" s="52">
        <f>POWER((MIN(MAX(C7-0.5,0),7)/7),0.45)</f>
        <v>0.89715832671733742</v>
      </c>
      <c r="E7" s="53">
        <v>8</v>
      </c>
      <c r="F7" s="54">
        <f>POWER((MIN(MAX(E7+6.5,7),15.25)/14),0.6)</f>
        <v>1.0212780078535002</v>
      </c>
      <c r="G7" s="53">
        <v>20</v>
      </c>
      <c r="H7" s="53">
        <v>13</v>
      </c>
      <c r="I7" s="53">
        <v>4</v>
      </c>
      <c r="J7" s="53">
        <v>1</v>
      </c>
      <c r="K7" s="53">
        <v>6</v>
      </c>
      <c r="L7" s="53">
        <v>5</v>
      </c>
      <c r="M7" s="53">
        <v>17</v>
      </c>
      <c r="N7" s="55">
        <f t="shared" ref="N7:N47" si="0">POWER(MAX(M7-0.5,0),0.5)*0.0716+1</f>
        <v>1.2908405748859675</v>
      </c>
      <c r="P7" s="16" t="s">
        <v>32</v>
      </c>
      <c r="Q7" s="42">
        <v>8.2500000000000004E-2</v>
      </c>
      <c r="R7" s="43"/>
      <c r="S7" s="56">
        <f>BO7</f>
        <v>0.46851299999999996</v>
      </c>
      <c r="T7" s="46"/>
      <c r="U7" s="44">
        <f>BQ7*1.2</f>
        <v>0.7879103999999999</v>
      </c>
      <c r="V7" s="46"/>
      <c r="W7" s="37"/>
      <c r="X7" s="36"/>
      <c r="Y7" s="34">
        <v>0.2225</v>
      </c>
      <c r="Z7" s="37"/>
      <c r="AB7" s="16" t="s">
        <v>32</v>
      </c>
      <c r="AC7" s="34">
        <v>8.2500000000000004E-2</v>
      </c>
      <c r="AD7" s="33"/>
      <c r="AE7" s="35">
        <f>BZ7</f>
        <v>0</v>
      </c>
      <c r="AF7" s="36"/>
      <c r="AG7" s="34">
        <v>0.76249999999999996</v>
      </c>
      <c r="AH7" s="36"/>
      <c r="AI7" s="36"/>
      <c r="AJ7" s="36"/>
      <c r="AK7" s="34">
        <v>0.2225</v>
      </c>
      <c r="AL7" s="37"/>
      <c r="AT7" s="16" t="s">
        <v>32</v>
      </c>
      <c r="AU7" s="38">
        <v>7.7199678999999993E-2</v>
      </c>
      <c r="AV7" s="36"/>
      <c r="AW7" s="36">
        <v>0.46851299999999996</v>
      </c>
      <c r="AX7" s="36"/>
      <c r="AY7" s="57">
        <v>0.68942159999999997</v>
      </c>
      <c r="AZ7" s="36"/>
      <c r="BA7" s="36"/>
      <c r="BB7" s="36"/>
      <c r="BC7" s="36">
        <v>0.213672</v>
      </c>
      <c r="BD7" s="37"/>
      <c r="BL7" s="16" t="s">
        <v>32</v>
      </c>
      <c r="BM7" s="39">
        <f>0.088027</f>
        <v>8.8026999999999994E-2</v>
      </c>
      <c r="BN7" s="39"/>
      <c r="BO7" s="39">
        <v>0.46851299999999996</v>
      </c>
      <c r="BP7" s="39"/>
      <c r="BQ7" s="39">
        <f>0.656592</f>
        <v>0.65659199999999995</v>
      </c>
      <c r="BR7" s="39"/>
      <c r="BS7" s="39"/>
      <c r="BT7" s="39"/>
      <c r="BU7" s="39">
        <v>0.213672</v>
      </c>
      <c r="BV7" s="40"/>
    </row>
    <row r="8" spans="2:74" x14ac:dyDescent="0.2">
      <c r="B8" s="58" t="s">
        <v>213</v>
      </c>
      <c r="C8" s="59"/>
      <c r="D8" s="52">
        <f t="shared" ref="D8:D47" si="1">POWER((MIN(MAX(C8-0.5,0),7)/7),0.45)</f>
        <v>0</v>
      </c>
      <c r="E8" s="53"/>
      <c r="F8" s="54">
        <f t="shared" ref="F8:F47" si="2">POWER((MIN(MAX(E8+6.5,7),15.25)/14),0.6)</f>
        <v>0.6597539553864471</v>
      </c>
      <c r="G8" s="53"/>
      <c r="H8" s="53"/>
      <c r="I8" s="53"/>
      <c r="J8" s="53"/>
      <c r="K8" s="53"/>
      <c r="L8" s="53"/>
      <c r="M8" s="53"/>
      <c r="N8" s="55">
        <f t="shared" si="0"/>
        <v>1</v>
      </c>
      <c r="P8" s="24" t="s">
        <v>33</v>
      </c>
      <c r="Q8" s="60">
        <f>AC8</f>
        <v>7.8E-2</v>
      </c>
      <c r="R8" s="30"/>
      <c r="S8" s="29">
        <f>AE8*0.95</f>
        <v>0.26600000000000001</v>
      </c>
      <c r="T8" s="30"/>
      <c r="U8" s="29">
        <f>AG8/0.85</f>
        <v>1.0852941176470587</v>
      </c>
      <c r="V8" s="30"/>
      <c r="W8" s="31"/>
      <c r="X8" s="32"/>
      <c r="Y8" s="61">
        <f>0.4345*0.95</f>
        <v>0.412775</v>
      </c>
      <c r="Z8" s="31"/>
      <c r="AB8" s="16" t="s">
        <v>33</v>
      </c>
      <c r="AC8" s="35">
        <f>0.078</f>
        <v>7.8E-2</v>
      </c>
      <c r="AD8" s="36"/>
      <c r="AE8" s="35">
        <f>0.28</f>
        <v>0.28000000000000003</v>
      </c>
      <c r="AF8" s="36"/>
      <c r="AG8" s="35">
        <f>0.9225</f>
        <v>0.92249999999999999</v>
      </c>
      <c r="AH8" s="36"/>
      <c r="AI8" s="36"/>
      <c r="AJ8" s="36"/>
      <c r="AK8" s="34">
        <f>0.4345</f>
        <v>0.4345</v>
      </c>
      <c r="AL8" s="37"/>
      <c r="AT8" s="16" t="s">
        <v>33</v>
      </c>
      <c r="AU8" s="36">
        <v>7.8228999999999993E-2</v>
      </c>
      <c r="AV8" s="36"/>
      <c r="AW8" s="36">
        <v>0.28040100000000001</v>
      </c>
      <c r="AX8" s="36"/>
      <c r="AY8" s="36">
        <v>0.92133699999999996</v>
      </c>
      <c r="AZ8" s="36"/>
      <c r="BA8" s="36"/>
      <c r="BB8" s="36"/>
      <c r="BC8" s="57">
        <v>0.43973050000000008</v>
      </c>
      <c r="BD8" s="37"/>
      <c r="BL8" s="16" t="s">
        <v>33</v>
      </c>
      <c r="BM8" s="39">
        <v>7.8228999999999993E-2</v>
      </c>
      <c r="BN8" s="39"/>
      <c r="BO8" s="39">
        <v>0.28040100000000001</v>
      </c>
      <c r="BP8" s="39"/>
      <c r="BQ8" s="39">
        <v>0.92133699999999996</v>
      </c>
      <c r="BR8" s="39"/>
      <c r="BS8" s="39"/>
      <c r="BT8" s="39"/>
      <c r="BU8" s="39">
        <f>0.399755</f>
        <v>0.39975500000000003</v>
      </c>
      <c r="BV8" s="40"/>
    </row>
    <row r="9" spans="2:74" x14ac:dyDescent="0.2">
      <c r="B9" s="58" t="s">
        <v>213</v>
      </c>
      <c r="C9" s="59"/>
      <c r="D9" s="52">
        <f t="shared" si="1"/>
        <v>0</v>
      </c>
      <c r="E9" s="53"/>
      <c r="F9" s="54">
        <f t="shared" si="2"/>
        <v>0.6597539553864471</v>
      </c>
      <c r="G9" s="53"/>
      <c r="H9" s="53"/>
      <c r="I9" s="53"/>
      <c r="J9" s="53"/>
      <c r="K9" s="53"/>
      <c r="L9" s="53"/>
      <c r="M9" s="53"/>
      <c r="N9" s="55">
        <f t="shared" si="0"/>
        <v>1</v>
      </c>
      <c r="P9" s="24" t="s">
        <v>34</v>
      </c>
      <c r="Q9" s="60">
        <f t="shared" ref="Q9:Q11" si="3">AC9</f>
        <v>0.108</v>
      </c>
      <c r="R9" s="30"/>
      <c r="S9" s="29">
        <f t="shared" ref="S9:S11" si="4">AE9*0.95</f>
        <v>0.22657499999999997</v>
      </c>
      <c r="T9" s="30"/>
      <c r="U9" s="29">
        <f>AG9/0.75</f>
        <v>0.87733333333333341</v>
      </c>
      <c r="V9" s="30"/>
      <c r="W9" s="31"/>
      <c r="X9" s="32"/>
      <c r="Y9" s="61">
        <f>AK9*0.85</f>
        <v>0.46750000000000003</v>
      </c>
      <c r="Z9" s="31"/>
      <c r="AB9" s="16" t="s">
        <v>34</v>
      </c>
      <c r="AC9" s="35">
        <f>0.108</f>
        <v>0.108</v>
      </c>
      <c r="AD9" s="36"/>
      <c r="AE9" s="35">
        <f>0.2385</f>
        <v>0.23849999999999999</v>
      </c>
      <c r="AF9" s="36"/>
      <c r="AG9" s="34">
        <f>0.658</f>
        <v>0.65800000000000003</v>
      </c>
      <c r="AH9" s="36"/>
      <c r="AI9" s="36"/>
      <c r="AJ9" s="36"/>
      <c r="AK9" s="34">
        <f>0.55</f>
        <v>0.55000000000000004</v>
      </c>
      <c r="AL9" s="37"/>
      <c r="AT9" s="16" t="s">
        <v>34</v>
      </c>
      <c r="AU9" s="36">
        <v>0.107886</v>
      </c>
      <c r="AV9" s="36"/>
      <c r="AW9" s="36">
        <v>0.23843699999999998</v>
      </c>
      <c r="AX9" s="36"/>
      <c r="AY9" s="36">
        <v>0.69943000000000011</v>
      </c>
      <c r="AZ9" s="36"/>
      <c r="BA9" s="36"/>
      <c r="BB9" s="36"/>
      <c r="BC9" s="57">
        <v>0.53667240000000005</v>
      </c>
      <c r="BD9" s="37"/>
      <c r="BL9" s="16" t="s">
        <v>34</v>
      </c>
      <c r="BM9" s="62">
        <v>0.107886</v>
      </c>
      <c r="BN9" s="39"/>
      <c r="BO9" s="39">
        <v>0.23843699999999998</v>
      </c>
      <c r="BP9" s="39"/>
      <c r="BQ9" s="39">
        <v>0.69943000000000011</v>
      </c>
      <c r="BR9" s="39"/>
      <c r="BS9" s="39"/>
      <c r="BT9" s="39"/>
      <c r="BU9" s="39">
        <f>0.487884</f>
        <v>0.48788399999999998</v>
      </c>
      <c r="BV9" s="40"/>
    </row>
    <row r="10" spans="2:74" x14ac:dyDescent="0.2">
      <c r="B10" s="58" t="s">
        <v>213</v>
      </c>
      <c r="C10" s="59"/>
      <c r="D10" s="52">
        <f t="shared" si="1"/>
        <v>0</v>
      </c>
      <c r="E10" s="53"/>
      <c r="F10" s="54">
        <f t="shared" si="2"/>
        <v>0.6597539553864471</v>
      </c>
      <c r="G10" s="53"/>
      <c r="H10" s="53"/>
      <c r="I10" s="53"/>
      <c r="J10" s="53"/>
      <c r="K10" s="53"/>
      <c r="L10" s="53"/>
      <c r="M10" s="53"/>
      <c r="N10" s="55">
        <f t="shared" si="0"/>
        <v>1</v>
      </c>
      <c r="P10" s="24" t="s">
        <v>35</v>
      </c>
      <c r="Q10" s="60">
        <f t="shared" si="3"/>
        <v>3.1E-2</v>
      </c>
      <c r="R10" s="30"/>
      <c r="S10" s="29">
        <f t="shared" si="4"/>
        <v>0.28357499999999997</v>
      </c>
      <c r="T10" s="30"/>
      <c r="U10" s="29">
        <f>AG10/0.9</f>
        <v>1.0888888888888888</v>
      </c>
      <c r="V10" s="30"/>
      <c r="W10" s="31"/>
      <c r="X10" s="32"/>
      <c r="Y10" s="61">
        <f>AK10*0.8</f>
        <v>0.22000000000000003</v>
      </c>
      <c r="Z10" s="31"/>
      <c r="AB10" s="16" t="s">
        <v>35</v>
      </c>
      <c r="AC10" s="35">
        <f>0.031</f>
        <v>3.1E-2</v>
      </c>
      <c r="AD10" s="36"/>
      <c r="AE10" s="34">
        <f>0.2985</f>
        <v>0.29849999999999999</v>
      </c>
      <c r="AF10" s="36"/>
      <c r="AG10" s="34">
        <f>0.98</f>
        <v>0.98</v>
      </c>
      <c r="AH10" s="36"/>
      <c r="AI10" s="36"/>
      <c r="AJ10" s="36"/>
      <c r="AK10" s="34">
        <f>0.275</f>
        <v>0.27500000000000002</v>
      </c>
      <c r="AL10" s="37"/>
      <c r="AT10" s="16" t="s">
        <v>35</v>
      </c>
      <c r="AU10" s="36">
        <v>3.0980999999999998E-2</v>
      </c>
      <c r="AV10" s="36"/>
      <c r="AW10" s="36">
        <v>0.31446099999999999</v>
      </c>
      <c r="AX10" s="36"/>
      <c r="AY10" s="36">
        <v>1.0024219999999999</v>
      </c>
      <c r="AZ10" s="36"/>
      <c r="BA10" s="36"/>
      <c r="BB10" s="36"/>
      <c r="BC10" s="57">
        <v>0.28084870000000006</v>
      </c>
      <c r="BD10" s="37"/>
      <c r="BL10" s="16" t="s">
        <v>35</v>
      </c>
      <c r="BM10" s="39">
        <v>3.0980999999999998E-2</v>
      </c>
      <c r="BN10" s="39"/>
      <c r="BO10" s="39">
        <v>0.31446099999999999</v>
      </c>
      <c r="BP10" s="39"/>
      <c r="BQ10" s="39">
        <v>1.0024219999999999</v>
      </c>
      <c r="BR10" s="39"/>
      <c r="BS10" s="39"/>
      <c r="BT10" s="39"/>
      <c r="BU10" s="39">
        <f>0.255317</f>
        <v>0.25531700000000002</v>
      </c>
      <c r="BV10" s="40"/>
    </row>
    <row r="11" spans="2:74" x14ac:dyDescent="0.2">
      <c r="B11" s="58" t="s">
        <v>213</v>
      </c>
      <c r="C11" s="59"/>
      <c r="D11" s="52">
        <f t="shared" si="1"/>
        <v>0</v>
      </c>
      <c r="E11" s="53"/>
      <c r="F11" s="54">
        <f t="shared" si="2"/>
        <v>0.6597539553864471</v>
      </c>
      <c r="G11" s="53"/>
      <c r="H11" s="53"/>
      <c r="I11" s="53"/>
      <c r="J11" s="53"/>
      <c r="K11" s="53"/>
      <c r="L11" s="53"/>
      <c r="M11" s="53"/>
      <c r="N11" s="55">
        <f t="shared" si="0"/>
        <v>1</v>
      </c>
      <c r="P11" s="24" t="s">
        <v>36</v>
      </c>
      <c r="Q11" s="60">
        <f t="shared" si="3"/>
        <v>7.8E-2</v>
      </c>
      <c r="R11" s="30"/>
      <c r="S11" s="29">
        <f t="shared" si="4"/>
        <v>0.40469999999999995</v>
      </c>
      <c r="T11" s="30"/>
      <c r="U11" s="29">
        <f>AG11/0.85</f>
        <v>0.83058823529411763</v>
      </c>
      <c r="V11" s="30"/>
      <c r="W11" s="31"/>
      <c r="X11" s="32"/>
      <c r="Y11" s="61">
        <f>AK11*0.75</f>
        <v>0.1812</v>
      </c>
      <c r="Z11" s="31"/>
      <c r="AB11" s="16" t="s">
        <v>36</v>
      </c>
      <c r="AC11" s="35">
        <f>0.078</f>
        <v>7.8E-2</v>
      </c>
      <c r="AD11" s="36"/>
      <c r="AE11" s="35">
        <f>0.426</f>
        <v>0.42599999999999999</v>
      </c>
      <c r="AF11" s="36"/>
      <c r="AG11" s="34">
        <f>0.706</f>
        <v>0.70599999999999996</v>
      </c>
      <c r="AH11" s="36"/>
      <c r="AI11" s="36"/>
      <c r="AJ11" s="36"/>
      <c r="AK11" s="35">
        <f>0.2416</f>
        <v>0.24160000000000001</v>
      </c>
      <c r="AL11" s="37"/>
      <c r="AT11" s="16" t="s">
        <v>36</v>
      </c>
      <c r="AU11" s="36">
        <v>7.8228999999999993E-2</v>
      </c>
      <c r="AV11" s="36"/>
      <c r="AW11" s="36">
        <v>0.42613199999999996</v>
      </c>
      <c r="AX11" s="36"/>
      <c r="AY11" s="36">
        <v>0.68895200000000001</v>
      </c>
      <c r="AZ11" s="36"/>
      <c r="BA11" s="36"/>
      <c r="BB11" s="36"/>
      <c r="BC11" s="38">
        <v>0.24255114999999999</v>
      </c>
      <c r="BD11" s="37"/>
      <c r="BL11" s="16" t="s">
        <v>36</v>
      </c>
      <c r="BM11" s="39">
        <v>7.8228999999999993E-2</v>
      </c>
      <c r="BN11" s="39"/>
      <c r="BO11" s="39">
        <v>0.42613199999999996</v>
      </c>
      <c r="BP11" s="39"/>
      <c r="BQ11" s="39">
        <v>0.68895200000000001</v>
      </c>
      <c r="BR11" s="39"/>
      <c r="BS11" s="39"/>
      <c r="BT11" s="39"/>
      <c r="BU11" s="39">
        <f>0.255317</f>
        <v>0.25531700000000002</v>
      </c>
      <c r="BV11" s="40"/>
    </row>
    <row r="12" spans="2:74" x14ac:dyDescent="0.2">
      <c r="B12" s="58"/>
      <c r="C12" s="59"/>
      <c r="D12" s="52">
        <f t="shared" si="1"/>
        <v>0</v>
      </c>
      <c r="E12" s="53"/>
      <c r="F12" s="54">
        <f t="shared" si="2"/>
        <v>0.6597539553864471</v>
      </c>
      <c r="G12" s="53"/>
      <c r="H12" s="53"/>
      <c r="I12" s="53"/>
      <c r="J12" s="53"/>
      <c r="K12" s="53"/>
      <c r="L12" s="53"/>
      <c r="M12" s="53"/>
      <c r="N12" s="55">
        <f t="shared" si="0"/>
        <v>1</v>
      </c>
      <c r="P12" s="16" t="s">
        <v>37</v>
      </c>
      <c r="Q12" s="63">
        <v>0.46800000000000003</v>
      </c>
      <c r="R12" s="46"/>
      <c r="S12" s="64">
        <v>0.23699999999999999</v>
      </c>
      <c r="T12" s="46"/>
      <c r="U12" s="64">
        <v>0.189</v>
      </c>
      <c r="V12" s="65">
        <v>0.193</v>
      </c>
      <c r="W12" s="37"/>
      <c r="X12" s="66">
        <f>0.1895*0.95</f>
        <v>0.18002499999999999</v>
      </c>
      <c r="Y12" s="36"/>
      <c r="Z12" s="37"/>
      <c r="AB12" s="16" t="s">
        <v>37</v>
      </c>
      <c r="AC12" s="35">
        <v>0.46800000000000003</v>
      </c>
      <c r="AD12" s="36"/>
      <c r="AE12" s="35">
        <v>0.23699999999999999</v>
      </c>
      <c r="AF12" s="36"/>
      <c r="AG12" s="35">
        <v>0.189</v>
      </c>
      <c r="AH12" s="35">
        <v>0.193</v>
      </c>
      <c r="AI12" s="36"/>
      <c r="AJ12" s="35">
        <v>0.1895</v>
      </c>
      <c r="AK12" s="36"/>
      <c r="AL12" s="37"/>
      <c r="AT12" s="16" t="s">
        <v>37</v>
      </c>
      <c r="AU12" s="36">
        <v>0.468248</v>
      </c>
      <c r="AV12" s="36"/>
      <c r="AW12" s="36">
        <v>0.24966000000000002</v>
      </c>
      <c r="AX12" s="36"/>
      <c r="AY12" s="36">
        <v>0.18931899999999999</v>
      </c>
      <c r="AZ12" s="36">
        <v>0.193137</v>
      </c>
      <c r="BA12" s="36"/>
      <c r="BB12" s="36">
        <v>0.189444</v>
      </c>
      <c r="BC12" s="36"/>
      <c r="BD12" s="37"/>
      <c r="BL12" s="16" t="s">
        <v>37</v>
      </c>
      <c r="BM12" s="39">
        <v>0.468248</v>
      </c>
      <c r="BN12" s="39"/>
      <c r="BO12" s="39">
        <v>0.24966000000000002</v>
      </c>
      <c r="BP12" s="39"/>
      <c r="BQ12" s="39">
        <v>0.18931899999999999</v>
      </c>
      <c r="BR12" s="39">
        <v>0.193137</v>
      </c>
      <c r="BS12" s="39"/>
      <c r="BT12" s="62">
        <v>0.189444</v>
      </c>
      <c r="BU12" s="39"/>
      <c r="BV12" s="40"/>
    </row>
    <row r="13" spans="2:74" x14ac:dyDescent="0.2">
      <c r="B13" s="58"/>
      <c r="C13" s="59"/>
      <c r="D13" s="52">
        <f t="shared" si="1"/>
        <v>0</v>
      </c>
      <c r="E13" s="53"/>
      <c r="F13" s="54">
        <f t="shared" si="2"/>
        <v>0.6597539553864471</v>
      </c>
      <c r="G13" s="53"/>
      <c r="H13" s="53"/>
      <c r="I13" s="53"/>
      <c r="J13" s="53"/>
      <c r="K13" s="53"/>
      <c r="L13" s="53"/>
      <c r="M13" s="53"/>
      <c r="N13" s="55">
        <f t="shared" si="0"/>
        <v>1</v>
      </c>
      <c r="P13" s="16" t="s">
        <v>38</v>
      </c>
      <c r="Q13" s="63">
        <v>0.442</v>
      </c>
      <c r="R13" s="46"/>
      <c r="S13" s="64">
        <v>0.13450000000000001</v>
      </c>
      <c r="T13" s="46"/>
      <c r="U13" s="64">
        <v>0.105</v>
      </c>
      <c r="V13" s="65">
        <v>0.28699999999999998</v>
      </c>
      <c r="W13" s="37"/>
      <c r="X13" s="66">
        <f>0.2015*0.95</f>
        <v>0.19142500000000001</v>
      </c>
      <c r="Y13" s="36"/>
      <c r="Z13" s="37"/>
      <c r="AB13" s="16" t="s">
        <v>38</v>
      </c>
      <c r="AC13" s="35">
        <v>0.442</v>
      </c>
      <c r="AD13" s="36"/>
      <c r="AE13" s="35">
        <v>0.13450000000000001</v>
      </c>
      <c r="AF13" s="36"/>
      <c r="AG13" s="35">
        <v>0.105</v>
      </c>
      <c r="AH13" s="35">
        <v>0.28699999999999998</v>
      </c>
      <c r="AI13" s="36"/>
      <c r="AJ13" s="34">
        <v>0.20150000000000001</v>
      </c>
      <c r="AK13" s="36"/>
      <c r="AL13" s="37"/>
      <c r="AT13" s="16" t="s">
        <v>38</v>
      </c>
      <c r="AU13" s="36">
        <v>0.44212799999999997</v>
      </c>
      <c r="AV13" s="36"/>
      <c r="AW13" s="36">
        <v>0.13460800000000001</v>
      </c>
      <c r="AX13" s="36"/>
      <c r="AY13" s="36">
        <v>0.102543</v>
      </c>
      <c r="AZ13" s="36">
        <v>0.28706300000000001</v>
      </c>
      <c r="BA13" s="36"/>
      <c r="BB13" s="36">
        <v>0.187746</v>
      </c>
      <c r="BC13" s="36"/>
      <c r="BD13" s="37"/>
      <c r="BL13" s="16" t="s">
        <v>38</v>
      </c>
      <c r="BM13" s="39">
        <v>0.44212799999999997</v>
      </c>
      <c r="BN13" s="39"/>
      <c r="BO13" s="39">
        <v>0.13460800000000001</v>
      </c>
      <c r="BP13" s="39"/>
      <c r="BQ13" s="39">
        <v>0.102543</v>
      </c>
      <c r="BR13" s="39">
        <v>0.28706300000000001</v>
      </c>
      <c r="BS13" s="39"/>
      <c r="BT13" s="39">
        <v>0.187746</v>
      </c>
      <c r="BU13" s="39"/>
      <c r="BV13" s="40"/>
    </row>
    <row r="14" spans="2:74" x14ac:dyDescent="0.2">
      <c r="B14" s="58"/>
      <c r="C14" s="59"/>
      <c r="D14" s="52">
        <f t="shared" si="1"/>
        <v>0</v>
      </c>
      <c r="E14" s="53"/>
      <c r="F14" s="54">
        <f t="shared" si="2"/>
        <v>0.6597539553864471</v>
      </c>
      <c r="G14" s="53"/>
      <c r="H14" s="53"/>
      <c r="I14" s="53"/>
      <c r="J14" s="53"/>
      <c r="K14" s="53"/>
      <c r="L14" s="53"/>
      <c r="M14" s="53"/>
      <c r="N14" s="55">
        <f t="shared" si="0"/>
        <v>1</v>
      </c>
      <c r="P14" s="16" t="s">
        <v>39</v>
      </c>
      <c r="Q14" s="63">
        <v>0.442</v>
      </c>
      <c r="R14" s="46"/>
      <c r="S14" s="56">
        <v>0.38500000000000001</v>
      </c>
      <c r="T14" s="46"/>
      <c r="U14" s="64">
        <v>0.27100000000000002</v>
      </c>
      <c r="V14" s="65">
        <v>0.13</v>
      </c>
      <c r="W14" s="37"/>
      <c r="X14" s="66">
        <f>0.122*0.95</f>
        <v>0.11589999999999999</v>
      </c>
      <c r="Y14" s="36"/>
      <c r="Z14" s="37"/>
      <c r="AB14" s="16" t="s">
        <v>39</v>
      </c>
      <c r="AC14" s="35">
        <v>0.442</v>
      </c>
      <c r="AD14" s="36"/>
      <c r="AE14" s="34">
        <v>0.38900000000000001</v>
      </c>
      <c r="AF14" s="36"/>
      <c r="AG14" s="35">
        <v>0.27100000000000002</v>
      </c>
      <c r="AH14" s="35">
        <v>0.13</v>
      </c>
      <c r="AI14" s="36"/>
      <c r="AJ14" s="35">
        <v>0.122</v>
      </c>
      <c r="AK14" s="36"/>
      <c r="AL14" s="37"/>
      <c r="AT14" s="16" t="s">
        <v>39</v>
      </c>
      <c r="AU14" s="36">
        <v>0.44212799999999997</v>
      </c>
      <c r="AV14" s="36"/>
      <c r="AW14" s="36">
        <v>0.3705</v>
      </c>
      <c r="AX14" s="36"/>
      <c r="AY14" s="36">
        <v>0.27115</v>
      </c>
      <c r="AZ14" s="36">
        <v>0.130214</v>
      </c>
      <c r="BA14" s="36"/>
      <c r="BB14" s="36">
        <v>0.12181099999999999</v>
      </c>
      <c r="BC14" s="36"/>
      <c r="BD14" s="37"/>
      <c r="BL14" s="16" t="s">
        <v>39</v>
      </c>
      <c r="BM14" s="39">
        <v>0.44212799999999997</v>
      </c>
      <c r="BN14" s="39"/>
      <c r="BO14" s="39">
        <v>0.3705</v>
      </c>
      <c r="BP14" s="39"/>
      <c r="BQ14" s="39">
        <v>0.27115</v>
      </c>
      <c r="BR14" s="39">
        <v>0.130214</v>
      </c>
      <c r="BS14" s="39"/>
      <c r="BT14" s="39">
        <v>0.12181099999999999</v>
      </c>
      <c r="BU14" s="39"/>
      <c r="BV14" s="40"/>
    </row>
    <row r="15" spans="2:74" x14ac:dyDescent="0.2">
      <c r="B15" s="58"/>
      <c r="C15" s="59"/>
      <c r="D15" s="52">
        <f t="shared" si="1"/>
        <v>0</v>
      </c>
      <c r="E15" s="53"/>
      <c r="F15" s="54">
        <f t="shared" si="2"/>
        <v>0.6597539553864471</v>
      </c>
      <c r="G15" s="53"/>
      <c r="H15" s="53"/>
      <c r="I15" s="53"/>
      <c r="J15" s="53"/>
      <c r="K15" s="53"/>
      <c r="L15" s="53"/>
      <c r="M15" s="53"/>
      <c r="N15" s="55">
        <f t="shared" si="0"/>
        <v>1</v>
      </c>
      <c r="P15" s="16" t="s">
        <v>40</v>
      </c>
      <c r="Q15" s="63">
        <f>0.8825*Q12</f>
        <v>0.41300999999999999</v>
      </c>
      <c r="R15" s="46"/>
      <c r="S15" s="64">
        <f>BO15</f>
        <v>0.217029</v>
      </c>
      <c r="T15" s="46"/>
      <c r="U15" s="64">
        <v>0.2495</v>
      </c>
      <c r="V15" s="65">
        <v>0.13750000000000001</v>
      </c>
      <c r="W15" s="37"/>
      <c r="X15" s="66">
        <f>AJ15*0.8</f>
        <v>0.1888</v>
      </c>
      <c r="Y15" s="66">
        <f>AK15*0.8</f>
        <v>0.34320000000000001</v>
      </c>
      <c r="Z15" s="37"/>
      <c r="AB15" s="16" t="s">
        <v>40</v>
      </c>
      <c r="AC15" s="35">
        <v>0.41299999999999998</v>
      </c>
      <c r="AD15" s="36"/>
      <c r="AE15" s="35">
        <f>BZ15</f>
        <v>0</v>
      </c>
      <c r="AF15" s="36"/>
      <c r="AG15" s="35">
        <v>0.2495</v>
      </c>
      <c r="AH15" s="35">
        <v>0.13750000000000001</v>
      </c>
      <c r="AI15" s="36"/>
      <c r="AJ15" s="35">
        <v>0.23599999999999999</v>
      </c>
      <c r="AK15" s="35">
        <v>0.42899999999999999</v>
      </c>
      <c r="AL15" s="37"/>
      <c r="AT15" s="16" t="s">
        <v>40</v>
      </c>
      <c r="AU15" s="36">
        <v>0.41240599999999999</v>
      </c>
      <c r="AV15" s="36"/>
      <c r="AW15" s="36">
        <v>0.217029</v>
      </c>
      <c r="AX15" s="36"/>
      <c r="AY15" s="36">
        <v>0.24917899999999998</v>
      </c>
      <c r="AZ15" s="36">
        <v>0.134745</v>
      </c>
      <c r="BA15" s="36"/>
      <c r="BB15" s="36">
        <v>0.23569799999999999</v>
      </c>
      <c r="BC15" s="36">
        <v>0.42886299999999999</v>
      </c>
      <c r="BD15" s="37"/>
      <c r="BL15" s="16" t="s">
        <v>40</v>
      </c>
      <c r="BM15" s="39">
        <v>0.41240599999999999</v>
      </c>
      <c r="BN15" s="39"/>
      <c r="BO15" s="39">
        <v>0.217029</v>
      </c>
      <c r="BP15" s="39"/>
      <c r="BQ15" s="39">
        <v>0.24917899999999998</v>
      </c>
      <c r="BR15" s="39">
        <v>0.134745</v>
      </c>
      <c r="BS15" s="39"/>
      <c r="BT15" s="39">
        <v>0.23569799999999999</v>
      </c>
      <c r="BU15" s="39">
        <v>0.42886299999999999</v>
      </c>
      <c r="BV15" s="40"/>
    </row>
    <row r="16" spans="2:74" x14ac:dyDescent="0.2">
      <c r="B16" s="58"/>
      <c r="C16" s="59"/>
      <c r="D16" s="52">
        <f t="shared" si="1"/>
        <v>0</v>
      </c>
      <c r="E16" s="53"/>
      <c r="F16" s="54">
        <f t="shared" si="2"/>
        <v>0.6597539553864471</v>
      </c>
      <c r="G16" s="53"/>
      <c r="H16" s="53"/>
      <c r="I16" s="53"/>
      <c r="J16" s="53"/>
      <c r="K16" s="53"/>
      <c r="L16" s="53"/>
      <c r="M16" s="53"/>
      <c r="N16" s="55">
        <f t="shared" si="0"/>
        <v>1</v>
      </c>
      <c r="P16" s="24" t="s">
        <v>41</v>
      </c>
      <c r="Q16" s="67">
        <v>0.218</v>
      </c>
      <c r="R16" s="30"/>
      <c r="S16" s="68">
        <f>BO16</f>
        <v>0.12548599999999999</v>
      </c>
      <c r="T16" s="30"/>
      <c r="U16" s="68">
        <f>BQ16</f>
        <v>0.34995099999999996</v>
      </c>
      <c r="V16" s="69">
        <v>6.0999999999999999E-2</v>
      </c>
      <c r="W16" s="31"/>
      <c r="X16" s="61">
        <f>0.182</f>
        <v>0.182</v>
      </c>
      <c r="Y16" s="61">
        <f>0.739</f>
        <v>0.73899999999999999</v>
      </c>
      <c r="Z16" s="31"/>
      <c r="AB16" s="16" t="s">
        <v>41</v>
      </c>
      <c r="AC16" s="34">
        <v>0.218</v>
      </c>
      <c r="AD16" s="36"/>
      <c r="AE16" s="35">
        <f>BZ16</f>
        <v>0</v>
      </c>
      <c r="AF16" s="36"/>
      <c r="AG16" s="35">
        <f>CB16</f>
        <v>0</v>
      </c>
      <c r="AH16" s="35">
        <v>6.0999999999999999E-2</v>
      </c>
      <c r="AI16" s="36"/>
      <c r="AJ16" s="35">
        <v>0.182</v>
      </c>
      <c r="AK16" s="35">
        <v>0.73899999999999999</v>
      </c>
      <c r="AL16" s="37"/>
      <c r="AT16" s="16" t="s">
        <v>41</v>
      </c>
      <c r="AU16" s="38">
        <v>0.21297769599999999</v>
      </c>
      <c r="AV16" s="36"/>
      <c r="AW16" s="36">
        <v>0.12548599999999999</v>
      </c>
      <c r="AX16" s="36"/>
      <c r="AY16" s="36">
        <v>0.34995099999999996</v>
      </c>
      <c r="AZ16" s="36">
        <v>6.1537999999999995E-2</v>
      </c>
      <c r="BA16" s="36"/>
      <c r="BB16" s="36">
        <v>0.18210699999999999</v>
      </c>
      <c r="BC16" s="57">
        <v>0.7418378000000001</v>
      </c>
      <c r="BD16" s="37"/>
      <c r="BL16" s="16" t="s">
        <v>42</v>
      </c>
      <c r="BM16" s="39">
        <f>0.242848</f>
        <v>0.24284800000000001</v>
      </c>
      <c r="BN16" s="39"/>
      <c r="BO16" s="39">
        <v>0.12548599999999999</v>
      </c>
      <c r="BP16" s="39"/>
      <c r="BQ16" s="39">
        <v>0.34995099999999996</v>
      </c>
      <c r="BR16" s="39">
        <v>6.1537999999999995E-2</v>
      </c>
      <c r="BS16" s="39"/>
      <c r="BT16" s="39">
        <v>0.18210699999999999</v>
      </c>
      <c r="BU16" s="39">
        <f>0.674398</f>
        <v>0.67439800000000005</v>
      </c>
      <c r="BV16" s="40"/>
    </row>
    <row r="17" spans="2:74" x14ac:dyDescent="0.2">
      <c r="B17" s="58"/>
      <c r="C17" s="59"/>
      <c r="D17" s="52">
        <f t="shared" si="1"/>
        <v>0</v>
      </c>
      <c r="E17" s="53"/>
      <c r="F17" s="54">
        <f t="shared" si="2"/>
        <v>0.6597539553864471</v>
      </c>
      <c r="G17" s="53"/>
      <c r="H17" s="53"/>
      <c r="I17" s="53"/>
      <c r="J17" s="53"/>
      <c r="K17" s="53"/>
      <c r="L17" s="53"/>
      <c r="M17" s="53"/>
      <c r="N17" s="55">
        <f t="shared" si="0"/>
        <v>1</v>
      </c>
      <c r="P17" s="24" t="s">
        <v>43</v>
      </c>
      <c r="Q17" s="67">
        <v>0.183</v>
      </c>
      <c r="R17" s="30"/>
      <c r="S17" s="68">
        <v>5.3999999999999999E-2</v>
      </c>
      <c r="T17" s="30"/>
      <c r="U17" s="27">
        <v>0.185</v>
      </c>
      <c r="V17" s="69">
        <v>0.08</v>
      </c>
      <c r="W17" s="31"/>
      <c r="X17" s="61">
        <f>0.209</f>
        <v>0.20899999999999999</v>
      </c>
      <c r="Y17" s="61">
        <f>0.8325</f>
        <v>0.83250000000000002</v>
      </c>
      <c r="Z17" s="31"/>
      <c r="AB17" s="16" t="s">
        <v>43</v>
      </c>
      <c r="AC17" s="34">
        <v>0.183</v>
      </c>
      <c r="AD17" s="36"/>
      <c r="AE17" s="35">
        <v>5.3999999999999999E-2</v>
      </c>
      <c r="AF17" s="36"/>
      <c r="AG17" s="34">
        <v>0.185</v>
      </c>
      <c r="AH17" s="35">
        <v>0.08</v>
      </c>
      <c r="AI17" s="36"/>
      <c r="AJ17" s="35">
        <v>0.20899999999999999</v>
      </c>
      <c r="AK17" s="34">
        <v>0.83250000000000002</v>
      </c>
      <c r="AL17" s="37"/>
      <c r="AT17" s="16" t="s">
        <v>43</v>
      </c>
      <c r="AU17" s="38">
        <v>0.178611574</v>
      </c>
      <c r="AV17" s="36"/>
      <c r="AW17" s="36">
        <v>5.0400999999999994E-2</v>
      </c>
      <c r="AX17" s="36"/>
      <c r="AY17" s="57">
        <v>0.18073965000000003</v>
      </c>
      <c r="AZ17" s="36">
        <v>8.0313999999999997E-2</v>
      </c>
      <c r="BA17" s="36"/>
      <c r="BB17" s="36">
        <v>0.213452</v>
      </c>
      <c r="BC17" s="57">
        <v>0.86827620000000005</v>
      </c>
      <c r="BD17" s="37"/>
      <c r="BL17" s="16" t="s">
        <v>44</v>
      </c>
      <c r="BM17" s="39">
        <f>0.203662</f>
        <v>0.20366200000000001</v>
      </c>
      <c r="BN17" s="39"/>
      <c r="BO17" s="39">
        <v>5.0400999999999994E-2</v>
      </c>
      <c r="BP17" s="39"/>
      <c r="BQ17" s="39">
        <f>0.172133</f>
        <v>0.17213300000000001</v>
      </c>
      <c r="BR17" s="39">
        <v>8.0313999999999997E-2</v>
      </c>
      <c r="BS17" s="39"/>
      <c r="BT17" s="39">
        <v>0.213452</v>
      </c>
      <c r="BU17" s="39">
        <f>0.789342</f>
        <v>0.78934199999999999</v>
      </c>
      <c r="BV17" s="40"/>
    </row>
    <row r="18" spans="2:74" x14ac:dyDescent="0.2">
      <c r="B18" s="58"/>
      <c r="C18" s="59"/>
      <c r="D18" s="52">
        <f t="shared" si="1"/>
        <v>0</v>
      </c>
      <c r="E18" s="53"/>
      <c r="F18" s="54">
        <f t="shared" si="2"/>
        <v>0.6597539553864471</v>
      </c>
      <c r="G18" s="53"/>
      <c r="H18" s="53"/>
      <c r="I18" s="53"/>
      <c r="J18" s="53"/>
      <c r="K18" s="53"/>
      <c r="L18" s="53"/>
      <c r="M18" s="53"/>
      <c r="N18" s="55">
        <f t="shared" si="0"/>
        <v>1</v>
      </c>
      <c r="P18" s="24" t="s">
        <v>45</v>
      </c>
      <c r="Q18" s="67">
        <v>0.183</v>
      </c>
      <c r="R18" s="30"/>
      <c r="S18" s="27">
        <v>0.16750000000000001</v>
      </c>
      <c r="T18" s="30"/>
      <c r="U18" s="70">
        <v>0.75</v>
      </c>
      <c r="V18" s="69">
        <f>BR18</f>
        <v>3.1035E-2</v>
      </c>
      <c r="W18" s="31"/>
      <c r="X18" s="71">
        <v>0.15</v>
      </c>
      <c r="Y18" s="71">
        <v>0.62250000000000005</v>
      </c>
      <c r="Z18" s="31"/>
      <c r="AB18" s="16" t="s">
        <v>45</v>
      </c>
      <c r="AC18" s="34">
        <v>0.183</v>
      </c>
      <c r="AD18" s="36"/>
      <c r="AE18" s="34">
        <v>0.16750000000000001</v>
      </c>
      <c r="AF18" s="36"/>
      <c r="AG18" s="34">
        <v>0.498</v>
      </c>
      <c r="AH18" s="35">
        <f>CC18</f>
        <v>0</v>
      </c>
      <c r="AI18" s="36"/>
      <c r="AJ18" s="35">
        <v>0.15</v>
      </c>
      <c r="AK18" s="34">
        <v>0.62250000000000005</v>
      </c>
      <c r="AL18" s="37"/>
      <c r="AT18" s="16" t="s">
        <v>45</v>
      </c>
      <c r="AU18" s="38">
        <v>0.178611574</v>
      </c>
      <c r="AV18" s="36"/>
      <c r="AW18" s="36">
        <v>0.15686800000000001</v>
      </c>
      <c r="AX18" s="36"/>
      <c r="AY18" s="57">
        <v>0.48665084999999997</v>
      </c>
      <c r="AZ18" s="36">
        <v>3.1035E-2</v>
      </c>
      <c r="BA18" s="36"/>
      <c r="BB18" s="36">
        <v>0.15016000000000002</v>
      </c>
      <c r="BC18" s="57">
        <v>0.62813960000000002</v>
      </c>
      <c r="BD18" s="37"/>
      <c r="BL18" s="16" t="s">
        <v>46</v>
      </c>
      <c r="BM18" s="39">
        <f>0.203662</f>
        <v>0.20366200000000001</v>
      </c>
      <c r="BN18" s="39"/>
      <c r="BO18" s="39">
        <f>0.156868</f>
        <v>0.15686800000000001</v>
      </c>
      <c r="BP18" s="39"/>
      <c r="BQ18" s="39">
        <f>0.463477</f>
        <v>0.46347699999999997</v>
      </c>
      <c r="BR18" s="39">
        <v>3.1035E-2</v>
      </c>
      <c r="BS18" s="39"/>
      <c r="BT18" s="39">
        <v>0.15016000000000002</v>
      </c>
      <c r="BU18" s="39">
        <f>0.571036</f>
        <v>0.57103599999999999</v>
      </c>
      <c r="BV18" s="40"/>
    </row>
    <row r="19" spans="2:74" x14ac:dyDescent="0.2">
      <c r="B19" s="58"/>
      <c r="C19" s="59"/>
      <c r="D19" s="52">
        <f t="shared" si="1"/>
        <v>0</v>
      </c>
      <c r="E19" s="53"/>
      <c r="F19" s="54">
        <f t="shared" si="2"/>
        <v>0.6597539553864471</v>
      </c>
      <c r="G19" s="53"/>
      <c r="H19" s="53"/>
      <c r="I19" s="53"/>
      <c r="J19" s="53"/>
      <c r="K19" s="53"/>
      <c r="L19" s="53"/>
      <c r="M19" s="53"/>
      <c r="N19" s="55">
        <f t="shared" si="0"/>
        <v>1</v>
      </c>
      <c r="P19" s="24" t="s">
        <v>47</v>
      </c>
      <c r="Q19" s="232">
        <f>0.556*Q12</f>
        <v>0.26020800000000005</v>
      </c>
      <c r="R19" s="30"/>
      <c r="S19" s="27">
        <v>0.16</v>
      </c>
      <c r="T19" s="30"/>
      <c r="U19" s="27">
        <v>0.3125</v>
      </c>
      <c r="V19" s="69">
        <v>8.7999999999999995E-2</v>
      </c>
      <c r="W19" s="31"/>
      <c r="X19" s="61">
        <f>0.145*0.85</f>
        <v>0.12324999999999998</v>
      </c>
      <c r="Y19" s="61">
        <f>AK19*0.85</f>
        <v>0.45900000000000002</v>
      </c>
      <c r="Z19" s="31"/>
      <c r="AB19" s="16" t="s">
        <v>47</v>
      </c>
      <c r="AC19" s="34">
        <v>0.27600000000000002</v>
      </c>
      <c r="AD19" s="36"/>
      <c r="AE19" s="34">
        <v>0.16</v>
      </c>
      <c r="AF19" s="36"/>
      <c r="AG19" s="34">
        <v>0.3125</v>
      </c>
      <c r="AH19" s="35">
        <v>8.7999999999999995E-2</v>
      </c>
      <c r="AI19" s="36"/>
      <c r="AJ19" s="34">
        <v>0.14499999999999999</v>
      </c>
      <c r="AK19" s="34">
        <v>0.54</v>
      </c>
      <c r="AL19" s="37"/>
      <c r="AT19" s="16" t="s">
        <v>47</v>
      </c>
      <c r="AU19" s="38">
        <v>0.26888293799999996</v>
      </c>
      <c r="AV19" s="36"/>
      <c r="AW19" s="36">
        <v>0.15246899999999999</v>
      </c>
      <c r="AX19" s="36"/>
      <c r="AY19" s="36">
        <v>0.28482399999999997</v>
      </c>
      <c r="AZ19" s="36">
        <v>8.7680000000000008E-2</v>
      </c>
      <c r="BA19" s="36"/>
      <c r="BB19" s="36">
        <v>0.115254</v>
      </c>
      <c r="BC19" s="57">
        <v>0.48955280000000007</v>
      </c>
      <c r="BD19" s="37"/>
      <c r="BL19" s="16" t="s">
        <v>47</v>
      </c>
      <c r="BM19" s="39">
        <f>0.306594</f>
        <v>0.30659399999999998</v>
      </c>
      <c r="BN19" s="39"/>
      <c r="BO19" s="39">
        <v>0.15246899999999999</v>
      </c>
      <c r="BP19" s="39"/>
      <c r="BQ19" s="39">
        <v>0.28482399999999997</v>
      </c>
      <c r="BR19" s="39">
        <v>8.7680000000000008E-2</v>
      </c>
      <c r="BS19" s="39"/>
      <c r="BT19" s="39">
        <v>0.115254</v>
      </c>
      <c r="BU19" s="39">
        <f>0.445048</f>
        <v>0.445048</v>
      </c>
      <c r="BV19" s="40"/>
    </row>
    <row r="20" spans="2:74" x14ac:dyDescent="0.2">
      <c r="B20" s="58"/>
      <c r="C20" s="59"/>
      <c r="D20" s="52">
        <f t="shared" si="1"/>
        <v>0</v>
      </c>
      <c r="E20" s="53"/>
      <c r="F20" s="54">
        <f t="shared" si="2"/>
        <v>0.6597539553864471</v>
      </c>
      <c r="G20" s="53"/>
      <c r="H20" s="53"/>
      <c r="I20" s="53"/>
      <c r="J20" s="53"/>
      <c r="K20" s="53"/>
      <c r="L20" s="53"/>
      <c r="M20" s="53"/>
      <c r="N20" s="55">
        <f t="shared" si="0"/>
        <v>1</v>
      </c>
      <c r="P20" s="16" t="s">
        <v>48</v>
      </c>
      <c r="Q20" s="72"/>
      <c r="R20" s="46"/>
      <c r="S20" s="37"/>
      <c r="T20" s="46"/>
      <c r="U20" s="37"/>
      <c r="V20" s="46">
        <v>0.207589</v>
      </c>
      <c r="W20" s="37">
        <v>0.56314900000000001</v>
      </c>
      <c r="X20" s="66">
        <f>AJ20*0.95</f>
        <v>0.10117499999999999</v>
      </c>
      <c r="Y20" s="66">
        <f t="shared" ref="Y20:Z20" si="5">AK20*0.95</f>
        <v>0.15342500000000001</v>
      </c>
      <c r="Z20" s="44">
        <f t="shared" si="5"/>
        <v>0.1862</v>
      </c>
      <c r="AB20" s="16" t="s">
        <v>48</v>
      </c>
      <c r="AC20" s="38"/>
      <c r="AD20" s="36"/>
      <c r="AE20" s="36"/>
      <c r="AF20" s="36"/>
      <c r="AG20" s="36"/>
      <c r="AH20" s="34">
        <v>0.221</v>
      </c>
      <c r="AI20" s="34">
        <v>0.59899999999999998</v>
      </c>
      <c r="AJ20" s="34">
        <v>0.1065</v>
      </c>
      <c r="AK20" s="34">
        <v>0.1615</v>
      </c>
      <c r="AL20" s="56">
        <v>0.19600000000000001</v>
      </c>
      <c r="AT20" s="16" t="s">
        <v>48</v>
      </c>
      <c r="AU20" s="38"/>
      <c r="AV20" s="36"/>
      <c r="AW20" s="36"/>
      <c r="AX20" s="36"/>
      <c r="AY20" s="36"/>
      <c r="AZ20" s="36">
        <v>0.207589</v>
      </c>
      <c r="BA20" s="36">
        <v>0.56314900000000001</v>
      </c>
      <c r="BB20" s="36">
        <v>0.10029</v>
      </c>
      <c r="BC20" s="57">
        <v>0.15670160000000002</v>
      </c>
      <c r="BD20" s="37">
        <v>0.18429200000000001</v>
      </c>
      <c r="BL20" s="16" t="s">
        <v>48</v>
      </c>
      <c r="BM20" s="39"/>
      <c r="BN20" s="39"/>
      <c r="BO20" s="39"/>
      <c r="BP20" s="39"/>
      <c r="BQ20" s="39"/>
      <c r="BR20" s="39">
        <v>0.207589</v>
      </c>
      <c r="BS20" s="39">
        <v>0.56314900000000001</v>
      </c>
      <c r="BT20" s="39">
        <v>0.10029</v>
      </c>
      <c r="BU20" s="39">
        <f>0.142456</f>
        <v>0.142456</v>
      </c>
      <c r="BV20" s="40">
        <f>0.184292</f>
        <v>0.18429200000000001</v>
      </c>
    </row>
    <row r="21" spans="2:74" x14ac:dyDescent="0.2">
      <c r="B21" s="58"/>
      <c r="C21" s="59"/>
      <c r="D21" s="52">
        <f t="shared" si="1"/>
        <v>0</v>
      </c>
      <c r="E21" s="53"/>
      <c r="F21" s="54">
        <f t="shared" si="2"/>
        <v>0.6597539553864471</v>
      </c>
      <c r="G21" s="53"/>
      <c r="H21" s="53"/>
      <c r="I21" s="53"/>
      <c r="J21" s="53"/>
      <c r="K21" s="53"/>
      <c r="L21" s="53"/>
      <c r="M21" s="53"/>
      <c r="N21" s="55">
        <f t="shared" si="0"/>
        <v>1</v>
      </c>
      <c r="P21" s="16" t="s">
        <v>49</v>
      </c>
      <c r="Q21" s="42">
        <v>0.19500000000000001</v>
      </c>
      <c r="R21" s="46"/>
      <c r="S21" s="37"/>
      <c r="T21" s="46"/>
      <c r="U21" s="37"/>
      <c r="V21" s="73">
        <f>0.938*W21</f>
        <v>0.32511736599999996</v>
      </c>
      <c r="W21" s="37">
        <v>0.346607</v>
      </c>
      <c r="X21" s="34">
        <v>0.19800000000000001</v>
      </c>
      <c r="Y21" s="35">
        <v>0.11</v>
      </c>
      <c r="Z21" s="56">
        <v>0.1</v>
      </c>
      <c r="AB21" s="16" t="s">
        <v>49</v>
      </c>
      <c r="AC21" s="34">
        <v>0.19500000000000001</v>
      </c>
      <c r="AD21" s="36"/>
      <c r="AE21" s="36"/>
      <c r="AF21" s="36"/>
      <c r="AG21" s="36"/>
      <c r="AH21" s="34">
        <v>0.34250000000000003</v>
      </c>
      <c r="AI21" s="34">
        <v>0.36499999999999999</v>
      </c>
      <c r="AJ21" s="34">
        <v>0.19800000000000001</v>
      </c>
      <c r="AK21" s="35">
        <v>0.11</v>
      </c>
      <c r="AL21" s="56">
        <v>0.1</v>
      </c>
      <c r="AT21" s="16" t="s">
        <v>49</v>
      </c>
      <c r="AU21" s="38">
        <v>0.19031864700000001</v>
      </c>
      <c r="AV21" s="36"/>
      <c r="AW21" s="36"/>
      <c r="AX21" s="36"/>
      <c r="AY21" s="36"/>
      <c r="AZ21" s="57">
        <v>0.35466420000000004</v>
      </c>
      <c r="BA21" s="36">
        <v>0.346607</v>
      </c>
      <c r="BB21" s="36">
        <v>0.18651199999999998</v>
      </c>
      <c r="BC21" s="57">
        <v>0.10777250000000002</v>
      </c>
      <c r="BD21" s="37">
        <v>9.5022999999999996E-2</v>
      </c>
      <c r="BL21" s="16" t="s">
        <v>49</v>
      </c>
      <c r="BM21" s="39">
        <f>0.217011</f>
        <v>0.21701100000000001</v>
      </c>
      <c r="BN21" s="39"/>
      <c r="BO21" s="39"/>
      <c r="BP21" s="39"/>
      <c r="BQ21" s="39"/>
      <c r="BR21" s="39">
        <f>0.322422</f>
        <v>0.32242199999999999</v>
      </c>
      <c r="BS21" s="39">
        <v>0.346607</v>
      </c>
      <c r="BT21" s="39">
        <v>0.18651199999999998</v>
      </c>
      <c r="BU21" s="39">
        <f>0.097975</f>
        <v>9.7975000000000007E-2</v>
      </c>
      <c r="BV21" s="40">
        <v>9.5022999999999996E-2</v>
      </c>
    </row>
    <row r="22" spans="2:74" x14ac:dyDescent="0.2">
      <c r="B22" s="58"/>
      <c r="C22" s="59"/>
      <c r="D22" s="52">
        <f t="shared" si="1"/>
        <v>0</v>
      </c>
      <c r="E22" s="53"/>
      <c r="F22" s="54">
        <f t="shared" si="2"/>
        <v>0.6597539553864471</v>
      </c>
      <c r="G22" s="53"/>
      <c r="H22" s="53"/>
      <c r="I22" s="53"/>
      <c r="J22" s="53"/>
      <c r="K22" s="53"/>
      <c r="L22" s="53"/>
      <c r="M22" s="53"/>
      <c r="N22" s="55">
        <f t="shared" si="0"/>
        <v>1</v>
      </c>
      <c r="P22" s="16" t="s">
        <v>50</v>
      </c>
      <c r="Q22" s="42">
        <v>0.19500000000000001</v>
      </c>
      <c r="R22" s="46"/>
      <c r="S22" s="37"/>
      <c r="T22" s="46"/>
      <c r="U22" s="37"/>
      <c r="V22" s="73">
        <f>0.938*W22</f>
        <v>0.32511736599999996</v>
      </c>
      <c r="W22" s="37">
        <v>0.346607</v>
      </c>
      <c r="X22" s="74">
        <f>AJ22/1.2</f>
        <v>0.24374999999999999</v>
      </c>
      <c r="Y22" s="35">
        <v>0.11</v>
      </c>
      <c r="Z22" s="56">
        <v>0.1</v>
      </c>
      <c r="AB22" s="16" t="s">
        <v>50</v>
      </c>
      <c r="AC22" s="34">
        <v>0.19500000000000001</v>
      </c>
      <c r="AD22" s="36"/>
      <c r="AE22" s="36"/>
      <c r="AF22" s="36"/>
      <c r="AG22" s="36"/>
      <c r="AH22" s="34">
        <v>0.34250000000000003</v>
      </c>
      <c r="AI22" s="34">
        <v>0.36499999999999999</v>
      </c>
      <c r="AJ22" s="34">
        <f>0.2925</f>
        <v>0.29249999999999998</v>
      </c>
      <c r="AK22" s="35">
        <v>0.11</v>
      </c>
      <c r="AL22" s="56">
        <v>0.1</v>
      </c>
      <c r="AT22" s="16" t="s">
        <v>50</v>
      </c>
      <c r="AU22" s="38">
        <v>0.19031777</v>
      </c>
      <c r="AV22" s="36"/>
      <c r="AW22" s="36"/>
      <c r="AX22" s="36"/>
      <c r="AY22" s="36"/>
      <c r="AZ22" s="75">
        <v>0.35466420000000004</v>
      </c>
      <c r="BA22" s="36">
        <v>0.346607</v>
      </c>
      <c r="BB22" s="57">
        <v>0.2424664</v>
      </c>
      <c r="BC22" s="57">
        <v>0.10777250000000001</v>
      </c>
      <c r="BD22" s="37">
        <v>9.5022999999999996E-2</v>
      </c>
      <c r="BL22" s="16" t="s">
        <v>50</v>
      </c>
      <c r="BM22" s="39">
        <v>0.21701000000000001</v>
      </c>
      <c r="BN22" s="39"/>
      <c r="BO22" s="39"/>
      <c r="BP22" s="39"/>
      <c r="BQ22" s="39"/>
      <c r="BR22" s="39">
        <v>0.47066599999999997</v>
      </c>
      <c r="BS22" s="39">
        <v>0.346607</v>
      </c>
      <c r="BT22" s="39">
        <v>0.22042399999999998</v>
      </c>
      <c r="BU22" s="39">
        <v>9.7974999999999993E-2</v>
      </c>
      <c r="BV22" s="40">
        <v>9.5022999999999996E-2</v>
      </c>
    </row>
    <row r="23" spans="2:74" x14ac:dyDescent="0.2">
      <c r="B23" s="58"/>
      <c r="C23" s="59"/>
      <c r="D23" s="52">
        <f>POWER((MIN(MAX(C23-0.5,0),7)/7),0.45)</f>
        <v>0</v>
      </c>
      <c r="E23" s="53"/>
      <c r="F23" s="54">
        <f>POWER((MIN(MAX(E23+6.5,7),15.25)/14),0.6)</f>
        <v>0.6597539553864471</v>
      </c>
      <c r="G23" s="53"/>
      <c r="H23" s="53"/>
      <c r="I23" s="53"/>
      <c r="J23" s="53"/>
      <c r="K23" s="53"/>
      <c r="L23" s="53"/>
      <c r="M23" s="53"/>
      <c r="N23" s="55">
        <f>POWER(MAX(M23-0.5,0),0.5)*0.0716+1</f>
        <v>1</v>
      </c>
      <c r="P23" s="16" t="s">
        <v>51</v>
      </c>
      <c r="Q23" s="76"/>
      <c r="R23" s="46"/>
      <c r="S23" s="37"/>
      <c r="T23" s="46"/>
      <c r="U23" s="37"/>
      <c r="V23" s="77">
        <f>0.146863*0.9</f>
        <v>0.13217670000000001</v>
      </c>
      <c r="W23" s="44">
        <f>0.342343*0.9</f>
        <v>0.30810870000000001</v>
      </c>
      <c r="X23" s="66">
        <f>0.1575*1.1</f>
        <v>0.17325000000000002</v>
      </c>
      <c r="Y23" s="66">
        <f>0.3605*1.1</f>
        <v>0.39655000000000001</v>
      </c>
      <c r="Z23" s="44">
        <f>0.3325*1.1</f>
        <v>0.36575000000000008</v>
      </c>
      <c r="AB23" s="16" t="s">
        <v>51</v>
      </c>
      <c r="AC23" s="36"/>
      <c r="AD23" s="36"/>
      <c r="AE23" s="36"/>
      <c r="AF23" s="36"/>
      <c r="AG23" s="36"/>
      <c r="AH23" s="34">
        <v>0.156</v>
      </c>
      <c r="AI23" s="34">
        <v>0.36499999999999999</v>
      </c>
      <c r="AJ23" s="34">
        <v>0.1575</v>
      </c>
      <c r="AK23" s="34">
        <v>0.36049999999999999</v>
      </c>
      <c r="AL23" s="56">
        <v>0.33250000000000002</v>
      </c>
      <c r="AT23" s="16" t="s">
        <v>51</v>
      </c>
      <c r="AU23" s="36"/>
      <c r="AV23" s="36"/>
      <c r="AW23" s="36"/>
      <c r="AX23" s="36"/>
      <c r="AY23" s="36"/>
      <c r="AZ23" s="36">
        <v>0.14686299999999999</v>
      </c>
      <c r="BA23" s="36">
        <v>0.34234300000000001</v>
      </c>
      <c r="BB23" s="36">
        <v>0.148148</v>
      </c>
      <c r="BC23" s="57">
        <v>0.47062199999999998</v>
      </c>
      <c r="BD23" s="37">
        <v>0.37102199999999996</v>
      </c>
      <c r="BL23" s="16" t="s">
        <v>51</v>
      </c>
      <c r="BM23" s="39"/>
      <c r="BN23" s="39"/>
      <c r="BO23" s="39"/>
      <c r="BP23" s="39"/>
      <c r="BQ23" s="39"/>
      <c r="BR23" s="39">
        <v>0.14686299999999999</v>
      </c>
      <c r="BS23" s="39">
        <v>0.34234300000000001</v>
      </c>
      <c r="BT23" s="39">
        <v>0.148148</v>
      </c>
      <c r="BU23" s="39">
        <f>0.392185</f>
        <v>0.39218500000000001</v>
      </c>
      <c r="BV23" s="40">
        <v>0.37102199999999996</v>
      </c>
    </row>
    <row r="24" spans="2:74" x14ac:dyDescent="0.2">
      <c r="B24" s="58"/>
      <c r="C24" s="59"/>
      <c r="D24" s="52">
        <f>POWER((MIN(MAX(C24-0.5,0),7)/7),0.45)</f>
        <v>0</v>
      </c>
      <c r="E24" s="53"/>
      <c r="F24" s="54">
        <f>POWER((MIN(MAX(E24+6.5,7),15.25)/14),0.6)</f>
        <v>0.6597539553864471</v>
      </c>
      <c r="G24" s="53"/>
      <c r="H24" s="53"/>
      <c r="I24" s="53"/>
      <c r="J24" s="53"/>
      <c r="K24" s="53"/>
      <c r="L24" s="53"/>
      <c r="M24" s="53"/>
      <c r="N24" s="55">
        <f>POWER(MAX(M24-0.5,0),0.5)*0.0716+1</f>
        <v>1</v>
      </c>
      <c r="P24" s="78" t="s">
        <v>52</v>
      </c>
      <c r="Q24" s="79"/>
      <c r="R24" s="80"/>
      <c r="S24" s="81"/>
      <c r="T24" s="80"/>
      <c r="U24" s="81"/>
      <c r="V24" s="80"/>
      <c r="W24" s="81"/>
      <c r="X24" s="82"/>
      <c r="Y24" s="82"/>
      <c r="Z24" s="83">
        <f>0.4*Z23</f>
        <v>0.14630000000000004</v>
      </c>
      <c r="AB24" s="78" t="s">
        <v>52</v>
      </c>
      <c r="AC24" s="82"/>
      <c r="AD24" s="82"/>
      <c r="AE24" s="82"/>
      <c r="AF24" s="82"/>
      <c r="AG24" s="82"/>
      <c r="AH24" s="82"/>
      <c r="AI24" s="82"/>
      <c r="AJ24" s="82"/>
      <c r="AK24" s="82"/>
      <c r="AL24" s="83">
        <f>0.4*AL23</f>
        <v>0.13300000000000001</v>
      </c>
      <c r="AT24" s="78" t="s">
        <v>52</v>
      </c>
      <c r="AU24" s="82"/>
      <c r="AV24" s="82"/>
      <c r="AW24" s="82"/>
      <c r="AX24" s="82"/>
      <c r="AY24" s="82"/>
      <c r="AZ24" s="82"/>
      <c r="BA24" s="82"/>
      <c r="BB24" s="82"/>
      <c r="BC24" s="82"/>
      <c r="BD24" s="84">
        <v>0.15132499999999999</v>
      </c>
      <c r="BL24" s="78" t="s">
        <v>52</v>
      </c>
      <c r="BM24" s="85"/>
      <c r="BN24" s="85"/>
      <c r="BO24" s="85"/>
      <c r="BP24" s="85"/>
      <c r="BQ24" s="85"/>
      <c r="BR24" s="85"/>
      <c r="BS24" s="85"/>
      <c r="BT24" s="85"/>
      <c r="BU24" s="85"/>
      <c r="BV24" s="86">
        <v>0.15132499999999999</v>
      </c>
    </row>
    <row r="25" spans="2:74" x14ac:dyDescent="0.2">
      <c r="B25" s="58"/>
      <c r="C25" s="59"/>
      <c r="D25" s="52">
        <f>POWER((MIN(MAX(C25-0.5,0),7)/7),0.45)</f>
        <v>0</v>
      </c>
      <c r="E25" s="53"/>
      <c r="F25" s="54">
        <f>POWER((MIN(MAX(E25+6.5,7),15.25)/14),0.6)</f>
        <v>0.6597539553864471</v>
      </c>
      <c r="G25" s="53"/>
      <c r="H25" s="53"/>
      <c r="I25" s="53"/>
      <c r="J25" s="53"/>
      <c r="K25" s="53"/>
      <c r="L25" s="53"/>
      <c r="M25" s="53"/>
      <c r="N25" s="55">
        <f>POWER(MAX(M25-0.5,0),0.5)*0.0716+1</f>
        <v>1</v>
      </c>
      <c r="P25" s="87"/>
      <c r="Q25" s="88"/>
      <c r="R25" s="88"/>
      <c r="S25" s="88"/>
      <c r="T25" s="88"/>
      <c r="U25" s="88"/>
      <c r="V25" s="88"/>
      <c r="W25" s="88"/>
      <c r="X25" s="88"/>
      <c r="Y25" s="88"/>
      <c r="Z25" s="89" t="s">
        <v>214</v>
      </c>
      <c r="AB25" s="87"/>
      <c r="AC25" s="90"/>
      <c r="AD25" s="90"/>
      <c r="AE25" s="90"/>
      <c r="AF25" s="90"/>
      <c r="AG25" s="90"/>
      <c r="AH25" s="90"/>
      <c r="AI25" s="90"/>
      <c r="AJ25" s="90"/>
      <c r="AK25" s="90"/>
      <c r="AL25" s="90"/>
    </row>
    <row r="26" spans="2:74" x14ac:dyDescent="0.2">
      <c r="B26" s="58"/>
      <c r="C26" s="59"/>
      <c r="D26" s="52">
        <f t="shared" ref="D26:D28" si="6">POWER((MIN(MAX(C26-0.5,0),7)/7),0.45)</f>
        <v>0</v>
      </c>
      <c r="E26" s="53"/>
      <c r="F26" s="54">
        <f t="shared" ref="F26:F28" si="7">POWER((MIN(MAX(E26+6.5,7),15.25)/14),0.6)</f>
        <v>0.6597539553864471</v>
      </c>
      <c r="G26" s="53"/>
      <c r="H26" s="53"/>
      <c r="I26" s="53"/>
      <c r="J26" s="53"/>
      <c r="K26" s="53"/>
      <c r="L26" s="53"/>
      <c r="M26" s="53"/>
      <c r="N26" s="55">
        <f t="shared" ref="N26:N28" si="8">POWER(MAX(M26-0.5,0),0.5)*0.0716+1</f>
        <v>1</v>
      </c>
      <c r="P26" s="91"/>
      <c r="Q26" s="92"/>
      <c r="R26" s="88"/>
      <c r="S26" s="88"/>
      <c r="T26" s="88"/>
      <c r="U26" s="88"/>
      <c r="V26" s="88"/>
      <c r="W26" s="88"/>
      <c r="X26" s="88"/>
      <c r="Y26" s="88"/>
      <c r="Z26" s="89"/>
      <c r="AB26" s="87"/>
      <c r="AC26" s="90"/>
      <c r="AD26" s="90"/>
      <c r="AE26" s="90"/>
      <c r="AF26" s="90"/>
      <c r="AG26" s="90"/>
      <c r="AH26" s="90"/>
      <c r="AI26" s="90"/>
      <c r="AJ26" s="90"/>
      <c r="AK26" s="90"/>
      <c r="AL26" s="90"/>
    </row>
    <row r="27" spans="2:74" x14ac:dyDescent="0.2">
      <c r="B27" s="58"/>
      <c r="C27" s="59"/>
      <c r="D27" s="52">
        <f t="shared" si="6"/>
        <v>0</v>
      </c>
      <c r="E27" s="53"/>
      <c r="F27" s="54">
        <f t="shared" si="7"/>
        <v>0.6597539553864471</v>
      </c>
      <c r="G27" s="53"/>
      <c r="H27" s="53"/>
      <c r="I27" s="53"/>
      <c r="J27" s="53"/>
      <c r="K27" s="53"/>
      <c r="L27" s="53"/>
      <c r="M27" s="53"/>
      <c r="N27" s="55">
        <f t="shared" si="8"/>
        <v>1</v>
      </c>
      <c r="P27" s="91"/>
      <c r="Q27" s="88"/>
      <c r="R27" s="88"/>
      <c r="S27" s="88"/>
      <c r="T27" s="88"/>
      <c r="U27" s="88"/>
      <c r="V27" s="88"/>
      <c r="W27" s="88"/>
      <c r="X27" s="88"/>
      <c r="Y27" s="88"/>
      <c r="Z27" s="89"/>
      <c r="AB27" s="87"/>
      <c r="AC27" s="90"/>
      <c r="AD27" s="90"/>
      <c r="AE27" s="90"/>
      <c r="AF27" s="90"/>
      <c r="AG27" s="90"/>
      <c r="AH27" s="90"/>
      <c r="AI27" s="90"/>
      <c r="AJ27" s="90"/>
      <c r="AK27" s="90"/>
      <c r="AL27" s="90"/>
    </row>
    <row r="28" spans="2:74" x14ac:dyDescent="0.2">
      <c r="B28" s="58"/>
      <c r="C28" s="59"/>
      <c r="D28" s="52">
        <f t="shared" si="6"/>
        <v>0</v>
      </c>
      <c r="E28" s="53"/>
      <c r="F28" s="54">
        <f t="shared" si="7"/>
        <v>0.6597539553864471</v>
      </c>
      <c r="G28" s="53"/>
      <c r="H28" s="53"/>
      <c r="I28" s="53"/>
      <c r="J28" s="53"/>
      <c r="K28" s="53"/>
      <c r="L28" s="53"/>
      <c r="M28" s="53"/>
      <c r="N28" s="55">
        <f t="shared" si="8"/>
        <v>1</v>
      </c>
      <c r="P28" s="91"/>
      <c r="Q28" s="88"/>
      <c r="R28" s="88"/>
      <c r="S28" s="88"/>
      <c r="T28" s="88"/>
      <c r="U28" s="88"/>
      <c r="V28" s="88"/>
      <c r="W28" s="88"/>
      <c r="X28" s="88"/>
      <c r="Y28" s="88"/>
      <c r="Z28" s="89"/>
      <c r="AB28" s="87"/>
      <c r="AC28" s="90"/>
      <c r="AD28" s="90"/>
      <c r="AE28" s="90"/>
      <c r="AF28" s="90"/>
      <c r="AG28" s="90"/>
      <c r="AH28" s="90"/>
      <c r="AI28" s="90"/>
      <c r="AJ28" s="90"/>
      <c r="AK28" s="90"/>
      <c r="AL28" s="90"/>
    </row>
    <row r="29" spans="2:74" x14ac:dyDescent="0.2">
      <c r="B29" s="58"/>
      <c r="C29" s="59"/>
      <c r="D29" s="52">
        <f t="shared" si="1"/>
        <v>0</v>
      </c>
      <c r="E29" s="53"/>
      <c r="F29" s="54">
        <f t="shared" si="2"/>
        <v>0.6597539553864471</v>
      </c>
      <c r="G29" s="53"/>
      <c r="H29" s="53"/>
      <c r="I29" s="53"/>
      <c r="J29" s="53"/>
      <c r="K29" s="53"/>
      <c r="L29" s="53"/>
      <c r="M29" s="53"/>
      <c r="N29" s="55">
        <f t="shared" si="0"/>
        <v>1</v>
      </c>
      <c r="P29" s="91"/>
      <c r="Q29" s="88"/>
      <c r="R29" s="88"/>
      <c r="S29" s="88"/>
      <c r="T29" s="88"/>
      <c r="U29" s="88"/>
      <c r="V29" s="88"/>
      <c r="W29" s="88"/>
      <c r="X29" s="88"/>
      <c r="Y29" s="88"/>
      <c r="Z29" s="89"/>
      <c r="AB29" s="87"/>
      <c r="AC29" s="90"/>
      <c r="AD29" s="90"/>
      <c r="AE29" s="90"/>
      <c r="AF29" s="90"/>
      <c r="AG29" s="90"/>
      <c r="AH29" s="90"/>
      <c r="AI29" s="90"/>
      <c r="AJ29" s="90"/>
      <c r="AK29" s="90"/>
      <c r="AL29" s="90"/>
    </row>
    <row r="30" spans="2:74" x14ac:dyDescent="0.2">
      <c r="B30" s="58"/>
      <c r="C30" s="59"/>
      <c r="D30" s="52">
        <f t="shared" si="1"/>
        <v>0</v>
      </c>
      <c r="E30" s="53"/>
      <c r="F30" s="54">
        <f t="shared" si="2"/>
        <v>0.6597539553864471</v>
      </c>
      <c r="G30" s="53"/>
      <c r="H30" s="53"/>
      <c r="I30" s="53"/>
      <c r="J30" s="53"/>
      <c r="K30" s="53"/>
      <c r="L30" s="53"/>
      <c r="M30" s="53"/>
      <c r="N30" s="55">
        <f t="shared" si="0"/>
        <v>1</v>
      </c>
      <c r="P30" s="91"/>
      <c r="Q30" s="88"/>
      <c r="R30" s="88"/>
      <c r="S30" s="88"/>
      <c r="T30" s="88"/>
      <c r="U30" s="88"/>
      <c r="V30" s="88"/>
      <c r="W30" s="88"/>
      <c r="X30" s="88"/>
      <c r="Y30" s="88"/>
      <c r="Z30" s="89"/>
      <c r="AB30" s="87"/>
      <c r="AC30" s="90"/>
      <c r="AD30" s="90"/>
      <c r="AE30" s="90"/>
      <c r="AF30" s="90"/>
      <c r="AG30" s="90"/>
      <c r="AH30" s="90"/>
      <c r="AI30" s="90"/>
      <c r="AJ30" s="90"/>
      <c r="AK30" s="90"/>
      <c r="AL30" s="90"/>
    </row>
    <row r="31" spans="2:74" x14ac:dyDescent="0.2">
      <c r="B31" s="58"/>
      <c r="C31" s="59"/>
      <c r="D31" s="52">
        <f t="shared" si="1"/>
        <v>0</v>
      </c>
      <c r="E31" s="53"/>
      <c r="F31" s="54">
        <f t="shared" si="2"/>
        <v>0.6597539553864471</v>
      </c>
      <c r="G31" s="53"/>
      <c r="H31" s="53"/>
      <c r="I31" s="53"/>
      <c r="J31" s="53"/>
      <c r="K31" s="53"/>
      <c r="L31" s="53"/>
      <c r="M31" s="53"/>
      <c r="N31" s="55">
        <f t="shared" si="0"/>
        <v>1</v>
      </c>
      <c r="P31" s="91"/>
      <c r="Q31" s="88"/>
      <c r="R31" s="88"/>
      <c r="S31" s="88"/>
      <c r="T31" s="88"/>
      <c r="U31" s="88"/>
      <c r="V31" s="88"/>
      <c r="W31" s="88"/>
      <c r="X31" s="88"/>
      <c r="Y31" s="88"/>
      <c r="Z31" s="89"/>
      <c r="AB31" s="87"/>
      <c r="AC31" s="90"/>
      <c r="AD31" s="90"/>
      <c r="AE31" s="90"/>
      <c r="AF31" s="90"/>
      <c r="AG31" s="90"/>
      <c r="AH31" s="90"/>
      <c r="AI31" s="90"/>
      <c r="AJ31" s="90"/>
      <c r="AK31" s="90"/>
      <c r="AL31" s="90"/>
    </row>
    <row r="32" spans="2:74" x14ac:dyDescent="0.2">
      <c r="B32" s="58"/>
      <c r="C32" s="59"/>
      <c r="D32" s="52">
        <f t="shared" si="1"/>
        <v>0</v>
      </c>
      <c r="E32" s="53"/>
      <c r="F32" s="54">
        <f t="shared" si="2"/>
        <v>0.6597539553864471</v>
      </c>
      <c r="G32" s="53"/>
      <c r="H32" s="53"/>
      <c r="I32" s="53"/>
      <c r="J32" s="53"/>
      <c r="K32" s="53"/>
      <c r="L32" s="53"/>
      <c r="M32" s="53"/>
      <c r="N32" s="55">
        <f t="shared" si="0"/>
        <v>1</v>
      </c>
      <c r="P32" s="91"/>
      <c r="Q32" s="88"/>
      <c r="R32" s="88"/>
      <c r="S32" s="88"/>
      <c r="T32" s="88"/>
      <c r="U32" s="88"/>
      <c r="V32" s="88"/>
      <c r="W32" s="88"/>
      <c r="X32" s="88"/>
      <c r="Y32" s="88"/>
      <c r="Z32" s="89"/>
      <c r="AB32" s="87"/>
      <c r="AC32" s="90"/>
      <c r="AD32" s="90"/>
      <c r="AE32" s="90"/>
      <c r="AF32" s="90"/>
      <c r="AG32" s="90"/>
      <c r="AH32" s="90"/>
      <c r="AI32" s="90"/>
      <c r="AJ32" s="90"/>
      <c r="AK32" s="90"/>
      <c r="AL32" s="90"/>
    </row>
    <row r="33" spans="2:38" x14ac:dyDescent="0.2">
      <c r="B33" s="58"/>
      <c r="C33" s="59"/>
      <c r="D33" s="52">
        <f t="shared" si="1"/>
        <v>0</v>
      </c>
      <c r="E33" s="53"/>
      <c r="F33" s="54">
        <f t="shared" si="2"/>
        <v>0.6597539553864471</v>
      </c>
      <c r="G33" s="53"/>
      <c r="H33" s="53"/>
      <c r="I33" s="53"/>
      <c r="J33" s="53"/>
      <c r="K33" s="53"/>
      <c r="L33" s="53"/>
      <c r="M33" s="53"/>
      <c r="N33" s="55">
        <f t="shared" si="0"/>
        <v>1</v>
      </c>
      <c r="P33" s="91"/>
      <c r="Q33" s="88"/>
      <c r="R33" s="88"/>
      <c r="S33" s="88"/>
      <c r="T33" s="88"/>
      <c r="U33" s="88"/>
      <c r="V33" s="88"/>
      <c r="W33" s="88"/>
      <c r="X33" s="88"/>
      <c r="Y33" s="88"/>
      <c r="Z33" s="89"/>
      <c r="AB33" s="87"/>
      <c r="AC33" s="90"/>
      <c r="AD33" s="90"/>
      <c r="AE33" s="90"/>
      <c r="AF33" s="90"/>
      <c r="AG33" s="90"/>
      <c r="AH33" s="90"/>
      <c r="AI33" s="90"/>
      <c r="AJ33" s="90"/>
      <c r="AK33" s="90"/>
      <c r="AL33" s="90"/>
    </row>
    <row r="34" spans="2:38" x14ac:dyDescent="0.2">
      <c r="B34" s="58"/>
      <c r="C34" s="59"/>
      <c r="D34" s="52">
        <f t="shared" si="1"/>
        <v>0</v>
      </c>
      <c r="E34" s="53"/>
      <c r="F34" s="54">
        <f t="shared" si="2"/>
        <v>0.6597539553864471</v>
      </c>
      <c r="G34" s="53"/>
      <c r="H34" s="53"/>
      <c r="I34" s="53"/>
      <c r="J34" s="53"/>
      <c r="K34" s="53"/>
      <c r="L34" s="53"/>
      <c r="M34" s="53"/>
      <c r="N34" s="55">
        <f t="shared" si="0"/>
        <v>1</v>
      </c>
      <c r="P34" s="91"/>
      <c r="Q34" s="88"/>
      <c r="R34" s="88"/>
      <c r="S34" s="88"/>
      <c r="T34" s="88"/>
      <c r="U34" s="88"/>
      <c r="V34" s="88"/>
      <c r="W34" s="88"/>
      <c r="X34" s="88"/>
      <c r="Y34" s="88"/>
      <c r="Z34" s="89"/>
      <c r="AB34" s="87"/>
      <c r="AC34" s="90"/>
      <c r="AD34" s="90"/>
      <c r="AE34" s="90"/>
      <c r="AF34" s="90"/>
      <c r="AG34" s="90"/>
      <c r="AH34" s="90"/>
      <c r="AI34" s="90"/>
      <c r="AJ34" s="90"/>
      <c r="AK34" s="90"/>
      <c r="AL34" s="90"/>
    </row>
    <row r="35" spans="2:38" x14ac:dyDescent="0.2">
      <c r="B35" s="58"/>
      <c r="C35" s="59"/>
      <c r="D35" s="52">
        <f t="shared" si="1"/>
        <v>0</v>
      </c>
      <c r="E35" s="53"/>
      <c r="F35" s="54">
        <f t="shared" si="2"/>
        <v>0.6597539553864471</v>
      </c>
      <c r="G35" s="53"/>
      <c r="H35" s="53"/>
      <c r="I35" s="53"/>
      <c r="J35" s="53"/>
      <c r="K35" s="53"/>
      <c r="L35" s="53"/>
      <c r="M35" s="53"/>
      <c r="N35" s="55">
        <f t="shared" si="0"/>
        <v>1</v>
      </c>
      <c r="P35" s="91"/>
      <c r="Q35" s="88"/>
      <c r="R35" s="88"/>
      <c r="S35" s="88"/>
      <c r="T35" s="88"/>
      <c r="U35" s="88"/>
      <c r="V35" s="88"/>
      <c r="W35" s="88"/>
      <c r="X35" s="88"/>
      <c r="Y35" s="88"/>
      <c r="Z35" s="89"/>
      <c r="AB35" s="87"/>
      <c r="AC35" s="90"/>
      <c r="AD35" s="90"/>
      <c r="AE35" s="90"/>
      <c r="AF35" s="90"/>
      <c r="AG35" s="90"/>
      <c r="AH35" s="90"/>
      <c r="AI35" s="90"/>
      <c r="AJ35" s="90"/>
      <c r="AK35" s="90"/>
      <c r="AL35" s="90"/>
    </row>
    <row r="36" spans="2:38" x14ac:dyDescent="0.2">
      <c r="B36" s="58"/>
      <c r="C36" s="59"/>
      <c r="D36" s="52">
        <f t="shared" si="1"/>
        <v>0</v>
      </c>
      <c r="E36" s="53"/>
      <c r="F36" s="54">
        <f t="shared" si="2"/>
        <v>0.6597539553864471</v>
      </c>
      <c r="G36" s="53"/>
      <c r="H36" s="53"/>
      <c r="I36" s="53"/>
      <c r="J36" s="53"/>
      <c r="K36" s="53"/>
      <c r="L36" s="53"/>
      <c r="M36" s="53"/>
      <c r="N36" s="55">
        <f t="shared" si="0"/>
        <v>1</v>
      </c>
      <c r="P36" s="91"/>
      <c r="Q36" s="88"/>
      <c r="R36" s="88"/>
      <c r="S36" s="88"/>
      <c r="T36" s="88"/>
      <c r="U36" s="88"/>
      <c r="V36" s="88"/>
      <c r="W36" s="88"/>
      <c r="X36" s="88"/>
      <c r="Y36" s="88"/>
      <c r="Z36" s="89"/>
      <c r="AB36" s="87"/>
      <c r="AC36" s="90"/>
      <c r="AD36" s="90"/>
      <c r="AE36" s="90"/>
      <c r="AF36" s="90"/>
      <c r="AG36" s="90"/>
      <c r="AH36" s="90"/>
      <c r="AI36" s="90"/>
      <c r="AJ36" s="90"/>
      <c r="AK36" s="90"/>
      <c r="AL36" s="90"/>
    </row>
    <row r="37" spans="2:38" x14ac:dyDescent="0.2">
      <c r="B37" s="58"/>
      <c r="C37" s="59"/>
      <c r="D37" s="52">
        <f t="shared" si="1"/>
        <v>0</v>
      </c>
      <c r="E37" s="53"/>
      <c r="F37" s="54">
        <f t="shared" si="2"/>
        <v>0.6597539553864471</v>
      </c>
      <c r="G37" s="53"/>
      <c r="H37" s="53"/>
      <c r="I37" s="53"/>
      <c r="J37" s="53"/>
      <c r="K37" s="53"/>
      <c r="L37" s="53"/>
      <c r="M37" s="53"/>
      <c r="N37" s="55">
        <f t="shared" si="0"/>
        <v>1</v>
      </c>
      <c r="P37" s="91"/>
      <c r="Q37" s="88"/>
      <c r="R37" s="88"/>
      <c r="S37" s="88"/>
      <c r="T37" s="88"/>
      <c r="U37" s="88"/>
      <c r="V37" s="88"/>
      <c r="W37" s="88"/>
      <c r="X37" s="88"/>
      <c r="Y37" s="88"/>
      <c r="Z37" s="89"/>
      <c r="AB37" s="87"/>
      <c r="AC37" s="90"/>
      <c r="AD37" s="90"/>
      <c r="AE37" s="90"/>
      <c r="AF37" s="90"/>
      <c r="AG37" s="90"/>
      <c r="AH37" s="90"/>
      <c r="AI37" s="90"/>
      <c r="AJ37" s="90"/>
      <c r="AK37" s="90"/>
      <c r="AL37" s="90"/>
    </row>
    <row r="38" spans="2:38" x14ac:dyDescent="0.2">
      <c r="B38" s="58"/>
      <c r="C38" s="59"/>
      <c r="D38" s="52">
        <f t="shared" si="1"/>
        <v>0</v>
      </c>
      <c r="E38" s="53"/>
      <c r="F38" s="54">
        <f t="shared" si="2"/>
        <v>0.6597539553864471</v>
      </c>
      <c r="G38" s="53"/>
      <c r="H38" s="53"/>
      <c r="I38" s="53"/>
      <c r="J38" s="53"/>
      <c r="K38" s="53"/>
      <c r="L38" s="53"/>
      <c r="M38" s="53"/>
      <c r="N38" s="55">
        <f t="shared" si="0"/>
        <v>1</v>
      </c>
      <c r="P38" s="91"/>
      <c r="Q38" s="88"/>
      <c r="R38" s="88"/>
      <c r="S38" s="88"/>
      <c r="T38" s="88"/>
      <c r="U38" s="88"/>
      <c r="V38" s="88"/>
      <c r="W38" s="88"/>
      <c r="X38" s="88"/>
      <c r="Y38" s="88"/>
      <c r="Z38" s="89"/>
      <c r="AB38" s="87"/>
      <c r="AC38" s="90"/>
      <c r="AD38" s="90"/>
      <c r="AE38" s="90"/>
      <c r="AF38" s="90"/>
      <c r="AG38" s="90"/>
      <c r="AH38" s="90"/>
      <c r="AI38" s="90"/>
      <c r="AJ38" s="90"/>
      <c r="AK38" s="90"/>
      <c r="AL38" s="90"/>
    </row>
    <row r="39" spans="2:38" x14ac:dyDescent="0.2">
      <c r="B39" s="58"/>
      <c r="C39" s="59"/>
      <c r="D39" s="52">
        <f t="shared" si="1"/>
        <v>0</v>
      </c>
      <c r="E39" s="53"/>
      <c r="F39" s="54">
        <f t="shared" si="2"/>
        <v>0.6597539553864471</v>
      </c>
      <c r="G39" s="53"/>
      <c r="H39" s="53"/>
      <c r="I39" s="53"/>
      <c r="J39" s="53"/>
      <c r="K39" s="53"/>
      <c r="L39" s="53"/>
      <c r="M39" s="53"/>
      <c r="N39" s="55">
        <f t="shared" si="0"/>
        <v>1</v>
      </c>
      <c r="P39" s="91"/>
      <c r="Q39" s="88"/>
      <c r="R39" s="88"/>
      <c r="S39" s="88"/>
      <c r="T39" s="88"/>
      <c r="U39" s="88"/>
      <c r="V39" s="88"/>
      <c r="W39" s="88"/>
      <c r="X39" s="88"/>
      <c r="Y39" s="88"/>
      <c r="Z39" s="89"/>
      <c r="AB39" s="87"/>
      <c r="AC39" s="90"/>
      <c r="AD39" s="90"/>
      <c r="AE39" s="90"/>
      <c r="AF39" s="90"/>
      <c r="AG39" s="90"/>
      <c r="AH39" s="90"/>
      <c r="AI39" s="90"/>
      <c r="AJ39" s="90"/>
      <c r="AK39" s="90"/>
      <c r="AL39" s="90"/>
    </row>
    <row r="40" spans="2:38" x14ac:dyDescent="0.2">
      <c r="B40" s="58"/>
      <c r="C40" s="59"/>
      <c r="D40" s="52">
        <f t="shared" si="1"/>
        <v>0</v>
      </c>
      <c r="E40" s="53"/>
      <c r="F40" s="54">
        <f t="shared" si="2"/>
        <v>0.6597539553864471</v>
      </c>
      <c r="G40" s="53"/>
      <c r="H40" s="53"/>
      <c r="I40" s="53"/>
      <c r="J40" s="53"/>
      <c r="K40" s="53"/>
      <c r="L40" s="53"/>
      <c r="M40" s="53"/>
      <c r="N40" s="55">
        <f t="shared" si="0"/>
        <v>1</v>
      </c>
      <c r="P40" s="91"/>
      <c r="Q40" s="88"/>
      <c r="R40" s="88"/>
      <c r="S40" s="88"/>
      <c r="T40" s="88"/>
      <c r="U40" s="88"/>
      <c r="V40" s="88"/>
      <c r="W40" s="88"/>
      <c r="X40" s="88"/>
      <c r="Y40" s="88"/>
      <c r="Z40" s="89"/>
      <c r="AB40" s="87"/>
      <c r="AC40" s="90"/>
      <c r="AD40" s="90"/>
      <c r="AE40" s="90"/>
      <c r="AF40" s="90"/>
      <c r="AG40" s="90"/>
      <c r="AH40" s="90"/>
      <c r="AI40" s="90"/>
      <c r="AJ40" s="90"/>
      <c r="AK40" s="90"/>
      <c r="AL40" s="90"/>
    </row>
    <row r="41" spans="2:38" x14ac:dyDescent="0.2">
      <c r="B41" s="58"/>
      <c r="C41" s="59"/>
      <c r="D41" s="52">
        <f t="shared" si="1"/>
        <v>0</v>
      </c>
      <c r="E41" s="53"/>
      <c r="F41" s="54">
        <f t="shared" si="2"/>
        <v>0.6597539553864471</v>
      </c>
      <c r="G41" s="53"/>
      <c r="H41" s="53"/>
      <c r="I41" s="53"/>
      <c r="J41" s="53"/>
      <c r="K41" s="53"/>
      <c r="L41" s="53"/>
      <c r="M41" s="53"/>
      <c r="N41" s="55">
        <f t="shared" si="0"/>
        <v>1</v>
      </c>
      <c r="P41" s="91"/>
      <c r="Q41" s="88"/>
      <c r="R41" s="88"/>
      <c r="S41" s="88"/>
      <c r="T41" s="88"/>
      <c r="U41" s="88"/>
      <c r="V41" s="88"/>
      <c r="W41" s="88"/>
      <c r="X41" s="88"/>
      <c r="Y41" s="88"/>
      <c r="Z41" s="89"/>
      <c r="AB41" s="87"/>
      <c r="AC41" s="90"/>
      <c r="AD41" s="90"/>
      <c r="AE41" s="90"/>
      <c r="AF41" s="90"/>
      <c r="AG41" s="90"/>
      <c r="AH41" s="90"/>
      <c r="AI41" s="90"/>
      <c r="AJ41" s="90"/>
      <c r="AK41" s="90"/>
      <c r="AL41" s="90"/>
    </row>
    <row r="42" spans="2:38" x14ac:dyDescent="0.2">
      <c r="B42" s="58"/>
      <c r="C42" s="59"/>
      <c r="D42" s="52">
        <f t="shared" si="1"/>
        <v>0</v>
      </c>
      <c r="E42" s="53"/>
      <c r="F42" s="54">
        <f t="shared" si="2"/>
        <v>0.6597539553864471</v>
      </c>
      <c r="G42" s="53"/>
      <c r="H42" s="53"/>
      <c r="I42" s="53"/>
      <c r="J42" s="53"/>
      <c r="K42" s="53"/>
      <c r="L42" s="53"/>
      <c r="M42" s="53"/>
      <c r="N42" s="55">
        <f t="shared" si="0"/>
        <v>1</v>
      </c>
      <c r="P42" s="91"/>
      <c r="Q42" s="88"/>
      <c r="R42" s="88"/>
      <c r="S42" s="88"/>
      <c r="T42" s="88"/>
      <c r="U42" s="88"/>
      <c r="V42" s="88"/>
      <c r="W42" s="88"/>
      <c r="X42" s="88"/>
      <c r="Y42" s="88"/>
      <c r="Z42" s="89"/>
      <c r="AB42" s="87"/>
      <c r="AC42" s="90"/>
      <c r="AD42" s="90"/>
      <c r="AE42" s="90"/>
      <c r="AF42" s="90"/>
      <c r="AG42" s="90"/>
      <c r="AH42" s="90"/>
      <c r="AI42" s="90"/>
      <c r="AJ42" s="90"/>
      <c r="AK42" s="90"/>
      <c r="AL42" s="90"/>
    </row>
    <row r="43" spans="2:38" x14ac:dyDescent="0.2">
      <c r="B43" s="58"/>
      <c r="C43" s="59"/>
      <c r="D43" s="52">
        <f t="shared" si="1"/>
        <v>0</v>
      </c>
      <c r="E43" s="53"/>
      <c r="F43" s="54">
        <f t="shared" si="2"/>
        <v>0.6597539553864471</v>
      </c>
      <c r="G43" s="53"/>
      <c r="H43" s="53"/>
      <c r="I43" s="53"/>
      <c r="J43" s="53"/>
      <c r="K43" s="53"/>
      <c r="L43" s="53"/>
      <c r="M43" s="53"/>
      <c r="N43" s="55">
        <f t="shared" si="0"/>
        <v>1</v>
      </c>
      <c r="P43" s="91"/>
      <c r="Q43" s="88"/>
      <c r="R43" s="88"/>
      <c r="S43" s="88"/>
      <c r="T43" s="88"/>
      <c r="U43" s="88"/>
      <c r="V43" s="88"/>
      <c r="W43" s="88"/>
      <c r="X43" s="88"/>
      <c r="Y43" s="88"/>
      <c r="Z43" s="89"/>
      <c r="AB43" s="87"/>
      <c r="AC43" s="90"/>
      <c r="AD43" s="90"/>
      <c r="AE43" s="90"/>
      <c r="AF43" s="90"/>
      <c r="AG43" s="90"/>
      <c r="AH43" s="90"/>
      <c r="AI43" s="90"/>
      <c r="AJ43" s="90"/>
      <c r="AK43" s="90"/>
      <c r="AL43" s="90"/>
    </row>
    <row r="44" spans="2:38" x14ac:dyDescent="0.2">
      <c r="B44" s="58"/>
      <c r="C44" s="59"/>
      <c r="D44" s="52">
        <f t="shared" si="1"/>
        <v>0</v>
      </c>
      <c r="E44" s="53"/>
      <c r="F44" s="54">
        <f t="shared" si="2"/>
        <v>0.6597539553864471</v>
      </c>
      <c r="G44" s="53"/>
      <c r="H44" s="53"/>
      <c r="I44" s="53"/>
      <c r="J44" s="53"/>
      <c r="K44" s="53"/>
      <c r="L44" s="53"/>
      <c r="M44" s="53"/>
      <c r="N44" s="55">
        <f t="shared" si="0"/>
        <v>1</v>
      </c>
      <c r="P44" s="91"/>
      <c r="Z44" s="87"/>
      <c r="AI44" s="87"/>
    </row>
    <row r="45" spans="2:38" x14ac:dyDescent="0.2">
      <c r="B45" s="58"/>
      <c r="C45" s="59"/>
      <c r="D45" s="52">
        <f t="shared" si="1"/>
        <v>0</v>
      </c>
      <c r="E45" s="53"/>
      <c r="F45" s="54">
        <f t="shared" si="2"/>
        <v>0.6597539553864471</v>
      </c>
      <c r="G45" s="53"/>
      <c r="H45" s="53"/>
      <c r="I45" s="53"/>
      <c r="J45" s="53"/>
      <c r="K45" s="53"/>
      <c r="L45" s="53"/>
      <c r="M45" s="53"/>
      <c r="N45" s="55">
        <f t="shared" si="0"/>
        <v>1</v>
      </c>
      <c r="P45" s="91"/>
      <c r="S45" s="93" t="s">
        <v>53</v>
      </c>
      <c r="T45" s="11"/>
      <c r="U45" s="94"/>
      <c r="V45" s="94"/>
      <c r="W45" s="93" t="s">
        <v>54</v>
      </c>
      <c r="X45" s="11"/>
      <c r="Y45" s="94"/>
      <c r="Z45" s="93" t="s">
        <v>55</v>
      </c>
      <c r="AA45" s="10"/>
      <c r="AB45" s="11"/>
      <c r="AD45" s="94"/>
      <c r="AE45" s="94"/>
      <c r="AF45" s="94"/>
      <c r="AG45" s="94"/>
      <c r="AH45" s="94"/>
    </row>
    <row r="46" spans="2:38" x14ac:dyDescent="0.2">
      <c r="B46" s="58"/>
      <c r="C46" s="59"/>
      <c r="D46" s="52">
        <f t="shared" si="1"/>
        <v>0</v>
      </c>
      <c r="E46" s="53"/>
      <c r="F46" s="54">
        <f t="shared" si="2"/>
        <v>0.6597539553864471</v>
      </c>
      <c r="G46" s="53"/>
      <c r="H46" s="53"/>
      <c r="I46" s="53"/>
      <c r="J46" s="53"/>
      <c r="K46" s="53"/>
      <c r="L46" s="53"/>
      <c r="M46" s="53"/>
      <c r="N46" s="55">
        <f t="shared" si="0"/>
        <v>1</v>
      </c>
      <c r="P46" s="91"/>
      <c r="S46" s="95" t="s">
        <v>56</v>
      </c>
      <c r="T46" s="96">
        <f t="shared" ref="T46:T54" si="9">T47+0.05</f>
        <v>1.4500000000000004</v>
      </c>
      <c r="U46" s="94"/>
      <c r="V46" s="94"/>
      <c r="W46" s="97">
        <v>10</v>
      </c>
      <c r="X46" s="98">
        <f>((W46-0.5)*$X$87)^0.417779</f>
        <v>1.307547277118428</v>
      </c>
      <c r="Y46" s="94"/>
      <c r="Z46" s="95">
        <v>0</v>
      </c>
      <c r="AA46" s="3" t="s">
        <v>57</v>
      </c>
      <c r="AB46" s="99" t="s">
        <v>58</v>
      </c>
      <c r="AD46" s="94"/>
      <c r="AE46" s="94"/>
      <c r="AF46" s="94"/>
      <c r="AG46" s="94"/>
      <c r="AH46" s="94"/>
    </row>
    <row r="47" spans="2:38" x14ac:dyDescent="0.2">
      <c r="B47" s="58"/>
      <c r="C47" s="59"/>
      <c r="D47" s="52">
        <f t="shared" si="1"/>
        <v>0</v>
      </c>
      <c r="E47" s="53"/>
      <c r="F47" s="54">
        <f t="shared" si="2"/>
        <v>0.6597539553864471</v>
      </c>
      <c r="G47" s="53"/>
      <c r="H47" s="53"/>
      <c r="I47" s="53"/>
      <c r="J47" s="53"/>
      <c r="K47" s="53"/>
      <c r="L47" s="53"/>
      <c r="M47" s="53"/>
      <c r="N47" s="55">
        <f t="shared" si="0"/>
        <v>1</v>
      </c>
      <c r="P47" s="91"/>
      <c r="S47" s="95" t="s">
        <v>59</v>
      </c>
      <c r="T47" s="96">
        <f t="shared" si="9"/>
        <v>1.4000000000000004</v>
      </c>
      <c r="U47" s="94"/>
      <c r="V47" s="94"/>
      <c r="W47" s="97">
        <v>9.75</v>
      </c>
      <c r="X47" s="98">
        <f t="shared" ref="X47:X82" si="10">((W47-0.5)*$X$87)^0.417779</f>
        <v>1.2930601793320216</v>
      </c>
      <c r="Y47" s="94"/>
      <c r="Z47" s="95">
        <v>1</v>
      </c>
      <c r="AA47" s="3" t="s">
        <v>57</v>
      </c>
      <c r="AB47" s="99" t="s">
        <v>60</v>
      </c>
      <c r="AD47" s="94"/>
      <c r="AE47" s="94"/>
      <c r="AF47" s="94"/>
      <c r="AG47" s="94"/>
      <c r="AH47" s="94"/>
    </row>
    <row r="48" spans="2:38" x14ac:dyDescent="0.2">
      <c r="B48" s="58"/>
      <c r="C48" s="59"/>
      <c r="D48" s="52">
        <f>POWER((MIN(MAX(C48-0.5,0),7)/7),0.45)</f>
        <v>0</v>
      </c>
      <c r="E48" s="53"/>
      <c r="F48" s="54">
        <f>POWER((MIN(MAX(E48+6.5,7),15.25)/14),0.6)</f>
        <v>0.6597539553864471</v>
      </c>
      <c r="G48" s="53"/>
      <c r="H48" s="53"/>
      <c r="I48" s="53"/>
      <c r="J48" s="53"/>
      <c r="K48" s="53"/>
      <c r="L48" s="53"/>
      <c r="M48" s="53"/>
      <c r="N48" s="55">
        <f>POWER(MAX(M48-0.5,0),0.5)*0.0716+1</f>
        <v>1</v>
      </c>
      <c r="P48" s="91"/>
      <c r="S48" s="95" t="s">
        <v>61</v>
      </c>
      <c r="T48" s="96">
        <f t="shared" si="9"/>
        <v>1.3500000000000003</v>
      </c>
      <c r="U48" s="94"/>
      <c r="V48" s="94"/>
      <c r="W48" s="97">
        <v>9.5</v>
      </c>
      <c r="X48" s="98">
        <f t="shared" si="10"/>
        <v>1.2783432774311771</v>
      </c>
      <c r="Y48" s="94"/>
      <c r="Z48" s="95">
        <v>2</v>
      </c>
      <c r="AA48" s="3" t="s">
        <v>57</v>
      </c>
      <c r="AB48" s="99" t="s">
        <v>62</v>
      </c>
      <c r="AD48" s="94"/>
      <c r="AE48" s="94"/>
      <c r="AF48" s="94"/>
      <c r="AG48" s="94"/>
      <c r="AH48" s="94"/>
    </row>
    <row r="49" spans="2:34" x14ac:dyDescent="0.2">
      <c r="B49" s="58"/>
      <c r="C49" s="59"/>
      <c r="D49" s="52">
        <f>POWER((MIN(MAX(C49-0.5,0),7)/7),0.45)</f>
        <v>0</v>
      </c>
      <c r="E49" s="53"/>
      <c r="F49" s="54">
        <f>POWER((MIN(MAX(E49+6.5,7),15.25)/14),0.6)</f>
        <v>0.6597539553864471</v>
      </c>
      <c r="G49" s="53"/>
      <c r="H49" s="53"/>
      <c r="I49" s="53"/>
      <c r="J49" s="53"/>
      <c r="K49" s="53"/>
      <c r="L49" s="53"/>
      <c r="M49" s="53"/>
      <c r="N49" s="55">
        <f>POWER(MAX(M49-0.5,0),0.5)*0.0716+1</f>
        <v>1</v>
      </c>
      <c r="P49" s="91"/>
      <c r="S49" s="95" t="s">
        <v>63</v>
      </c>
      <c r="T49" s="96">
        <f t="shared" si="9"/>
        <v>1.3000000000000003</v>
      </c>
      <c r="U49" s="94"/>
      <c r="V49" s="94"/>
      <c r="W49" s="97">
        <v>9.25</v>
      </c>
      <c r="X49" s="98">
        <f t="shared" si="10"/>
        <v>1.2633863866672304</v>
      </c>
      <c r="Y49" s="94"/>
      <c r="Z49" s="95">
        <v>3</v>
      </c>
      <c r="AA49" s="3" t="s">
        <v>57</v>
      </c>
      <c r="AB49" s="99" t="s">
        <v>64</v>
      </c>
      <c r="AD49" s="94"/>
      <c r="AE49" s="94"/>
      <c r="AF49" s="94"/>
      <c r="AG49" s="94"/>
      <c r="AH49" s="94"/>
    </row>
    <row r="50" spans="2:34" x14ac:dyDescent="0.2">
      <c r="B50" s="58"/>
      <c r="C50" s="59"/>
      <c r="D50" s="52">
        <f>POWER((MIN(MAX(C50-0.5,0),7)/7),0.45)</f>
        <v>0</v>
      </c>
      <c r="E50" s="53"/>
      <c r="F50" s="54">
        <f>POWER((MIN(MAX(E50+6.5,7),15.25)/14),0.6)</f>
        <v>0.6597539553864471</v>
      </c>
      <c r="G50" s="53"/>
      <c r="H50" s="53"/>
      <c r="I50" s="53"/>
      <c r="J50" s="53"/>
      <c r="K50" s="53"/>
      <c r="L50" s="53"/>
      <c r="M50" s="53"/>
      <c r="N50" s="55">
        <f>POWER(MAX(M50-0.5,0),0.5)*0.0716+1</f>
        <v>1</v>
      </c>
      <c r="P50" s="91"/>
      <c r="S50" s="95" t="s">
        <v>65</v>
      </c>
      <c r="T50" s="96">
        <f t="shared" si="9"/>
        <v>1.2500000000000002</v>
      </c>
      <c r="U50" s="94"/>
      <c r="V50" s="94"/>
      <c r="W50" s="97">
        <v>9</v>
      </c>
      <c r="X50" s="98">
        <f t="shared" si="10"/>
        <v>1.2481785643245848</v>
      </c>
      <c r="Y50" s="94"/>
      <c r="Z50" s="95">
        <v>4</v>
      </c>
      <c r="AA50" s="3" t="s">
        <v>66</v>
      </c>
      <c r="AB50" s="99" t="s">
        <v>58</v>
      </c>
      <c r="AD50" s="94"/>
      <c r="AE50" s="94"/>
      <c r="AF50" s="94"/>
      <c r="AG50" s="94"/>
      <c r="AH50" s="94"/>
    </row>
    <row r="51" spans="2:34" x14ac:dyDescent="0.2">
      <c r="B51" s="58"/>
      <c r="C51" s="59"/>
      <c r="D51" s="52">
        <f t="shared" ref="D51:D57" si="11">POWER((MIN(MAX(C51-0.5,0),7)/7),0.45)</f>
        <v>0</v>
      </c>
      <c r="E51" s="53"/>
      <c r="F51" s="54">
        <f t="shared" ref="F51:F57" si="12">POWER((MIN(MAX(E51+6.5,7),15.25)/14),0.6)</f>
        <v>0.6597539553864471</v>
      </c>
      <c r="G51" s="53"/>
      <c r="H51" s="53"/>
      <c r="I51" s="53"/>
      <c r="J51" s="53"/>
      <c r="K51" s="53"/>
      <c r="L51" s="53"/>
      <c r="M51" s="53"/>
      <c r="N51" s="55">
        <f t="shared" ref="N51:N57" si="13">POWER(MAX(M51-0.5,0),0.5)*0.0716+1</f>
        <v>1</v>
      </c>
      <c r="P51" s="91"/>
      <c r="S51" s="95" t="s">
        <v>67</v>
      </c>
      <c r="T51" s="96">
        <f t="shared" si="9"/>
        <v>1.2000000000000002</v>
      </c>
      <c r="U51" s="94"/>
      <c r="V51" s="94"/>
      <c r="W51" s="97">
        <v>8.75</v>
      </c>
      <c r="X51" s="98">
        <f t="shared" si="10"/>
        <v>1.2327080291355688</v>
      </c>
      <c r="Y51" s="94"/>
      <c r="Z51" s="95">
        <v>5</v>
      </c>
      <c r="AA51" s="3" t="s">
        <v>66</v>
      </c>
      <c r="AB51" s="99" t="s">
        <v>60</v>
      </c>
      <c r="AD51" s="94"/>
      <c r="AE51" s="94"/>
      <c r="AF51" s="94"/>
      <c r="AG51" s="94"/>
      <c r="AH51" s="94"/>
    </row>
    <row r="52" spans="2:34" x14ac:dyDescent="0.2">
      <c r="B52" s="58"/>
      <c r="C52" s="59"/>
      <c r="D52" s="52">
        <f t="shared" si="11"/>
        <v>0</v>
      </c>
      <c r="E52" s="53"/>
      <c r="F52" s="54">
        <f t="shared" si="12"/>
        <v>0.6597539553864471</v>
      </c>
      <c r="G52" s="53"/>
      <c r="H52" s="53"/>
      <c r="I52" s="53"/>
      <c r="J52" s="53"/>
      <c r="K52" s="53"/>
      <c r="L52" s="53"/>
      <c r="M52" s="53"/>
      <c r="N52" s="55">
        <f t="shared" si="13"/>
        <v>1</v>
      </c>
      <c r="P52" s="91"/>
      <c r="S52" s="95" t="s">
        <v>68</v>
      </c>
      <c r="T52" s="96">
        <f t="shared" si="9"/>
        <v>1.1500000000000001</v>
      </c>
      <c r="U52" s="94"/>
      <c r="V52" s="94"/>
      <c r="W52" s="97">
        <v>8.5</v>
      </c>
      <c r="X52" s="98">
        <f t="shared" si="10"/>
        <v>1.2169620693995198</v>
      </c>
      <c r="Z52" s="95">
        <v>6</v>
      </c>
      <c r="AA52" s="3" t="s">
        <v>66</v>
      </c>
      <c r="AB52" s="99" t="s">
        <v>62</v>
      </c>
      <c r="AD52" s="94"/>
      <c r="AE52" s="94"/>
      <c r="AF52" s="94"/>
      <c r="AG52" s="94"/>
      <c r="AH52" s="94"/>
    </row>
    <row r="53" spans="2:34" x14ac:dyDescent="0.2">
      <c r="B53" s="58"/>
      <c r="C53" s="59"/>
      <c r="D53" s="52">
        <f t="shared" si="11"/>
        <v>0</v>
      </c>
      <c r="E53" s="53"/>
      <c r="F53" s="54">
        <f t="shared" si="12"/>
        <v>0.6597539553864471</v>
      </c>
      <c r="G53" s="53"/>
      <c r="H53" s="53"/>
      <c r="I53" s="53"/>
      <c r="J53" s="53"/>
      <c r="K53" s="53"/>
      <c r="L53" s="53"/>
      <c r="M53" s="53"/>
      <c r="N53" s="55">
        <f t="shared" si="13"/>
        <v>1</v>
      </c>
      <c r="P53" s="91"/>
      <c r="S53" s="95" t="s">
        <v>66</v>
      </c>
      <c r="T53" s="96">
        <f t="shared" si="9"/>
        <v>1.1000000000000001</v>
      </c>
      <c r="U53" s="94"/>
      <c r="V53" s="94"/>
      <c r="W53" s="97">
        <v>8.25</v>
      </c>
      <c r="X53" s="98">
        <f t="shared" si="10"/>
        <v>1.2009269378160998</v>
      </c>
      <c r="Z53" s="95">
        <v>7</v>
      </c>
      <c r="AA53" s="3" t="s">
        <v>66</v>
      </c>
      <c r="AB53" s="99" t="s">
        <v>64</v>
      </c>
      <c r="AD53" s="94"/>
      <c r="AE53" s="94"/>
      <c r="AF53" s="94"/>
      <c r="AG53" s="94"/>
      <c r="AH53" s="94"/>
    </row>
    <row r="54" spans="2:34" x14ac:dyDescent="0.2">
      <c r="B54" s="58"/>
      <c r="C54" s="59"/>
      <c r="D54" s="52">
        <f t="shared" si="11"/>
        <v>0</v>
      </c>
      <c r="E54" s="53"/>
      <c r="F54" s="54">
        <f t="shared" si="12"/>
        <v>0.6597539553864471</v>
      </c>
      <c r="G54" s="53"/>
      <c r="H54" s="53"/>
      <c r="I54" s="53"/>
      <c r="J54" s="53"/>
      <c r="K54" s="53"/>
      <c r="L54" s="53"/>
      <c r="M54" s="53"/>
      <c r="N54" s="55">
        <f t="shared" si="13"/>
        <v>1</v>
      </c>
      <c r="P54" s="91"/>
      <c r="S54" s="95" t="s">
        <v>57</v>
      </c>
      <c r="T54" s="96">
        <f t="shared" si="9"/>
        <v>1.05</v>
      </c>
      <c r="U54" s="94"/>
      <c r="W54" s="97">
        <v>8</v>
      </c>
      <c r="X54" s="98">
        <f t="shared" si="10"/>
        <v>1.1845877306159418</v>
      </c>
      <c r="Z54" s="95">
        <v>8</v>
      </c>
      <c r="AA54" s="3" t="s">
        <v>68</v>
      </c>
      <c r="AB54" s="99" t="s">
        <v>58</v>
      </c>
      <c r="AD54" s="94"/>
      <c r="AE54" s="94"/>
      <c r="AF54" s="94"/>
      <c r="AG54" s="94"/>
      <c r="AH54" s="94"/>
    </row>
    <row r="55" spans="2:34" x14ac:dyDescent="0.2">
      <c r="B55" s="58"/>
      <c r="C55" s="59"/>
      <c r="D55" s="52">
        <f t="shared" si="11"/>
        <v>0</v>
      </c>
      <c r="E55" s="53"/>
      <c r="F55" s="54">
        <f t="shared" si="12"/>
        <v>0.6597539553864471</v>
      </c>
      <c r="G55" s="53"/>
      <c r="H55" s="53"/>
      <c r="I55" s="53"/>
      <c r="J55" s="53"/>
      <c r="K55" s="53"/>
      <c r="L55" s="53"/>
      <c r="M55" s="53"/>
      <c r="N55" s="55">
        <f t="shared" si="13"/>
        <v>1</v>
      </c>
      <c r="P55" s="94"/>
      <c r="Q55" s="94"/>
      <c r="S55" s="100" t="s">
        <v>69</v>
      </c>
      <c r="T55" s="101">
        <v>1</v>
      </c>
      <c r="U55" s="94"/>
      <c r="W55" s="97">
        <v>7.75</v>
      </c>
      <c r="X55" s="98">
        <f t="shared" si="10"/>
        <v>1.1679282480357533</v>
      </c>
      <c r="Z55" s="95">
        <v>9</v>
      </c>
      <c r="AA55" s="3" t="s">
        <v>68</v>
      </c>
      <c r="AB55" s="99" t="s">
        <v>60</v>
      </c>
      <c r="AD55" s="94"/>
      <c r="AE55" s="94"/>
      <c r="AF55" s="94"/>
      <c r="AG55" s="94"/>
      <c r="AH55" s="94"/>
    </row>
    <row r="56" spans="2:34" x14ac:dyDescent="0.2">
      <c r="B56" s="58"/>
      <c r="C56" s="59"/>
      <c r="D56" s="52">
        <f t="shared" si="11"/>
        <v>0</v>
      </c>
      <c r="E56" s="53"/>
      <c r="F56" s="54">
        <f t="shared" si="12"/>
        <v>0.6597539553864471</v>
      </c>
      <c r="G56" s="53"/>
      <c r="H56" s="53"/>
      <c r="I56" s="53"/>
      <c r="J56" s="53"/>
      <c r="K56" s="53"/>
      <c r="L56" s="53"/>
      <c r="M56" s="53"/>
      <c r="N56" s="55">
        <f t="shared" si="13"/>
        <v>1</v>
      </c>
      <c r="P56" s="102" t="s">
        <v>70</v>
      </c>
      <c r="Q56" s="103"/>
      <c r="S56" s="94"/>
      <c r="T56" s="94"/>
      <c r="U56" s="94"/>
      <c r="W56" s="97">
        <v>7.5</v>
      </c>
      <c r="X56" s="98">
        <f t="shared" si="10"/>
        <v>1.1509308325073138</v>
      </c>
      <c r="Z56" s="95">
        <v>10</v>
      </c>
      <c r="AA56" s="3" t="s">
        <v>68</v>
      </c>
      <c r="AB56" s="99" t="s">
        <v>62</v>
      </c>
      <c r="AD56" s="94"/>
      <c r="AE56" s="94"/>
      <c r="AF56" s="94"/>
      <c r="AG56" s="94"/>
      <c r="AH56" s="94"/>
    </row>
    <row r="57" spans="2:34" x14ac:dyDescent="0.2">
      <c r="B57" s="58"/>
      <c r="C57" s="59"/>
      <c r="D57" s="52">
        <f t="shared" si="11"/>
        <v>0</v>
      </c>
      <c r="E57" s="53"/>
      <c r="F57" s="54">
        <f t="shared" si="12"/>
        <v>0.6597539553864471</v>
      </c>
      <c r="G57" s="53"/>
      <c r="H57" s="53"/>
      <c r="I57" s="53"/>
      <c r="J57" s="53"/>
      <c r="K57" s="53"/>
      <c r="L57" s="53"/>
      <c r="M57" s="53"/>
      <c r="N57" s="55">
        <f t="shared" si="13"/>
        <v>1</v>
      </c>
      <c r="P57" s="95" t="s">
        <v>71</v>
      </c>
      <c r="Q57" s="104">
        <v>1</v>
      </c>
      <c r="R57" s="94"/>
      <c r="S57" s="93" t="s">
        <v>72</v>
      </c>
      <c r="T57" s="105"/>
      <c r="W57" s="97">
        <v>7.25</v>
      </c>
      <c r="X57" s="98">
        <f t="shared" si="10"/>
        <v>1.1335761800664723</v>
      </c>
      <c r="Z57" s="95">
        <v>11</v>
      </c>
      <c r="AA57" s="3" t="s">
        <v>68</v>
      </c>
      <c r="AB57" s="99" t="s">
        <v>64</v>
      </c>
      <c r="AD57" s="94"/>
      <c r="AE57" s="94"/>
      <c r="AF57" s="94"/>
      <c r="AG57" s="94"/>
      <c r="AH57" s="94"/>
    </row>
    <row r="58" spans="2:34" x14ac:dyDescent="0.2">
      <c r="B58" s="4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P58" s="95" t="s">
        <v>73</v>
      </c>
      <c r="Q58" s="104">
        <v>0.96</v>
      </c>
      <c r="R58" s="94"/>
      <c r="S58" s="95" t="s">
        <v>74</v>
      </c>
      <c r="T58" s="96">
        <v>1</v>
      </c>
      <c r="W58" s="97">
        <v>7</v>
      </c>
      <c r="X58" s="98">
        <f t="shared" si="10"/>
        <v>1.1158431193795069</v>
      </c>
      <c r="Z58" s="95">
        <v>12</v>
      </c>
      <c r="AA58" s="3" t="s">
        <v>75</v>
      </c>
      <c r="AB58" s="99" t="s">
        <v>58</v>
      </c>
      <c r="AD58" s="94"/>
      <c r="AE58" s="94"/>
      <c r="AF58" s="94"/>
      <c r="AG58" s="94"/>
      <c r="AH58" s="94"/>
    </row>
    <row r="59" spans="2:34" x14ac:dyDescent="0.2">
      <c r="B59" s="106" t="s">
        <v>76</v>
      </c>
      <c r="C59" s="107" t="s">
        <v>77</v>
      </c>
      <c r="D59" s="14"/>
      <c r="E59" s="108"/>
      <c r="F59" s="14"/>
      <c r="G59" s="14"/>
      <c r="H59" s="14"/>
      <c r="I59" s="14"/>
      <c r="J59" s="14"/>
      <c r="K59" s="14"/>
      <c r="L59" s="14"/>
      <c r="M59" s="14"/>
      <c r="N59" s="15"/>
      <c r="P59" s="95" t="s">
        <v>78</v>
      </c>
      <c r="Q59" s="104">
        <v>0.91</v>
      </c>
      <c r="R59" s="94"/>
      <c r="S59" s="95" t="s">
        <v>79</v>
      </c>
      <c r="T59" s="96">
        <v>0.85391099999999998</v>
      </c>
      <c r="W59" s="97">
        <v>6.75</v>
      </c>
      <c r="X59" s="98">
        <f t="shared" si="10"/>
        <v>1.0977083513480399</v>
      </c>
      <c r="Z59" s="95">
        <v>13</v>
      </c>
      <c r="AA59" s="3" t="s">
        <v>75</v>
      </c>
      <c r="AB59" s="99" t="s">
        <v>60</v>
      </c>
      <c r="AD59" s="94"/>
      <c r="AE59" s="94"/>
      <c r="AF59" s="94"/>
      <c r="AG59" s="94"/>
      <c r="AH59" s="94"/>
    </row>
    <row r="60" spans="2:34" x14ac:dyDescent="0.2">
      <c r="B60" s="109" t="s">
        <v>80</v>
      </c>
      <c r="C60" s="110" t="s">
        <v>112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P60" s="95"/>
      <c r="Q60" s="98"/>
      <c r="R60" s="94"/>
      <c r="S60" s="95" t="s">
        <v>82</v>
      </c>
      <c r="T60" s="96">
        <v>0.85802899999999993</v>
      </c>
      <c r="W60" s="97">
        <v>6.5</v>
      </c>
      <c r="X60" s="98">
        <f t="shared" si="10"/>
        <v>1.0791461403761846</v>
      </c>
      <c r="Z60" s="95">
        <v>14</v>
      </c>
      <c r="AA60" s="3" t="s">
        <v>75</v>
      </c>
      <c r="AB60" s="99" t="s">
        <v>62</v>
      </c>
      <c r="AD60" s="94"/>
      <c r="AE60" s="94"/>
      <c r="AF60" s="94"/>
      <c r="AG60" s="94"/>
      <c r="AH60" s="94"/>
    </row>
    <row r="61" spans="2:34" x14ac:dyDescent="0.2">
      <c r="B61" s="109" t="s">
        <v>83</v>
      </c>
      <c r="C61" s="110">
        <v>4.5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P61" s="95" t="s">
        <v>84</v>
      </c>
      <c r="Q61" s="104">
        <v>1</v>
      </c>
      <c r="R61" s="94"/>
      <c r="S61" s="95" t="s">
        <v>85</v>
      </c>
      <c r="T61" s="96">
        <v>0.93</v>
      </c>
      <c r="W61" s="97">
        <v>6.25</v>
      </c>
      <c r="X61" s="98">
        <f t="shared" si="10"/>
        <v>1.0601279459046999</v>
      </c>
      <c r="Z61" s="95">
        <v>15</v>
      </c>
      <c r="AA61" s="3" t="s">
        <v>75</v>
      </c>
      <c r="AB61" s="99" t="s">
        <v>64</v>
      </c>
      <c r="AD61" s="94"/>
      <c r="AE61" s="94"/>
      <c r="AF61" s="94"/>
      <c r="AG61" s="94"/>
      <c r="AH61" s="94"/>
    </row>
    <row r="62" spans="2:34" x14ac:dyDescent="0.2">
      <c r="B62" s="109" t="s">
        <v>86</v>
      </c>
      <c r="C62" s="110" t="s">
        <v>67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P62" s="95" t="s">
        <v>87</v>
      </c>
      <c r="Q62" s="104">
        <v>0.92</v>
      </c>
      <c r="R62" s="94"/>
      <c r="S62" s="95" t="s">
        <v>88</v>
      </c>
      <c r="T62" s="96">
        <f>(2*0.930663+0.930999)/3</f>
        <v>0.93077500000000002</v>
      </c>
      <c r="W62" s="97">
        <v>6</v>
      </c>
      <c r="X62" s="98">
        <f t="shared" si="10"/>
        <v>1.0406219795089438</v>
      </c>
      <c r="Z62" s="95">
        <v>16</v>
      </c>
      <c r="AA62" s="3" t="s">
        <v>89</v>
      </c>
      <c r="AB62" s="99" t="s">
        <v>58</v>
      </c>
      <c r="AD62" s="94"/>
      <c r="AE62" s="94"/>
      <c r="AF62" s="94"/>
      <c r="AG62" s="94"/>
      <c r="AH62" s="94"/>
    </row>
    <row r="63" spans="2:34" x14ac:dyDescent="0.2">
      <c r="B63" s="109" t="s">
        <v>90</v>
      </c>
      <c r="C63" s="110" t="s">
        <v>74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P63" s="95" t="s">
        <v>91</v>
      </c>
      <c r="Q63" s="104">
        <v>0.82</v>
      </c>
      <c r="R63" s="94"/>
      <c r="S63" s="95" t="s">
        <v>92</v>
      </c>
      <c r="T63" s="96">
        <v>0.95032299999999992</v>
      </c>
      <c r="W63" s="97">
        <v>5.75</v>
      </c>
      <c r="X63" s="98">
        <f t="shared" si="10"/>
        <v>1.0205926683919264</v>
      </c>
      <c r="Z63" s="95">
        <v>17</v>
      </c>
      <c r="AA63" s="3" t="s">
        <v>89</v>
      </c>
      <c r="AB63" s="99" t="s">
        <v>60</v>
      </c>
      <c r="AD63" s="94"/>
      <c r="AE63" s="94"/>
      <c r="AF63" s="94"/>
      <c r="AG63" s="94"/>
      <c r="AH63" s="94"/>
    </row>
    <row r="64" spans="2:34" x14ac:dyDescent="0.2">
      <c r="B64" s="111" t="s">
        <v>93</v>
      </c>
      <c r="C64" s="112" t="s">
        <v>134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P64" s="95"/>
      <c r="Q64" s="98"/>
      <c r="R64" s="94"/>
      <c r="S64" s="100" t="s">
        <v>95</v>
      </c>
      <c r="T64" s="101">
        <f>((2*0.97298+0.970577)/3)/T63</f>
        <v>1.0229984963007315</v>
      </c>
      <c r="W64" s="97">
        <v>5.5</v>
      </c>
      <c r="X64" s="98">
        <f t="shared" si="10"/>
        <v>1</v>
      </c>
      <c r="Z64" s="95">
        <v>18</v>
      </c>
      <c r="AA64" s="3" t="s">
        <v>89</v>
      </c>
      <c r="AB64" s="99" t="s">
        <v>62</v>
      </c>
      <c r="AD64" s="94"/>
      <c r="AE64" s="94"/>
      <c r="AF64" s="94"/>
      <c r="AG64" s="94"/>
      <c r="AH64" s="94"/>
    </row>
    <row r="65" spans="2:34" x14ac:dyDescent="0.2">
      <c r="B65" s="113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P65" s="95" t="s">
        <v>96</v>
      </c>
      <c r="Q65" s="104">
        <v>1</v>
      </c>
      <c r="R65" s="94"/>
      <c r="W65" s="97">
        <v>5.25</v>
      </c>
      <c r="X65" s="98">
        <f t="shared" si="10"/>
        <v>0.97879871403156182</v>
      </c>
      <c r="Z65" s="95">
        <v>19</v>
      </c>
      <c r="AA65" s="3" t="s">
        <v>89</v>
      </c>
      <c r="AB65" s="99" t="s">
        <v>64</v>
      </c>
      <c r="AD65" s="94"/>
      <c r="AE65" s="94"/>
      <c r="AF65" s="94"/>
      <c r="AG65" s="94"/>
      <c r="AH65" s="94"/>
    </row>
    <row r="66" spans="2:34" x14ac:dyDescent="0.2">
      <c r="B66" s="114" t="s">
        <v>97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P66" s="95" t="s">
        <v>98</v>
      </c>
      <c r="Q66" s="104">
        <v>0.94</v>
      </c>
      <c r="R66" s="94"/>
      <c r="S66" s="93" t="s">
        <v>99</v>
      </c>
      <c r="T66" s="11"/>
      <c r="W66" s="97">
        <v>5</v>
      </c>
      <c r="X66" s="98">
        <f t="shared" si="10"/>
        <v>0.95693729621617352</v>
      </c>
      <c r="Z66" s="95">
        <v>20</v>
      </c>
      <c r="AA66" s="3" t="s">
        <v>100</v>
      </c>
      <c r="AB66" s="99" t="s">
        <v>58</v>
      </c>
      <c r="AD66" s="94"/>
      <c r="AE66" s="94"/>
      <c r="AF66" s="94"/>
      <c r="AG66" s="94"/>
      <c r="AH66" s="94"/>
    </row>
    <row r="67" spans="2:34" x14ac:dyDescent="0.2">
      <c r="B67" s="115" t="s">
        <v>101</v>
      </c>
      <c r="C67" s="116"/>
      <c r="D67" s="117" t="s">
        <v>102</v>
      </c>
      <c r="E67" s="117" t="s">
        <v>70</v>
      </c>
      <c r="F67" s="118" t="s">
        <v>103</v>
      </c>
      <c r="G67" s="119" t="s">
        <v>104</v>
      </c>
      <c r="H67" s="50" t="s">
        <v>105</v>
      </c>
      <c r="I67" s="50" t="s">
        <v>106</v>
      </c>
      <c r="J67" s="50" t="s">
        <v>21</v>
      </c>
      <c r="K67" s="50" t="s">
        <v>107</v>
      </c>
      <c r="L67" s="50" t="s">
        <v>108</v>
      </c>
      <c r="M67" s="50" t="s">
        <v>109</v>
      </c>
      <c r="N67" s="51" t="s">
        <v>110</v>
      </c>
      <c r="P67" s="100" t="s">
        <v>111</v>
      </c>
      <c r="Q67" s="120">
        <v>0.86499999999999999</v>
      </c>
      <c r="R67" s="94"/>
      <c r="S67" s="95" t="s">
        <v>112</v>
      </c>
      <c r="T67" s="96">
        <v>0.83994899999999995</v>
      </c>
      <c r="W67" s="97">
        <v>4.75</v>
      </c>
      <c r="X67" s="98">
        <f t="shared" si="10"/>
        <v>0.93435671124265651</v>
      </c>
      <c r="Z67" s="95">
        <v>21</v>
      </c>
      <c r="AA67" s="3" t="s">
        <v>100</v>
      </c>
      <c r="AB67" s="99" t="s">
        <v>60</v>
      </c>
      <c r="AD67" s="94"/>
      <c r="AE67" s="94"/>
      <c r="AF67" s="94"/>
      <c r="AG67" s="94"/>
      <c r="AH67" s="94"/>
    </row>
    <row r="68" spans="2:34" x14ac:dyDescent="0.2">
      <c r="B68" s="121" t="s">
        <v>113</v>
      </c>
      <c r="C68" s="14" t="s">
        <v>20</v>
      </c>
      <c r="D68" s="122" t="s">
        <v>20</v>
      </c>
      <c r="E68" s="123"/>
      <c r="F68" s="124" t="s">
        <v>114</v>
      </c>
      <c r="G68" s="125">
        <f>IF(OR($D68="",$F68=""),0,IF($E68="",1,VLOOKUP($E68,centraal,2,FALSE))*VLOOKUP($F68,spelers,3,FALSE)*VLOOKUP($F68,spelers,5,FALSE)*VLOOKUP($F68,spelers,13,FALSE))</f>
        <v>1.1827301836602042</v>
      </c>
      <c r="H68" s="126">
        <v>0</v>
      </c>
      <c r="I68" s="127">
        <f>IF(OR($D68="",$F68=""),0,VLOOKUP($D68,contributies,5,FALSE)*VLOOKUP($F68,spelers,6,FALSE)+VLOOKUP($D68,contributies,6,FALSE)*VLOOKUP($F68,spelers,7,FALSE))*$G68</f>
        <v>17.903903405956846</v>
      </c>
      <c r="J68" s="127">
        <f>IF(OR($D68="",$F68=""),0,VLOOKUP($D68,contributies,3,FALSE)*VLOOKUP($F68,spelers,6,FALSE)+VLOOKUP($D68,contributies,4,FALSE)*VLOOKUP($F68,spelers,7,FALSE))*$G68</f>
        <v>17.26194703052068</v>
      </c>
      <c r="K68" s="127">
        <f>IF(OR($D68="",$F68=""),0,VLOOKUP($D68,contributies,5,FALSE)*VLOOKUP($F68,spelers,6,FALSE)+VLOOKUP($D68,contributies,6,FALSE)*VLOOKUP($F68,spelers,7,FALSE))*$G68</f>
        <v>17.903903405956846</v>
      </c>
      <c r="L68" s="126">
        <v>0</v>
      </c>
      <c r="M68" s="126">
        <v>0</v>
      </c>
      <c r="N68" s="128">
        <v>0</v>
      </c>
      <c r="P68" s="94"/>
      <c r="Q68" s="94"/>
      <c r="R68" s="94"/>
      <c r="S68" s="95" t="s">
        <v>115</v>
      </c>
      <c r="T68" s="96">
        <v>1</v>
      </c>
      <c r="W68" s="97">
        <v>4.5</v>
      </c>
      <c r="X68" s="98">
        <f t="shared" si="10"/>
        <v>0.91098878747888801</v>
      </c>
      <c r="Z68" s="95">
        <v>22</v>
      </c>
      <c r="AA68" s="3" t="s">
        <v>100</v>
      </c>
      <c r="AB68" s="99" t="s">
        <v>62</v>
      </c>
      <c r="AD68" s="94"/>
      <c r="AE68" s="94"/>
      <c r="AF68" s="94"/>
      <c r="AG68" s="94"/>
      <c r="AH68" s="94"/>
    </row>
    <row r="69" spans="2:34" x14ac:dyDescent="0.2">
      <c r="B69" s="121"/>
      <c r="C69" s="14"/>
      <c r="D69" s="129"/>
      <c r="E69" s="123"/>
      <c r="F69" s="124"/>
      <c r="G69" s="130"/>
      <c r="H69" s="127"/>
      <c r="I69" s="127"/>
      <c r="J69" s="127"/>
      <c r="K69" s="127"/>
      <c r="L69" s="127"/>
      <c r="M69" s="127"/>
      <c r="N69" s="131"/>
      <c r="Q69" s="132"/>
      <c r="R69" s="94"/>
      <c r="S69" s="100" t="s">
        <v>81</v>
      </c>
      <c r="T69" s="101">
        <v>1.10965</v>
      </c>
      <c r="U69" s="94"/>
      <c r="W69" s="97">
        <v>4.25</v>
      </c>
      <c r="X69" s="98">
        <f t="shared" si="10"/>
        <v>0.886754129410675</v>
      </c>
      <c r="Z69" s="95">
        <v>23</v>
      </c>
      <c r="AA69" s="3" t="s">
        <v>100</v>
      </c>
      <c r="AB69" s="99" t="s">
        <v>64</v>
      </c>
      <c r="AD69" s="94"/>
      <c r="AE69" s="94"/>
      <c r="AF69" s="94"/>
      <c r="AG69" s="94"/>
      <c r="AH69" s="94"/>
    </row>
    <row r="70" spans="2:34" x14ac:dyDescent="0.2">
      <c r="B70" s="121" t="s">
        <v>116</v>
      </c>
      <c r="C70" s="14"/>
      <c r="D70" s="129"/>
      <c r="E70" s="123"/>
      <c r="F70" s="124"/>
      <c r="G70" s="125">
        <f>IF(OR($D70="",$F70=""),0,IF($E70="",1,VLOOKUP($E70,centraal,2,FALSE))*VLOOKUP($F70,spelers,3,FALSE)*VLOOKUP($F70,spelers,5,FALSE)*VLOOKUP($F70,spelers,13,FALSE))</f>
        <v>0</v>
      </c>
      <c r="H70" s="127">
        <f>IF(OR($D70="",$F70=""),0,VLOOKUP($D70,contributies,2,FALSE)*VLOOKUP($F70,spelers,8,FALSE))*$G70</f>
        <v>0</v>
      </c>
      <c r="I70" s="127">
        <f>IF(OR($D70="",$F70=""),0,VLOOKUP($D70,contributies,6,FALSE)*VLOOKUP($F70,spelers,7,FALSE))*$G70</f>
        <v>0</v>
      </c>
      <c r="J70" s="127">
        <f>IF(OR($D70="",$F70=""),0,VLOOKUP($D70,contributies,4,FALSE)*VLOOKUP($F70,spelers,7,FALSE))*$G70</f>
        <v>0</v>
      </c>
      <c r="K70" s="126">
        <v>0</v>
      </c>
      <c r="L70" s="127">
        <f>IF(OR($D70="",$F70=""),0,VLOOKUP($D70,contributies,10,FALSE)*VLOOKUP($F70,spelers,9,FALSE))*$G70</f>
        <v>0</v>
      </c>
      <c r="M70" s="126">
        <v>0</v>
      </c>
      <c r="N70" s="128">
        <v>0</v>
      </c>
      <c r="Q70" s="132"/>
      <c r="R70" s="94"/>
      <c r="U70" s="94"/>
      <c r="W70" s="97">
        <v>4</v>
      </c>
      <c r="X70" s="98">
        <f t="shared" si="10"/>
        <v>0.86155937801352711</v>
      </c>
      <c r="Z70" s="95">
        <v>24</v>
      </c>
      <c r="AA70" s="3" t="s">
        <v>117</v>
      </c>
      <c r="AB70" s="99" t="s">
        <v>58</v>
      </c>
      <c r="AD70" s="94"/>
      <c r="AE70" s="94"/>
      <c r="AF70" s="94"/>
      <c r="AG70" s="94"/>
      <c r="AH70" s="94"/>
    </row>
    <row r="71" spans="2:34" x14ac:dyDescent="0.2">
      <c r="B71" s="121"/>
      <c r="C71" s="14" t="s">
        <v>118</v>
      </c>
      <c r="D71" s="122" t="s">
        <v>21</v>
      </c>
      <c r="E71" s="133" t="s">
        <v>71</v>
      </c>
      <c r="F71" s="124"/>
      <c r="G71" s="125">
        <f>IF(OR($D71="",$F71=""),0,IF($E71="",1,VLOOKUP($E71,centraal,2,FALSE))*VLOOKUP($F71,spelers,3,FALSE)*VLOOKUP($F71,spelers,5,FALSE)*VLOOKUP($F71,spelers,13,FALSE))</f>
        <v>0</v>
      </c>
      <c r="H71" s="127">
        <f>IF(OR($D71="",$F71=""),0,VLOOKUP($D71,contributies,2,FALSE)*VLOOKUP($F71,spelers,8,FALSE))*$G71</f>
        <v>0</v>
      </c>
      <c r="I71" s="127">
        <f>IF(OR($D71="",$F71=""),0,VLOOKUP($D71,contributies,6,FALSE)*VLOOKUP($F71,spelers,7,FALSE))*$G71</f>
        <v>0</v>
      </c>
      <c r="J71" s="127">
        <f>IF(OR($D71="",$F71=""),0,VLOOKUP($D71,contributies,4,FALSE)*VLOOKUP($F71,spelers,7,FALSE))*$G71</f>
        <v>0</v>
      </c>
      <c r="K71" s="126">
        <v>0</v>
      </c>
      <c r="L71" s="127">
        <f>IF(OR($D71="",$F71=""),0,VLOOKUP($D71,contributies,10,FALSE)*VLOOKUP($F71,spelers,9,FALSE))*$G71</f>
        <v>0</v>
      </c>
      <c r="M71" s="126">
        <v>0</v>
      </c>
      <c r="N71" s="128">
        <v>0</v>
      </c>
      <c r="P71" s="94"/>
      <c r="Q71" s="94"/>
      <c r="R71" s="94"/>
      <c r="S71" s="93" t="s">
        <v>120</v>
      </c>
      <c r="T71" s="11"/>
      <c r="U71" s="94"/>
      <c r="W71" s="97">
        <v>3.75</v>
      </c>
      <c r="X71" s="98">
        <f t="shared" si="10"/>
        <v>0.83529355260988081</v>
      </c>
      <c r="Z71" s="95">
        <v>25</v>
      </c>
      <c r="AA71" s="3" t="s">
        <v>117</v>
      </c>
      <c r="AB71" s="99" t="s">
        <v>60</v>
      </c>
      <c r="AD71" s="94"/>
      <c r="AE71" s="94"/>
      <c r="AF71" s="94"/>
      <c r="AG71" s="94"/>
      <c r="AH71" s="94"/>
    </row>
    <row r="72" spans="2:34" x14ac:dyDescent="0.2">
      <c r="B72" s="121"/>
      <c r="C72" s="14" t="s">
        <v>121</v>
      </c>
      <c r="D72" s="122"/>
      <c r="E72" s="133" t="s">
        <v>71</v>
      </c>
      <c r="F72" s="124"/>
      <c r="G72" s="125">
        <f>IF(OR($D72="",$F72=""),0,IF($E72="",1,VLOOKUP($E72,centraal,2,FALSE))*VLOOKUP($F72,spelers,3,FALSE)*VLOOKUP($F72,spelers,5,FALSE)*VLOOKUP($F72,spelers,13,FALSE))</f>
        <v>0</v>
      </c>
      <c r="H72" s="127">
        <f>IF(OR($D72="",$F72=""),0,VLOOKUP($D72,contributies,2,FALSE)*VLOOKUP($F72,spelers,8,FALSE))*$G72</f>
        <v>0</v>
      </c>
      <c r="I72" s="127">
        <f>IF(OR($D72="",$F72=""),0,VLOOKUP($D72,contributies,6,FALSE)*VLOOKUP($F72,spelers,7,FALSE))*$G72*0.5</f>
        <v>0</v>
      </c>
      <c r="J72" s="127">
        <f>IF(OR($D72="",$F72=""),0,VLOOKUP($D72,contributies,4,FALSE)*VLOOKUP($F72,spelers,7,FALSE))*$G72</f>
        <v>0</v>
      </c>
      <c r="K72" s="127">
        <f>IF(OR($D72="",$F72=""),0,VLOOKUP($D72,contributies,6,FALSE)*VLOOKUP($F72,spelers,7,FALSE))*$G72*0.5</f>
        <v>0</v>
      </c>
      <c r="L72" s="126">
        <v>0</v>
      </c>
      <c r="M72" s="126">
        <v>0</v>
      </c>
      <c r="N72" s="128">
        <v>0</v>
      </c>
      <c r="P72" s="94"/>
      <c r="Q72" s="94"/>
      <c r="R72" s="94"/>
      <c r="S72" s="95" t="s">
        <v>122</v>
      </c>
      <c r="T72" s="96">
        <v>1.1995290000000001</v>
      </c>
      <c r="U72" s="94"/>
      <c r="W72" s="97">
        <v>3.5</v>
      </c>
      <c r="X72" s="98">
        <f t="shared" si="10"/>
        <v>0.80782306914372781</v>
      </c>
      <c r="Z72" s="95">
        <v>26</v>
      </c>
      <c r="AA72" s="3" t="s">
        <v>117</v>
      </c>
      <c r="AB72" s="99" t="s">
        <v>62</v>
      </c>
      <c r="AD72" s="94"/>
      <c r="AE72" s="94"/>
      <c r="AF72" s="94"/>
      <c r="AG72" s="94"/>
      <c r="AH72" s="94"/>
    </row>
    <row r="73" spans="2:34" x14ac:dyDescent="0.2">
      <c r="B73" s="121"/>
      <c r="C73" s="14" t="s">
        <v>123</v>
      </c>
      <c r="D73" s="122"/>
      <c r="E73" s="133" t="s">
        <v>71</v>
      </c>
      <c r="F73" s="124"/>
      <c r="G73" s="125">
        <f>IF(OR($D73="",$F73=""),0,IF($E73="",1,VLOOKUP($E73,centraal,2,FALSE))*VLOOKUP($F73,spelers,3,FALSE)*VLOOKUP($F73,spelers,5,FALSE)*VLOOKUP($F73,spelers,13,FALSE))</f>
        <v>0</v>
      </c>
      <c r="H73" s="127">
        <f>IF(OR($D73="",$F73=""),0,VLOOKUP($D73,contributies,2,FALSE)*VLOOKUP($F73,spelers,8,FALSE))*$G73</f>
        <v>0</v>
      </c>
      <c r="I73" s="126">
        <v>0</v>
      </c>
      <c r="J73" s="127">
        <f>IF(OR($D73="",$F73=""),0,VLOOKUP($D73,contributies,4,FALSE)*VLOOKUP($F73,spelers,7,FALSE))*$G73</f>
        <v>0</v>
      </c>
      <c r="K73" s="127">
        <f>IF(OR($D73="",$F73=""),0,VLOOKUP($D73,contributies,6,FALSE)*VLOOKUP($F73,spelers,7,FALSE))*$G73</f>
        <v>0</v>
      </c>
      <c r="L73" s="126">
        <v>0</v>
      </c>
      <c r="M73" s="126">
        <v>0</v>
      </c>
      <c r="N73" s="131">
        <f>IF(OR($D73="",$F73=""),0,VLOOKUP($D73,contributies,10,FALSE)*VLOOKUP($F73,spelers,9,FALSE))*$G73</f>
        <v>0</v>
      </c>
      <c r="P73" s="94"/>
      <c r="Q73" s="94"/>
      <c r="R73" s="94"/>
      <c r="S73" s="95" t="s">
        <v>124</v>
      </c>
      <c r="T73" s="96">
        <v>1.113699</v>
      </c>
      <c r="U73" s="94"/>
      <c r="W73" s="97">
        <v>3.25</v>
      </c>
      <c r="X73" s="98">
        <f t="shared" si="10"/>
        <v>0.77898480090221534</v>
      </c>
      <c r="Z73" s="95">
        <v>27</v>
      </c>
      <c r="AA73" s="3" t="s">
        <v>117</v>
      </c>
      <c r="AB73" s="99" t="s">
        <v>64</v>
      </c>
      <c r="AD73" s="94"/>
      <c r="AE73" s="94"/>
      <c r="AF73" s="94"/>
      <c r="AG73" s="94"/>
      <c r="AH73" s="94"/>
    </row>
    <row r="74" spans="2:34" x14ac:dyDescent="0.2">
      <c r="B74" s="121"/>
      <c r="C74" s="14" t="s">
        <v>125</v>
      </c>
      <c r="D74" s="129" t="s">
        <v>33</v>
      </c>
      <c r="E74" s="123"/>
      <c r="F74" s="124"/>
      <c r="G74" s="125">
        <f>IF(OR($D74="",$F74=""),0,IF($E74="",1,VLOOKUP($E74,centraal,2,FALSE))*VLOOKUP($F74,spelers,3,FALSE)*VLOOKUP($F74,spelers,5,FALSE)*VLOOKUP($F74,spelers,13,FALSE))</f>
        <v>0</v>
      </c>
      <c r="H74" s="127">
        <f>IF(OR($D74="",$F74=""),0,VLOOKUP($D74,contributies,2,FALSE)*VLOOKUP($F74,spelers,8,FALSE))*$G74</f>
        <v>0</v>
      </c>
      <c r="I74" s="126">
        <v>0</v>
      </c>
      <c r="J74" s="127">
        <f>IF(OR($D74="",$F74=""),0,VLOOKUP($D74,contributies,4,FALSE)*VLOOKUP($F74,spelers,7,FALSE))*$G74</f>
        <v>0</v>
      </c>
      <c r="K74" s="127">
        <f>IF(OR($D74="",$F74=""),0,VLOOKUP($D74,contributies,6,FALSE)*VLOOKUP($F74,spelers,7,FALSE))*$G74</f>
        <v>0</v>
      </c>
      <c r="L74" s="126">
        <v>0</v>
      </c>
      <c r="M74" s="126">
        <v>0</v>
      </c>
      <c r="N74" s="131">
        <f>IF(OR($D74="",$F74=""),0,VLOOKUP($D74,contributies,10,FALSE)*VLOOKUP($F74,spelers,9,FALSE))*$G74</f>
        <v>0</v>
      </c>
      <c r="P74" s="94"/>
      <c r="Q74" s="94"/>
      <c r="R74" s="94"/>
      <c r="S74" s="100" t="s">
        <v>77</v>
      </c>
      <c r="T74" s="101">
        <v>1</v>
      </c>
      <c r="U74" s="94"/>
      <c r="W74" s="97">
        <v>3</v>
      </c>
      <c r="X74" s="98">
        <f t="shared" si="10"/>
        <v>0.74857615564665314</v>
      </c>
      <c r="Z74" s="95">
        <v>28</v>
      </c>
      <c r="AA74" s="3" t="s">
        <v>127</v>
      </c>
      <c r="AB74" s="99" t="s">
        <v>58</v>
      </c>
      <c r="AD74" s="94"/>
      <c r="AE74" s="94"/>
      <c r="AF74" s="94"/>
      <c r="AG74" s="94"/>
      <c r="AH74" s="94"/>
    </row>
    <row r="75" spans="2:34" x14ac:dyDescent="0.2">
      <c r="B75" s="121"/>
      <c r="C75" s="14"/>
      <c r="D75" s="129"/>
      <c r="E75" s="133"/>
      <c r="F75" s="124"/>
      <c r="G75" s="130"/>
      <c r="H75" s="127"/>
      <c r="I75" s="127"/>
      <c r="J75" s="127"/>
      <c r="K75" s="127"/>
      <c r="L75" s="127"/>
      <c r="M75" s="127"/>
      <c r="N75" s="131"/>
      <c r="P75" s="94"/>
      <c r="Q75" s="94"/>
      <c r="R75" s="94"/>
      <c r="S75" s="94"/>
      <c r="T75" s="94"/>
      <c r="U75" s="94"/>
      <c r="W75" s="97">
        <v>2.75</v>
      </c>
      <c r="X75" s="98">
        <f t="shared" si="10"/>
        <v>0.71634044239640582</v>
      </c>
      <c r="Z75" s="95">
        <v>29</v>
      </c>
      <c r="AA75" s="3" t="s">
        <v>127</v>
      </c>
      <c r="AB75" s="99" t="s">
        <v>60</v>
      </c>
      <c r="AD75" s="94"/>
      <c r="AE75" s="94"/>
      <c r="AF75" s="94"/>
      <c r="AG75" s="94"/>
      <c r="AH75" s="94"/>
    </row>
    <row r="76" spans="2:34" x14ac:dyDescent="0.2">
      <c r="B76" s="121" t="s">
        <v>128</v>
      </c>
      <c r="C76" s="14" t="s">
        <v>129</v>
      </c>
      <c r="D76" s="122" t="s">
        <v>41</v>
      </c>
      <c r="E76" s="133"/>
      <c r="F76" s="134"/>
      <c r="G76" s="125">
        <f>IF(OR($D76="",$F76=""),0,IF($E76="",1,VLOOKUP($E76,centraal,2,FALSE))*VLOOKUP($F76,spelers,3,FALSE)*VLOOKUP($F76,spelers,5,FALSE)*VLOOKUP($F76,spelers,13,FALSE))</f>
        <v>0</v>
      </c>
      <c r="H76" s="127">
        <f>IF(OR($D76="",$F76=""),0,VLOOKUP($D76,contributies,2,FALSE)*VLOOKUP($F76,spelers,8,FALSE))*$G76</f>
        <v>0</v>
      </c>
      <c r="I76" s="127">
        <f>IF(OR($D76="",$F76=""),0,VLOOKUP($D76,contributies,6,FALSE)*VLOOKUP($F76,spelers,7,FALSE))*$G76</f>
        <v>0</v>
      </c>
      <c r="J76" s="127">
        <f>IF(OR($D76="",$F76=""),0,VLOOKUP($D76,contributies,4,FALSE)*VLOOKUP($F76,spelers,7,FALSE))*$G76</f>
        <v>0</v>
      </c>
      <c r="K76" s="126">
        <v>0</v>
      </c>
      <c r="L76" s="127">
        <f>IF(OR($D76="",$F76=""),0,(VLOOKUP($D76,contributies,10,FALSE)*VLOOKUP($F76,spelers,9,FALSE)+VLOOKUP($D76,contributies,9,FALSE)*VLOOKUP($F76,spelers,10,FALSE)))*$G76</f>
        <v>0</v>
      </c>
      <c r="M76" s="127">
        <f>IF(OR($D76="",$F76=""),0,VLOOKUP($D76,contributies,7,FALSE)*VLOOKUP($F76,spelers,10,FALSE))*$G76</f>
        <v>0</v>
      </c>
      <c r="N76" s="128">
        <v>0</v>
      </c>
      <c r="P76" s="94"/>
      <c r="Q76" s="94"/>
      <c r="R76" s="94"/>
      <c r="S76" s="93" t="s">
        <v>130</v>
      </c>
      <c r="T76" s="10"/>
      <c r="U76" s="11"/>
      <c r="W76" s="97">
        <v>2.5</v>
      </c>
      <c r="X76" s="98">
        <f t="shared" si="10"/>
        <v>0.68194448436815192</v>
      </c>
      <c r="Z76" s="95">
        <v>30</v>
      </c>
      <c r="AA76" s="3" t="s">
        <v>127</v>
      </c>
      <c r="AB76" s="99" t="s">
        <v>62</v>
      </c>
      <c r="AD76" s="94"/>
      <c r="AE76" s="94"/>
      <c r="AF76" s="94"/>
      <c r="AG76" s="94"/>
      <c r="AH76" s="94"/>
    </row>
    <row r="77" spans="2:34" x14ac:dyDescent="0.2">
      <c r="B77" s="121"/>
      <c r="C77" s="14" t="s">
        <v>131</v>
      </c>
      <c r="D77" s="122" t="s">
        <v>37</v>
      </c>
      <c r="E77" s="133" t="s">
        <v>91</v>
      </c>
      <c r="F77" s="134"/>
      <c r="G77" s="125">
        <f>IF(OR($D77="",$F77=""),0,IF($E77="",1,VLOOKUP($E77,centraal,2,FALSE))*VLOOKUP($F77,spelers,3,FALSE)*VLOOKUP($F77,spelers,5,FALSE)*VLOOKUP($F77,spelers,13,FALSE))</f>
        <v>0</v>
      </c>
      <c r="H77" s="127">
        <f>IF(OR($D77="",$F77=""),0,VLOOKUP($D77,contributies,2,FALSE)*VLOOKUP($F77,spelers,8,FALSE))*$G77</f>
        <v>0</v>
      </c>
      <c r="I77" s="127">
        <f>IF(OR($D77="",$F77=""),0,VLOOKUP($D77,contributies,6,FALSE)*VLOOKUP($F77,spelers,7,FALSE))*$G77</f>
        <v>0</v>
      </c>
      <c r="J77" s="127">
        <f>IF(OR($D77="",$F77=""),0,VLOOKUP($D77,contributies,4,FALSE)*VLOOKUP($F77,spelers,7,FALSE))*$G77</f>
        <v>0</v>
      </c>
      <c r="K77" s="126">
        <v>0</v>
      </c>
      <c r="L77" s="127">
        <f>IF(OR($D77="",$F77=""),0,(VLOOKUP($D77,contributies,9,FALSE)*VLOOKUP($F77,spelers,10,FALSE)+VLOOKUP($D77,contributies,10,FALSE)*VLOOKUP($F77,spelers,9,FALSE)))*$G77</f>
        <v>0</v>
      </c>
      <c r="M77" s="127">
        <f>IF(OR($D77="",$F77=""),0,VLOOKUP($D77,contributies,7,FALSE)*VLOOKUP($F77,spelers,10,FALSE))*$G77</f>
        <v>0</v>
      </c>
      <c r="N77" s="128">
        <v>0</v>
      </c>
      <c r="P77" s="94"/>
      <c r="Q77" s="94"/>
      <c r="R77" s="94"/>
      <c r="S77" s="95" t="s">
        <v>132</v>
      </c>
      <c r="T77" s="135">
        <f>(2*1.197332+1.196307)/3</f>
        <v>1.1969903333333334</v>
      </c>
      <c r="U77" s="104">
        <v>0.92800000000000005</v>
      </c>
      <c r="W77" s="97">
        <v>2.25</v>
      </c>
      <c r="X77" s="98">
        <f t="shared" si="10"/>
        <v>0.64494280705468776</v>
      </c>
      <c r="Z77" s="95">
        <v>31</v>
      </c>
      <c r="AA77" s="3" t="s">
        <v>127</v>
      </c>
      <c r="AB77" s="99" t="s">
        <v>64</v>
      </c>
      <c r="AD77" s="94"/>
      <c r="AE77" s="94"/>
      <c r="AF77" s="94"/>
      <c r="AG77" s="94"/>
      <c r="AH77" s="94"/>
    </row>
    <row r="78" spans="2:34" x14ac:dyDescent="0.2">
      <c r="B78" s="121"/>
      <c r="C78" s="14" t="s">
        <v>133</v>
      </c>
      <c r="D78" s="122" t="s">
        <v>37</v>
      </c>
      <c r="E78" s="133" t="s">
        <v>91</v>
      </c>
      <c r="F78" s="134"/>
      <c r="G78" s="125">
        <f>IF(OR($D78="",$F78=""),0,IF($E78="",1,VLOOKUP($E78,centraal,2,FALSE))*VLOOKUP($F78,spelers,3,FALSE)*VLOOKUP($F78,spelers,5,FALSE)*VLOOKUP($F78,spelers,13,FALSE))</f>
        <v>0</v>
      </c>
      <c r="H78" s="127">
        <f>IF(OR($D78="",$F78=""),0,VLOOKUP($D78,contributies,2,FALSE)*VLOOKUP($F78,spelers,8,FALSE))*$G78</f>
        <v>0</v>
      </c>
      <c r="I78" s="127">
        <f>IF(OR($D78="",$F78=""),0,VLOOKUP($D78,contributies,6,FALSE)*VLOOKUP($F78,spelers,7,FALSE))*$G78*0.5</f>
        <v>0</v>
      </c>
      <c r="J78" s="127">
        <f>IF(OR($D78="",$F78=""),0,VLOOKUP($D78,contributies,4,FALSE)*VLOOKUP($F78,spelers,7,FALSE))*$G78</f>
        <v>0</v>
      </c>
      <c r="K78" s="127">
        <f>IF(OR($D78="",$F78=""),0,VLOOKUP($D78,contributies,6,FALSE)*VLOOKUP($F78,spelers,7,FALSE))*$G78*0.5</f>
        <v>0</v>
      </c>
      <c r="L78" s="127">
        <f>IF(OR($D78="",$F78=""),0,(VLOOKUP($D78,contributies,9,FALSE)*VLOOKUP($F78,spelers,10,FALSE)+VLOOKUP($D78,contributies,10,FALSE)*VLOOKUP($F78,spelers,9,FALSE)))*$G78*0.5</f>
        <v>0</v>
      </c>
      <c r="M78" s="127">
        <f>IF(OR($D78="",$F78=""),0,VLOOKUP($D78,contributies,7,FALSE)*VLOOKUP($F78,spelers,10,FALSE))*$G78</f>
        <v>0</v>
      </c>
      <c r="N78" s="131">
        <f>IF(OR($D78="",$F78=""),0,(VLOOKUP($D78,contributies,9,FALSE)*VLOOKUP($F78,spelers,10,FALSE)+VLOOKUP($D78,contributies,10,FALSE)*VLOOKUP($F78,spelers,9,FALSE)))*$G78*0.5</f>
        <v>0</v>
      </c>
      <c r="P78" s="94"/>
      <c r="Q78" s="94"/>
      <c r="R78" s="94"/>
      <c r="S78" s="95" t="s">
        <v>134</v>
      </c>
      <c r="T78" s="135">
        <v>0.94</v>
      </c>
      <c r="U78" s="96">
        <v>1.05</v>
      </c>
      <c r="W78" s="97">
        <v>2</v>
      </c>
      <c r="X78" s="98">
        <f t="shared" si="10"/>
        <v>0.60471708754229225</v>
      </c>
      <c r="Z78" s="95">
        <v>32</v>
      </c>
      <c r="AA78" s="3" t="s">
        <v>135</v>
      </c>
      <c r="AB78" s="99" t="s">
        <v>58</v>
      </c>
      <c r="AD78" s="94"/>
      <c r="AE78" s="94"/>
      <c r="AF78" s="94"/>
      <c r="AG78" s="94"/>
      <c r="AH78" s="94"/>
    </row>
    <row r="79" spans="2:34" x14ac:dyDescent="0.2">
      <c r="B79" s="121"/>
      <c r="C79" s="14" t="s">
        <v>136</v>
      </c>
      <c r="D79" s="122" t="s">
        <v>37</v>
      </c>
      <c r="E79" s="133" t="s">
        <v>91</v>
      </c>
      <c r="F79" s="134"/>
      <c r="G79" s="125">
        <f>IF(OR($D79="",$F79=""),0,IF($E79="",1,VLOOKUP($E79,centraal,2,FALSE))*VLOOKUP($F79,spelers,3,FALSE)*VLOOKUP($F79,spelers,5,FALSE)*VLOOKUP($F79,spelers,13,FALSE))</f>
        <v>0</v>
      </c>
      <c r="H79" s="127">
        <f>IF(OR($D79="",$F79=""),0,VLOOKUP($D79,contributies,2,FALSE)*VLOOKUP($F79,spelers,8,FALSE))*$G79</f>
        <v>0</v>
      </c>
      <c r="I79" s="126">
        <v>0</v>
      </c>
      <c r="J79" s="127">
        <f>IF(OR($D79="",$F79=""),0,VLOOKUP($D79,contributies,4,FALSE)*VLOOKUP($F79,spelers,7,FALSE))*$G79</f>
        <v>0</v>
      </c>
      <c r="K79" s="127">
        <f>IF(OR($D79="",$F79=""),0,VLOOKUP($D79,contributies,6,FALSE)*VLOOKUP($F79,spelers,7,FALSE))*$G79</f>
        <v>0</v>
      </c>
      <c r="L79" s="126">
        <v>0</v>
      </c>
      <c r="M79" s="127">
        <f>IF(OR($D79="",$F79=""),0,VLOOKUP($D79,contributies,7,FALSE)*VLOOKUP($F79,spelers,10,FALSE))*$G79</f>
        <v>0</v>
      </c>
      <c r="N79" s="131">
        <f>IF(OR($D79="",$F79=""),0,(VLOOKUP($D79,contributies,9,FALSE)*VLOOKUP($F79,spelers,10,FALSE)+VLOOKUP($D79,contributies,10,FALSE)*VLOOKUP($F79,spelers,9,FALSE)))*$G79</f>
        <v>0</v>
      </c>
      <c r="P79" s="94"/>
      <c r="Q79" s="94"/>
      <c r="R79" s="94"/>
      <c r="S79" s="100" t="s">
        <v>94</v>
      </c>
      <c r="T79" s="136">
        <v>0.94</v>
      </c>
      <c r="U79" s="101">
        <f>(2*1.133359+1.135257)/3</f>
        <v>1.1339916666666667</v>
      </c>
      <c r="W79" s="97">
        <v>1.75</v>
      </c>
      <c r="X79" s="98">
        <f t="shared" si="10"/>
        <v>0.56036626080272234</v>
      </c>
      <c r="Z79" s="95">
        <v>33</v>
      </c>
      <c r="AA79" s="3" t="s">
        <v>135</v>
      </c>
      <c r="AB79" s="99" t="s">
        <v>60</v>
      </c>
      <c r="AD79" s="94"/>
      <c r="AE79" s="94"/>
      <c r="AF79" s="94"/>
      <c r="AG79" s="94"/>
      <c r="AH79" s="94"/>
    </row>
    <row r="80" spans="2:34" x14ac:dyDescent="0.2">
      <c r="B80" s="121"/>
      <c r="C80" s="14" t="s">
        <v>137</v>
      </c>
      <c r="D80" s="122" t="s">
        <v>41</v>
      </c>
      <c r="E80" s="133"/>
      <c r="F80" s="134"/>
      <c r="G80" s="125">
        <f>IF(OR($D80="",$F80=""),0,IF($E80="",1,VLOOKUP($E80,centraal,2,FALSE))*VLOOKUP($F80,spelers,3,FALSE)*VLOOKUP($F80,spelers,5,FALSE)*VLOOKUP($F80,spelers,13,FALSE))</f>
        <v>0</v>
      </c>
      <c r="H80" s="127">
        <f>IF(OR($D80="",$F80=""),0,VLOOKUP($D80,contributies,2,FALSE)*VLOOKUP($F80,spelers,8,FALSE))*$G80</f>
        <v>0</v>
      </c>
      <c r="I80" s="126">
        <v>0</v>
      </c>
      <c r="J80" s="127">
        <f>IF(OR($D80="",$F80=""),0,VLOOKUP($D80,contributies,4,FALSE)*VLOOKUP($F80,spelers,7,FALSE))*$G80</f>
        <v>0</v>
      </c>
      <c r="K80" s="127">
        <f>IF(OR($D80="",$F80=""),0,VLOOKUP($D80,contributies,6,FALSE)*VLOOKUP($F80,spelers,7,FALSE))*$G80</f>
        <v>0</v>
      </c>
      <c r="L80" s="126">
        <v>0</v>
      </c>
      <c r="M80" s="127">
        <f>IF(OR($D80="",$F80=""),0,VLOOKUP($D80,contributies,7,FALSE)*VLOOKUP($F80,spelers,10,FALSE))*$G80</f>
        <v>0</v>
      </c>
      <c r="N80" s="131">
        <f>IF(OR($D80="",$F80=""),0,(VLOOKUP($D80,contributies,10,FALSE)*VLOOKUP($F80,spelers,9,FALSE)+VLOOKUP($D80,contributies,9,FALSE)*VLOOKUP($F80,spelers,10,FALSE)))*$G80</f>
        <v>0</v>
      </c>
      <c r="P80" s="94"/>
      <c r="Q80" s="94"/>
      <c r="R80" s="94"/>
      <c r="W80" s="97">
        <v>1.5</v>
      </c>
      <c r="X80" s="98">
        <f t="shared" si="10"/>
        <v>0.51048738047275033</v>
      </c>
      <c r="Z80" s="95">
        <v>34</v>
      </c>
      <c r="AA80" s="3" t="s">
        <v>135</v>
      </c>
      <c r="AB80" s="99" t="s">
        <v>62</v>
      </c>
      <c r="AD80" s="94"/>
      <c r="AE80" s="94"/>
      <c r="AF80" s="94"/>
      <c r="AG80" s="94"/>
      <c r="AH80" s="94"/>
    </row>
    <row r="81" spans="2:34" x14ac:dyDescent="0.2">
      <c r="B81" s="41"/>
      <c r="C81" s="14"/>
      <c r="D81" s="129"/>
      <c r="E81" s="133"/>
      <c r="F81" s="124"/>
      <c r="G81" s="130"/>
      <c r="H81" s="127"/>
      <c r="I81" s="127"/>
      <c r="J81" s="127"/>
      <c r="K81" s="127"/>
      <c r="L81" s="127"/>
      <c r="M81" s="127"/>
      <c r="N81" s="131"/>
      <c r="P81" s="94"/>
      <c r="Q81" s="94"/>
      <c r="R81" s="94"/>
      <c r="S81" s="94"/>
      <c r="T81" s="94"/>
      <c r="W81" s="97">
        <v>1.25</v>
      </c>
      <c r="X81" s="98">
        <f t="shared" si="10"/>
        <v>0.45267679264624977</v>
      </c>
      <c r="Z81" s="95">
        <v>35</v>
      </c>
      <c r="AA81" s="3" t="s">
        <v>135</v>
      </c>
      <c r="AB81" s="99" t="s">
        <v>64</v>
      </c>
      <c r="AD81" s="94"/>
      <c r="AE81" s="94"/>
      <c r="AF81" s="94"/>
      <c r="AG81" s="94"/>
      <c r="AH81" s="94"/>
    </row>
    <row r="82" spans="2:34" x14ac:dyDescent="0.2">
      <c r="B82" s="41" t="s">
        <v>138</v>
      </c>
      <c r="C82" s="14" t="s">
        <v>139</v>
      </c>
      <c r="D82" s="122" t="s">
        <v>51</v>
      </c>
      <c r="E82" s="133" t="s">
        <v>111</v>
      </c>
      <c r="F82" s="134"/>
      <c r="G82" s="125">
        <f>IF(OR($D82="",$F82=""),0,IF($E82="",1,VLOOKUP($E82,centraal,2,FALSE))*VLOOKUP($F82,spelers,3,FALSE)*VLOOKUP($F82,spelers,5,FALSE)*VLOOKUP($F82,spelers,13,FALSE))</f>
        <v>0</v>
      </c>
      <c r="H82" s="127">
        <f>IF(OR($D82="",$F82=""),0,VLOOKUP($D82,contributies,2,FALSE)*VLOOKUP($F82,spelers,8,FALSE))*$G82</f>
        <v>0</v>
      </c>
      <c r="I82" s="126">
        <v>0</v>
      </c>
      <c r="J82" s="126">
        <v>0</v>
      </c>
      <c r="K82" s="126">
        <v>0</v>
      </c>
      <c r="L82" s="137">
        <f>IF(OR($D82="",$F82=""),0,(VLOOKUP($D82,contributies,9,FALSE)*VLOOKUP($F82,spelers,10,FALSE)+VLOOKUP($D82,contributies,10,FALSE)*VLOOKUP($F82,spelers,9,FALSE)+VLOOKUP($D82,contributies,11,FALSE)*VLOOKUP($F82,spelers,11,FALSE)))*$G82</f>
        <v>0</v>
      </c>
      <c r="M82" s="127">
        <f>IF(OR($D82="",$F82=""),0,(VLOOKUP($D82,contributies,8,FALSE)*VLOOKUP($F82,spelers,11,FALSE)+VLOOKUP($D82,contributies,7,FALSE)*VLOOKUP($F82,spelers,10,FALSE)))*$G82</f>
        <v>0</v>
      </c>
      <c r="N82" s="138">
        <f>IF(OR($D82="",$F82=""),0,IF($D82="FTW",$Z$24,VLOOKUP($D82,contributies,9,FALSE)*VLOOKUP($F82,spelers,10,FALSE)+VLOOKUP($D82,contributies,10,FALSE)*VLOOKUP($F82,spelers,9,FALSE)+VLOOKUP($D82,contributies,11,FALSE)*VLOOKUP($F82,spelers,11,FALSE)))*$G82</f>
        <v>0</v>
      </c>
      <c r="P82" s="94"/>
      <c r="Q82" s="94"/>
      <c r="R82" s="94"/>
      <c r="S82" s="94"/>
      <c r="T82" s="94"/>
      <c r="W82" s="139">
        <v>1</v>
      </c>
      <c r="X82" s="140">
        <f t="shared" si="10"/>
        <v>0.38213868078042185</v>
      </c>
      <c r="Z82" s="95">
        <v>36</v>
      </c>
      <c r="AA82" s="3" t="s">
        <v>140</v>
      </c>
      <c r="AB82" s="99" t="s">
        <v>58</v>
      </c>
      <c r="AD82" s="94"/>
      <c r="AE82" s="94"/>
      <c r="AF82" s="94"/>
      <c r="AG82" s="94"/>
      <c r="AH82" s="94"/>
    </row>
    <row r="83" spans="2:34" x14ac:dyDescent="0.2">
      <c r="B83" s="41"/>
      <c r="C83" s="14" t="s">
        <v>141</v>
      </c>
      <c r="D83" s="122" t="s">
        <v>50</v>
      </c>
      <c r="E83" s="133" t="s">
        <v>111</v>
      </c>
      <c r="F83" s="134"/>
      <c r="G83" s="125">
        <f>IF(OR($D83="",$F83=""),0,IF($E83="",1,VLOOKUP($E83,centraal,2,FALSE))*VLOOKUP($F83,spelers,3,FALSE)*VLOOKUP($F83,spelers,5,FALSE)*VLOOKUP($F83,spelers,13,FALSE))</f>
        <v>0</v>
      </c>
      <c r="H83" s="127">
        <f>IF(OR($D83="",$F83=""),0,VLOOKUP($D83,contributies,2,FALSE)*VLOOKUP($F83,spelers,8,FALSE))*$G83</f>
        <v>0</v>
      </c>
      <c r="I83" s="126">
        <v>0</v>
      </c>
      <c r="J83" s="126">
        <v>0</v>
      </c>
      <c r="K83" s="126">
        <v>0</v>
      </c>
      <c r="L83" s="137">
        <f>IF(OR($D83="",$F83=""),0,(VLOOKUP($D83,contributies,9,FALSE)*VLOOKUP($F83,spelers,10,FALSE)+VLOOKUP($D83,contributies,10,FALSE)*VLOOKUP($F83,spelers,9,FALSE)+VLOOKUP($D83,contributies,11,FALSE)*VLOOKUP($F83,spelers,11,FALSE)))*$G83</f>
        <v>0</v>
      </c>
      <c r="M83" s="127">
        <f>IF(OR($D83="",$F83=""),0,(VLOOKUP($D83,contributies,8,FALSE)*VLOOKUP($F83,spelers,11,FALSE)+VLOOKUP($D83,contributies,7,FALSE)*VLOOKUP($F83,spelers,10,FALSE)))*$G83</f>
        <v>0</v>
      </c>
      <c r="N83" s="138">
        <f>IF(OR($D83="",$F83=""),0,(VLOOKUP($D83,contributies,9,FALSE)*VLOOKUP($F83,spelers,10,FALSE)+VLOOKUP($D83,contributies,10,FALSE)*VLOOKUP($F83,spelers,9,FALSE)+VLOOKUP($D83,contributies,11,FALSE)*VLOOKUP($F83,spelers,11,FALSE)))*$G83</f>
        <v>0</v>
      </c>
      <c r="P83" s="94"/>
      <c r="Q83" s="94"/>
      <c r="R83" s="94"/>
      <c r="S83" s="141"/>
      <c r="T83" s="141"/>
      <c r="U83" s="94"/>
      <c r="Z83" s="95">
        <v>37</v>
      </c>
      <c r="AA83" s="3" t="s">
        <v>140</v>
      </c>
      <c r="AB83" s="99" t="s">
        <v>60</v>
      </c>
      <c r="AD83" s="94"/>
      <c r="AE83" s="94"/>
      <c r="AF83" s="94"/>
      <c r="AG83" s="94"/>
      <c r="AH83" s="94"/>
    </row>
    <row r="84" spans="2:34" x14ac:dyDescent="0.2">
      <c r="B84" s="142"/>
      <c r="C84" s="143" t="s">
        <v>142</v>
      </c>
      <c r="D84" s="122" t="s">
        <v>51</v>
      </c>
      <c r="E84" s="133" t="s">
        <v>111</v>
      </c>
      <c r="F84" s="134"/>
      <c r="G84" s="144">
        <f>IF(OR($D84="",$F84=""),0,IF($E84="",1,VLOOKUP($E84,centraal,2,FALSE))*VLOOKUP($F84,spelers,3,FALSE)*VLOOKUP($F84,spelers,5,FALSE)*VLOOKUP($F84,spelers,13,FALSE))</f>
        <v>0</v>
      </c>
      <c r="H84" s="145">
        <f>IF(OR($D84="",$F84=""),0,VLOOKUP($D84,contributies,2,FALSE)*VLOOKUP($F84,spelers,8,FALSE))*$G84</f>
        <v>0</v>
      </c>
      <c r="I84" s="146">
        <v>0</v>
      </c>
      <c r="J84" s="146">
        <v>0</v>
      </c>
      <c r="K84" s="146">
        <v>0</v>
      </c>
      <c r="L84" s="147">
        <f>IF(OR($D84="",$F84=""),0,IF($D84="FTW",$Z$24,VLOOKUP($D84,contributies,9,FALSE)*VLOOKUP($F84,spelers,10,FALSE)+VLOOKUP($D84,contributies,10,FALSE)*VLOOKUP($F84,spelers,9,FALSE)+VLOOKUP($D84,contributies,11,FALSE)*VLOOKUP($F84,spelers,11,FALSE)))*$G84</f>
        <v>0</v>
      </c>
      <c r="M84" s="145">
        <f>IF(OR($D84="",$F84=""),0,(VLOOKUP($D84,contributies,8,FALSE)*VLOOKUP($F84,spelers,11,FALSE)+VLOOKUP($D84,contributies,7,FALSE)*VLOOKUP($F84,spelers,10,FALSE)))*$G84</f>
        <v>0</v>
      </c>
      <c r="N84" s="148">
        <f>IF(OR($D84="",$F84=""),0,(VLOOKUP($D84,contributies,9,FALSE)*VLOOKUP($F84,spelers,10,FALSE)+VLOOKUP($D84,contributies,10,FALSE)*VLOOKUP($F84,spelers,9,FALSE)+VLOOKUP($D84,contributies,11,FALSE)*VLOOKUP($F84,spelers,11,FALSE)))*$G84</f>
        <v>0</v>
      </c>
      <c r="P84" s="94"/>
      <c r="Q84" s="94"/>
      <c r="R84" s="94"/>
      <c r="S84" s="94"/>
      <c r="T84" s="141"/>
      <c r="U84" s="94"/>
      <c r="Z84" s="95">
        <v>38</v>
      </c>
      <c r="AA84" s="3" t="s">
        <v>140</v>
      </c>
      <c r="AB84" s="99" t="s">
        <v>62</v>
      </c>
      <c r="AD84" s="94"/>
      <c r="AE84" s="94"/>
      <c r="AF84" s="94"/>
      <c r="AG84" s="94"/>
      <c r="AH84" s="94"/>
    </row>
    <row r="85" spans="2:34" x14ac:dyDescent="0.2">
      <c r="B85" s="41"/>
      <c r="C85" s="14"/>
      <c r="D85" s="14"/>
      <c r="E85" s="14"/>
      <c r="F85" s="14"/>
      <c r="G85" s="14"/>
      <c r="H85" s="149"/>
      <c r="I85" s="149"/>
      <c r="J85" s="149"/>
      <c r="K85" s="149"/>
      <c r="L85" s="149"/>
      <c r="M85" s="149"/>
      <c r="N85" s="150"/>
      <c r="P85" s="94"/>
      <c r="Q85" s="94"/>
      <c r="R85" s="94"/>
      <c r="S85" s="94"/>
      <c r="T85" s="94"/>
      <c r="U85" s="94"/>
      <c r="W85" s="151"/>
      <c r="X85" s="152"/>
      <c r="Z85" s="95">
        <v>39</v>
      </c>
      <c r="AA85" s="3" t="s">
        <v>140</v>
      </c>
      <c r="AB85" s="99" t="s">
        <v>64</v>
      </c>
      <c r="AD85" s="94"/>
      <c r="AE85" s="94"/>
      <c r="AF85" s="94"/>
      <c r="AG85" s="94"/>
      <c r="AH85" s="94"/>
    </row>
    <row r="86" spans="2:34" x14ac:dyDescent="0.2">
      <c r="B86" s="41"/>
      <c r="C86" s="14"/>
      <c r="D86" s="14"/>
      <c r="E86" s="14"/>
      <c r="F86" s="14"/>
      <c r="G86" s="14"/>
      <c r="H86" s="153">
        <f t="shared" ref="H86:N86" si="14">SUM(H68:H84)</f>
        <v>0</v>
      </c>
      <c r="I86" s="153">
        <f t="shared" si="14"/>
        <v>17.903903405956846</v>
      </c>
      <c r="J86" s="153">
        <f t="shared" si="14"/>
        <v>17.26194703052068</v>
      </c>
      <c r="K86" s="153">
        <f t="shared" si="14"/>
        <v>17.903903405956846</v>
      </c>
      <c r="L86" s="153">
        <f t="shared" si="14"/>
        <v>0</v>
      </c>
      <c r="M86" s="153">
        <f t="shared" si="14"/>
        <v>0</v>
      </c>
      <c r="N86" s="154">
        <f t="shared" si="14"/>
        <v>0</v>
      </c>
      <c r="P86" s="94"/>
      <c r="Q86" s="94"/>
      <c r="R86" s="94"/>
      <c r="S86" s="94"/>
      <c r="T86" s="94"/>
      <c r="U86" s="94"/>
      <c r="Z86" s="95">
        <v>40</v>
      </c>
      <c r="AA86" s="3" t="s">
        <v>143</v>
      </c>
      <c r="AB86" s="99" t="s">
        <v>58</v>
      </c>
      <c r="AD86" s="94"/>
      <c r="AE86" s="94"/>
      <c r="AF86" s="94"/>
      <c r="AG86" s="94"/>
      <c r="AH86" s="94"/>
    </row>
    <row r="87" spans="2:34" x14ac:dyDescent="0.2">
      <c r="B87" s="41"/>
      <c r="C87" s="14"/>
      <c r="D87" s="14"/>
      <c r="E87" s="14"/>
      <c r="F87" s="14"/>
      <c r="G87" s="155" t="s">
        <v>144</v>
      </c>
      <c r="H87" s="156">
        <v>1</v>
      </c>
      <c r="I87" s="156">
        <v>1.08</v>
      </c>
      <c r="J87" s="156">
        <v>1.08</v>
      </c>
      <c r="K87" s="156">
        <v>1.08</v>
      </c>
      <c r="L87" s="156">
        <v>1</v>
      </c>
      <c r="M87" s="156">
        <v>1</v>
      </c>
      <c r="N87" s="157">
        <v>1</v>
      </c>
      <c r="O87"/>
      <c r="P87" s="94"/>
      <c r="Q87" s="94"/>
      <c r="R87" s="94"/>
      <c r="S87" s="94"/>
      <c r="T87" s="94"/>
      <c r="U87" s="94"/>
      <c r="W87" s="151" t="s">
        <v>145</v>
      </c>
      <c r="X87" s="152">
        <v>0.2</v>
      </c>
      <c r="Z87" s="95">
        <v>41</v>
      </c>
      <c r="AA87" s="3" t="s">
        <v>143</v>
      </c>
      <c r="AB87" s="99" t="s">
        <v>60</v>
      </c>
      <c r="AD87" s="94"/>
      <c r="AE87" s="94"/>
      <c r="AF87" s="94"/>
    </row>
    <row r="88" spans="2:34" x14ac:dyDescent="0.2">
      <c r="B88" s="41"/>
      <c r="C88" s="14"/>
      <c r="D88" s="14"/>
      <c r="E88" s="158" t="s">
        <v>146</v>
      </c>
      <c r="F88" s="158"/>
      <c r="G88" s="159">
        <f>H88*3+SUM(I88:N88)</f>
        <v>53.876414100839369</v>
      </c>
      <c r="H88" s="160">
        <f>H86*H87*VLOOKUP($C$59,wedstrijd,2,FALSE)*VLOOKUP($C$60,instelling,2,FALSE)*VLOOKUP($C$61,ts,2,FALSE)*IF($C$63="Counter",$T$61,1)*IF($C$63="Long Shots",$T$63,1)</f>
        <v>0</v>
      </c>
      <c r="I88" s="160">
        <f>I86*I87*VLOOKUP($C$64,coach,2,FALSE)*IF($C$63="AIM",$T$62,1)*IF($C$63="Creative",$T$59,1)</f>
        <v>18.176042737727389</v>
      </c>
      <c r="J88" s="160">
        <f>J86*J87*VLOOKUP($C$64,coach,2,FALSE)*IF($C$63="AOW",$T$59,1)*IF($C$63="Creative",$T$59,1)</f>
        <v>17.524328625384594</v>
      </c>
      <c r="K88" s="160">
        <f>K86*K87*VLOOKUP($C$64,coach,2,FALSE)*IF($C$63="AIM",$T$62,1)*IF($C$63="Creative",$T$59,1)</f>
        <v>18.176042737727389</v>
      </c>
      <c r="L88" s="161">
        <f>L86*L87*VLOOKUP($C$64,coach,3,FALSE)*VLOOKUP($C$62,zv,2,FALSE)*IF($C$63="Long Shots",$T$64,1)</f>
        <v>0</v>
      </c>
      <c r="M88" s="161">
        <f>M86*M87*VLOOKUP($C$64,coach,3,FALSE)*VLOOKUP($C$62,zv,2,FALSE)*IF($C$63="Long Shots",$T$64,1)</f>
        <v>0</v>
      </c>
      <c r="N88" s="162">
        <f>N86*N87*VLOOKUP($C$64,coach,3,FALSE)*VLOOKUP($C$62,zv,2,FALSE)*IF($C$63="Long Shots",$T$64,1)</f>
        <v>0</v>
      </c>
      <c r="P88" s="94"/>
      <c r="Q88" s="94"/>
      <c r="R88" s="94"/>
      <c r="S88" s="94"/>
      <c r="T88" s="94"/>
      <c r="U88" s="94"/>
      <c r="Z88" s="95">
        <v>42</v>
      </c>
      <c r="AA88" s="3" t="s">
        <v>143</v>
      </c>
      <c r="AB88" s="99" t="s">
        <v>62</v>
      </c>
      <c r="AD88" s="94"/>
      <c r="AE88" s="94"/>
      <c r="AF88" s="94"/>
    </row>
    <row r="89" spans="2:34" x14ac:dyDescent="0.2">
      <c r="B89" s="41"/>
      <c r="C89" s="14"/>
      <c r="D89" s="14"/>
      <c r="E89" s="163"/>
      <c r="F89" s="164"/>
      <c r="G89" s="165"/>
      <c r="H89" s="166"/>
      <c r="I89" s="166"/>
      <c r="J89" s="166"/>
      <c r="K89" s="166"/>
      <c r="L89" s="166"/>
      <c r="M89" s="166"/>
      <c r="N89" s="167"/>
      <c r="P89" s="94"/>
      <c r="Q89" s="94"/>
      <c r="R89" s="94"/>
      <c r="S89" s="94"/>
      <c r="T89" s="94"/>
      <c r="U89" s="94"/>
      <c r="Z89" s="95">
        <v>43</v>
      </c>
      <c r="AA89" s="3" t="s">
        <v>143</v>
      </c>
      <c r="AB89" s="99" t="s">
        <v>64</v>
      </c>
      <c r="AD89" s="94"/>
      <c r="AE89" s="94"/>
      <c r="AF89" s="94"/>
    </row>
    <row r="90" spans="2:34" x14ac:dyDescent="0.2">
      <c r="B90" s="41"/>
      <c r="C90" s="14"/>
      <c r="D90" s="123" t="s">
        <v>147</v>
      </c>
      <c r="E90" s="168">
        <v>70</v>
      </c>
      <c r="F90" s="158"/>
      <c r="G90" s="159">
        <f>H90*3+SUM(I90:N90)</f>
        <v>55.672294570867358</v>
      </c>
      <c r="H90" s="160">
        <f>H88</f>
        <v>0</v>
      </c>
      <c r="I90" s="160">
        <f>I88*(1+((1-$E$90/90)*0.15))</f>
        <v>18.781910828984969</v>
      </c>
      <c r="J90" s="160">
        <f>J88*(1+((1-$E$90/90)*0.15))</f>
        <v>18.108472912897415</v>
      </c>
      <c r="K90" s="160">
        <f>K88*(1+((1-$E$90/90)*0.15))</f>
        <v>18.781910828984969</v>
      </c>
      <c r="L90" s="160">
        <f>L88/(1+((1-$E$90/90)*0.25))</f>
        <v>0</v>
      </c>
      <c r="M90" s="160">
        <f>M88/(1+((1-$E$90/90)*0.25))</f>
        <v>0</v>
      </c>
      <c r="N90" s="169">
        <f>N88/(1+((1-$E$90/90)*0.25))</f>
        <v>0</v>
      </c>
      <c r="P90" s="94"/>
      <c r="Q90" s="94"/>
      <c r="R90" s="94"/>
      <c r="S90" s="94"/>
      <c r="T90" s="94"/>
      <c r="U90" s="94"/>
      <c r="Z90" s="95">
        <v>44</v>
      </c>
      <c r="AA90" s="3" t="s">
        <v>63</v>
      </c>
      <c r="AB90" s="99" t="s">
        <v>58</v>
      </c>
      <c r="AD90" s="94"/>
      <c r="AE90" s="94"/>
      <c r="AF90" s="94"/>
    </row>
    <row r="91" spans="2:34" x14ac:dyDescent="0.2">
      <c r="B91" s="41"/>
      <c r="C91" s="14"/>
      <c r="D91" s="14"/>
      <c r="E91" s="14"/>
      <c r="F91" s="14"/>
      <c r="G91" s="170"/>
      <c r="H91" s="14"/>
      <c r="I91" s="14"/>
      <c r="J91" s="14"/>
      <c r="K91" s="14"/>
      <c r="L91" s="14"/>
      <c r="M91" s="14"/>
      <c r="N91" s="171"/>
      <c r="P91" s="94"/>
      <c r="Q91" s="172" t="s">
        <v>148</v>
      </c>
      <c r="R91" s="94"/>
      <c r="S91" s="94"/>
      <c r="T91" s="94"/>
      <c r="U91" s="94"/>
      <c r="Z91" s="95">
        <v>45</v>
      </c>
      <c r="AA91" s="3" t="s">
        <v>63</v>
      </c>
      <c r="AB91" s="99" t="s">
        <v>60</v>
      </c>
      <c r="AD91" s="94"/>
      <c r="AE91" s="94"/>
      <c r="AF91" s="94"/>
    </row>
    <row r="92" spans="2:34" x14ac:dyDescent="0.2">
      <c r="B92" s="41"/>
      <c r="C92" s="158" t="s">
        <v>149</v>
      </c>
      <c r="D92" s="173" t="s">
        <v>128</v>
      </c>
      <c r="E92" s="174" t="str">
        <f>CONCATENATE(VLOOKUP($H$90,stats,2,TRUE)," ",VLOOKUP($H$90,stats,3,TRUE))</f>
        <v>rampzalig heel laag</v>
      </c>
      <c r="F92" s="14"/>
      <c r="G92" s="14"/>
      <c r="H92" s="14"/>
      <c r="I92" s="14"/>
      <c r="J92" s="14"/>
      <c r="K92" s="14"/>
      <c r="L92" s="158" t="s">
        <v>150</v>
      </c>
      <c r="M92" s="173" t="s">
        <v>128</v>
      </c>
      <c r="N92" s="175" t="str">
        <f>CONCATENATE(VLOOKUP($H$88,stats,2,TRUE)," ",VLOOKUP($H$88,stats,3,TRUE))</f>
        <v>rampzalig heel laag</v>
      </c>
      <c r="O92" s="176">
        <f>L125</f>
        <v>1</v>
      </c>
      <c r="P92" s="177" t="s">
        <v>128</v>
      </c>
      <c r="Q92" s="94"/>
      <c r="R92" s="94"/>
      <c r="S92" s="178">
        <f>R92-O92</f>
        <v>-1</v>
      </c>
      <c r="T92" s="94"/>
      <c r="U92" s="94"/>
      <c r="Z92" s="95">
        <v>46</v>
      </c>
      <c r="AA92" s="3" t="s">
        <v>63</v>
      </c>
      <c r="AB92" s="99" t="s">
        <v>62</v>
      </c>
      <c r="AD92" s="94"/>
      <c r="AE92" s="94"/>
      <c r="AF92" s="94"/>
    </row>
    <row r="93" spans="2:34" x14ac:dyDescent="0.2">
      <c r="B93" s="41"/>
      <c r="C93" s="173"/>
      <c r="D93" s="173"/>
      <c r="E93" s="173"/>
      <c r="F93" s="14"/>
      <c r="G93" s="14"/>
      <c r="H93" s="14"/>
      <c r="I93" s="14"/>
      <c r="J93" s="14"/>
      <c r="K93" s="14"/>
      <c r="L93" s="173"/>
      <c r="M93" s="173"/>
      <c r="N93" s="179"/>
      <c r="O93" s="176"/>
      <c r="R93" s="94"/>
      <c r="S93" s="94"/>
      <c r="T93" s="94"/>
      <c r="U93" s="94"/>
      <c r="Z93" s="95">
        <v>47</v>
      </c>
      <c r="AA93" s="3" t="s">
        <v>63</v>
      </c>
      <c r="AB93" s="99" t="s">
        <v>64</v>
      </c>
      <c r="AD93" s="94"/>
      <c r="AE93" s="94"/>
      <c r="AF93" s="94"/>
    </row>
    <row r="94" spans="2:34" x14ac:dyDescent="0.2">
      <c r="B94" s="41"/>
      <c r="C94" s="173"/>
      <c r="D94" s="173" t="s">
        <v>151</v>
      </c>
      <c r="E94" s="173" t="str">
        <f>CONCATENATE(VLOOKUP($I$90,stats,2,TRUE)," ",VLOOKUP($I$90,stats,3,TRUE))</f>
        <v>matig hoog</v>
      </c>
      <c r="F94" s="14"/>
      <c r="G94" s="14"/>
      <c r="H94" s="14"/>
      <c r="I94" s="14"/>
      <c r="J94" s="14"/>
      <c r="K94" s="14"/>
      <c r="L94" s="173"/>
      <c r="M94" s="173" t="s">
        <v>151</v>
      </c>
      <c r="N94" s="179" t="str">
        <f>CONCATENATE(VLOOKUP($I$88,stats,2,TRUE)," ",VLOOKUP($I$88,stats,3,TRUE))</f>
        <v>matig hoog</v>
      </c>
      <c r="O94" s="176">
        <f t="shared" ref="O94:O100" si="15">L127</f>
        <v>19</v>
      </c>
      <c r="P94" s="177" t="s">
        <v>152</v>
      </c>
      <c r="Q94" s="94"/>
      <c r="R94" s="94"/>
      <c r="S94" s="178">
        <f>R94-O94</f>
        <v>-19</v>
      </c>
      <c r="T94" s="94"/>
      <c r="U94" s="94"/>
      <c r="Z94" s="95">
        <v>48</v>
      </c>
      <c r="AA94" s="3" t="s">
        <v>153</v>
      </c>
      <c r="AB94" s="99" t="s">
        <v>58</v>
      </c>
      <c r="AD94" s="94"/>
      <c r="AE94" s="94"/>
      <c r="AF94" s="94"/>
    </row>
    <row r="95" spans="2:34" x14ac:dyDescent="0.2">
      <c r="B95" s="41"/>
      <c r="C95" s="173"/>
      <c r="D95" s="173" t="s">
        <v>154</v>
      </c>
      <c r="E95" s="173" t="str">
        <f>CONCATENATE(VLOOKUP($J$90,stats,2,TRUE)," ",VLOOKUP($J$90,stats,3,TRUE))</f>
        <v>matig hoog</v>
      </c>
      <c r="F95" s="14"/>
      <c r="G95" s="14"/>
      <c r="H95" s="14"/>
      <c r="I95" s="14"/>
      <c r="J95" s="14"/>
      <c r="K95" s="14"/>
      <c r="L95" s="173"/>
      <c r="M95" s="173" t="s">
        <v>154</v>
      </c>
      <c r="N95" s="179" t="str">
        <f>CONCATENATE(VLOOKUP($J$88,stats,2,TRUE)," ",VLOOKUP($J$88,stats,3,TRUE))</f>
        <v>matig laag</v>
      </c>
      <c r="O95" s="176">
        <f t="shared" si="15"/>
        <v>18</v>
      </c>
      <c r="P95" s="177" t="s">
        <v>155</v>
      </c>
      <c r="Q95" s="94"/>
      <c r="R95" s="94"/>
      <c r="S95" s="178">
        <f>R95-O95</f>
        <v>-18</v>
      </c>
      <c r="T95" s="94"/>
      <c r="U95" s="94"/>
      <c r="Z95" s="95">
        <v>49</v>
      </c>
      <c r="AA95" s="3" t="s">
        <v>153</v>
      </c>
      <c r="AB95" s="99" t="s">
        <v>60</v>
      </c>
      <c r="AD95" s="94"/>
      <c r="AE95" s="94"/>
      <c r="AF95" s="94"/>
      <c r="AG95" s="135"/>
    </row>
    <row r="96" spans="2:34" x14ac:dyDescent="0.2">
      <c r="B96" s="41"/>
      <c r="C96" s="173"/>
      <c r="D96" s="173" t="s">
        <v>156</v>
      </c>
      <c r="E96" s="173" t="str">
        <f>CONCATENATE(VLOOKUP($K$90,stats,2,TRUE)," ",VLOOKUP($K$90,stats,3,TRUE))</f>
        <v>matig hoog</v>
      </c>
      <c r="F96" s="14"/>
      <c r="G96" s="14"/>
      <c r="H96" s="14"/>
      <c r="I96" s="14"/>
      <c r="J96" s="14"/>
      <c r="K96" s="14"/>
      <c r="L96" s="173"/>
      <c r="M96" s="173" t="s">
        <v>156</v>
      </c>
      <c r="N96" s="179" t="str">
        <f>CONCATENATE(VLOOKUP($K$88,stats,2,TRUE)," ",VLOOKUP($K$88,stats,3,TRUE))</f>
        <v>matig hoog</v>
      </c>
      <c r="O96" s="176">
        <f t="shared" si="15"/>
        <v>19</v>
      </c>
      <c r="P96" s="177" t="s">
        <v>157</v>
      </c>
      <c r="Q96" s="94"/>
      <c r="R96" s="94"/>
      <c r="S96" s="178">
        <f>R96-O96</f>
        <v>-19</v>
      </c>
      <c r="T96" s="94"/>
      <c r="U96" s="94"/>
      <c r="Z96" s="95">
        <v>50</v>
      </c>
      <c r="AA96" s="3" t="s">
        <v>153</v>
      </c>
      <c r="AB96" s="99" t="s">
        <v>62</v>
      </c>
      <c r="AD96" s="94"/>
      <c r="AE96" s="94"/>
      <c r="AF96" s="94"/>
      <c r="AG96" s="135"/>
    </row>
    <row r="97" spans="2:33" x14ac:dyDescent="0.2">
      <c r="B97" s="41"/>
      <c r="C97" s="173"/>
      <c r="D97" s="173"/>
      <c r="E97" s="173"/>
      <c r="F97" s="14"/>
      <c r="G97" s="14"/>
      <c r="H97" s="14"/>
      <c r="I97" s="14"/>
      <c r="J97" s="14"/>
      <c r="K97" s="14"/>
      <c r="L97" s="173"/>
      <c r="M97" s="173"/>
      <c r="N97" s="179"/>
      <c r="O97" s="176"/>
      <c r="Q97" s="94"/>
      <c r="R97" s="94"/>
      <c r="S97" s="180"/>
      <c r="T97" s="94"/>
      <c r="U97" s="94"/>
      <c r="Z97" s="95">
        <v>51</v>
      </c>
      <c r="AA97" s="3" t="s">
        <v>153</v>
      </c>
      <c r="AB97" s="99" t="s">
        <v>64</v>
      </c>
      <c r="AD97" s="94"/>
      <c r="AE97" s="94"/>
      <c r="AF97" s="94"/>
      <c r="AG97" s="135"/>
    </row>
    <row r="98" spans="2:33" x14ac:dyDescent="0.2">
      <c r="B98" s="41"/>
      <c r="C98" s="173"/>
      <c r="D98" s="173" t="s">
        <v>158</v>
      </c>
      <c r="E98" s="173" t="str">
        <f>CONCATENATE(VLOOKUP($L$90,stats,2,TRUE)," ",VLOOKUP($L$90,stats,3,TRUE))</f>
        <v>rampzalig heel laag</v>
      </c>
      <c r="F98" s="14"/>
      <c r="G98" s="14"/>
      <c r="H98" s="14"/>
      <c r="I98" s="14"/>
      <c r="J98" s="14"/>
      <c r="K98" s="14"/>
      <c r="L98" s="173"/>
      <c r="M98" s="173" t="s">
        <v>158</v>
      </c>
      <c r="N98" s="179" t="str">
        <f>CONCATENATE(VLOOKUP($L$88,stats,2,TRUE)," ",VLOOKUP($L$88,stats,3,TRUE))</f>
        <v>rampzalig heel laag</v>
      </c>
      <c r="O98" s="176">
        <f t="shared" si="15"/>
        <v>1</v>
      </c>
      <c r="P98" s="177" t="s">
        <v>159</v>
      </c>
      <c r="Q98" s="94"/>
      <c r="R98" s="94"/>
      <c r="S98" s="178">
        <f>R98-O98</f>
        <v>-1</v>
      </c>
      <c r="T98" s="94"/>
      <c r="U98" s="94"/>
      <c r="Z98" s="95">
        <v>52</v>
      </c>
      <c r="AA98" s="3" t="s">
        <v>160</v>
      </c>
      <c r="AB98" s="99" t="s">
        <v>58</v>
      </c>
      <c r="AD98" s="94"/>
      <c r="AE98" s="94"/>
      <c r="AF98" s="94"/>
      <c r="AG98" s="135"/>
    </row>
    <row r="99" spans="2:33" x14ac:dyDescent="0.2">
      <c r="B99" s="41"/>
      <c r="C99" s="173"/>
      <c r="D99" s="173" t="s">
        <v>161</v>
      </c>
      <c r="E99" s="173" t="str">
        <f>CONCATENATE(VLOOKUP($M$90,stats,2,TRUE)," ",VLOOKUP($M$90,stats,3,TRUE))</f>
        <v>rampzalig heel laag</v>
      </c>
      <c r="F99" s="14"/>
      <c r="G99" s="14"/>
      <c r="H99" s="14"/>
      <c r="I99" s="14"/>
      <c r="J99" s="14"/>
      <c r="K99" s="14"/>
      <c r="L99" s="173"/>
      <c r="M99" s="173" t="s">
        <v>161</v>
      </c>
      <c r="N99" s="179" t="str">
        <f>CONCATENATE(VLOOKUP($M$88,stats,2,TRUE)," ",VLOOKUP($M$88,stats,3,TRUE))</f>
        <v>rampzalig heel laag</v>
      </c>
      <c r="O99" s="176">
        <f t="shared" si="15"/>
        <v>1</v>
      </c>
      <c r="P99" s="177" t="s">
        <v>162</v>
      </c>
      <c r="Q99" s="94"/>
      <c r="R99" s="94"/>
      <c r="S99" s="178">
        <f>R99-O99</f>
        <v>-1</v>
      </c>
      <c r="T99" s="94"/>
      <c r="U99" s="94"/>
      <c r="Z99" s="95">
        <v>53</v>
      </c>
      <c r="AA99" s="3" t="s">
        <v>160</v>
      </c>
      <c r="AB99" s="99" t="s">
        <v>60</v>
      </c>
      <c r="AD99" s="94"/>
      <c r="AE99" s="94"/>
      <c r="AF99" s="94"/>
      <c r="AG99" s="135"/>
    </row>
    <row r="100" spans="2:33" ht="13.5" thickBot="1" x14ac:dyDescent="0.25">
      <c r="B100" s="181"/>
      <c r="C100" s="182"/>
      <c r="D100" s="183" t="s">
        <v>163</v>
      </c>
      <c r="E100" s="183" t="str">
        <f>CONCATENATE(VLOOKUP($N$90,stats,2,TRUE)," ",VLOOKUP($N$90,stats,3,TRUE))</f>
        <v>rampzalig heel laag</v>
      </c>
      <c r="F100" s="184"/>
      <c r="G100" s="184"/>
      <c r="H100" s="184"/>
      <c r="I100" s="184"/>
      <c r="J100" s="184"/>
      <c r="K100" s="184"/>
      <c r="L100" s="182"/>
      <c r="M100" s="183" t="s">
        <v>163</v>
      </c>
      <c r="N100" s="185" t="str">
        <f>CONCATENATE(VLOOKUP($N$88,stats,2,TRUE)," ",VLOOKUP($N$88,stats,3,TRUE))</f>
        <v>rampzalig heel laag</v>
      </c>
      <c r="O100" s="176">
        <f t="shared" si="15"/>
        <v>1</v>
      </c>
      <c r="P100" s="177" t="s">
        <v>164</v>
      </c>
      <c r="Q100" s="94"/>
      <c r="R100" s="94"/>
      <c r="S100" s="178">
        <f>R100-O100</f>
        <v>-1</v>
      </c>
      <c r="T100" s="94"/>
      <c r="U100" s="94"/>
      <c r="Z100" s="95">
        <v>54</v>
      </c>
      <c r="AA100" s="3" t="s">
        <v>160</v>
      </c>
      <c r="AB100" s="99" t="s">
        <v>62</v>
      </c>
      <c r="AD100" s="94"/>
      <c r="AE100" s="94"/>
      <c r="AF100" s="94"/>
    </row>
    <row r="101" spans="2:33" x14ac:dyDescent="0.2">
      <c r="O101" s="3"/>
      <c r="P101" s="94"/>
      <c r="Q101" s="94"/>
      <c r="R101" s="94"/>
      <c r="S101" s="94"/>
      <c r="T101" s="94"/>
      <c r="U101" s="94"/>
      <c r="Z101" s="95">
        <v>55</v>
      </c>
      <c r="AA101" s="3" t="s">
        <v>160</v>
      </c>
      <c r="AB101" s="99" t="s">
        <v>64</v>
      </c>
      <c r="AD101" s="94"/>
      <c r="AE101" s="94"/>
      <c r="AF101" s="94"/>
    </row>
    <row r="102" spans="2:33" x14ac:dyDescent="0.2">
      <c r="C102" s="186"/>
      <c r="G102" s="187" t="s">
        <v>165</v>
      </c>
      <c r="I102" s="170"/>
      <c r="J102" s="3"/>
      <c r="K102" s="3"/>
      <c r="L102" s="3"/>
      <c r="M102" s="3"/>
      <c r="N102" s="3"/>
      <c r="O102" s="94">
        <f>O92*3+SUM(O94:O101)</f>
        <v>62</v>
      </c>
      <c r="P102" s="94"/>
      <c r="Q102" s="94"/>
      <c r="R102" s="94">
        <f>R92*3+SUM(R94:R101)</f>
        <v>0</v>
      </c>
      <c r="S102" s="188">
        <f>R102-O102</f>
        <v>-62</v>
      </c>
      <c r="T102" s="94"/>
      <c r="U102" s="94"/>
      <c r="Z102" s="95">
        <v>56</v>
      </c>
      <c r="AA102" s="3" t="s">
        <v>166</v>
      </c>
      <c r="AB102" s="99" t="s">
        <v>58</v>
      </c>
      <c r="AD102" s="94"/>
      <c r="AE102" s="94"/>
      <c r="AF102" s="94"/>
    </row>
    <row r="103" spans="2:33" x14ac:dyDescent="0.2">
      <c r="B103" s="94"/>
      <c r="C103" s="94"/>
      <c r="H103" s="2" t="s">
        <v>167</v>
      </c>
      <c r="I103" s="170" t="s">
        <v>168</v>
      </c>
      <c r="J103" s="3" t="s">
        <v>169</v>
      </c>
      <c r="K103" s="3"/>
      <c r="L103" s="3"/>
      <c r="M103" s="3"/>
      <c r="N103" s="3"/>
      <c r="O103" s="94"/>
      <c r="P103" s="94"/>
      <c r="Q103" s="94"/>
      <c r="R103" s="94"/>
      <c r="S103" s="94"/>
      <c r="T103" s="94"/>
      <c r="U103" s="94"/>
      <c r="Z103" s="95">
        <v>57</v>
      </c>
      <c r="AA103" s="3" t="s">
        <v>166</v>
      </c>
      <c r="AB103" s="99" t="s">
        <v>60</v>
      </c>
      <c r="AD103" s="94"/>
      <c r="AE103" s="94"/>
      <c r="AF103" s="94"/>
    </row>
    <row r="104" spans="2:33" x14ac:dyDescent="0.2">
      <c r="G104" s="2" t="s">
        <v>128</v>
      </c>
      <c r="H104" s="189">
        <v>52</v>
      </c>
      <c r="I104" s="190">
        <f>H88</f>
        <v>0</v>
      </c>
      <c r="J104" s="191">
        <f>I104/SUM(H104:I104)</f>
        <v>0</v>
      </c>
      <c r="K104" s="191">
        <f>POWER(J104,2.7)/(POWER(J104,2.7)+POWER(1-J104,2.7))</f>
        <v>0</v>
      </c>
      <c r="L104" s="3"/>
      <c r="M104" s="3"/>
      <c r="N104" s="3"/>
      <c r="O104" s="3"/>
      <c r="P104" s="94"/>
      <c r="Q104" s="94"/>
      <c r="R104" s="94"/>
      <c r="S104" s="94"/>
      <c r="T104" s="94"/>
      <c r="U104" s="94"/>
      <c r="Z104" s="95">
        <v>58</v>
      </c>
      <c r="AA104" s="3" t="s">
        <v>166</v>
      </c>
      <c r="AB104" s="99" t="s">
        <v>62</v>
      </c>
      <c r="AD104" s="94"/>
      <c r="AE104" s="94"/>
      <c r="AF104" s="94"/>
    </row>
    <row r="105" spans="2:33" x14ac:dyDescent="0.2">
      <c r="H105" s="192"/>
      <c r="I105" s="170"/>
      <c r="J105" s="3"/>
      <c r="K105" s="3"/>
      <c r="L105" s="3"/>
      <c r="M105" s="3"/>
      <c r="N105" s="3"/>
      <c r="O105" s="170"/>
      <c r="P105" s="94"/>
      <c r="Q105" s="94"/>
      <c r="R105" s="94"/>
      <c r="S105" s="94"/>
      <c r="T105" s="94"/>
      <c r="U105" s="94"/>
      <c r="Z105" s="95">
        <v>59</v>
      </c>
      <c r="AA105" s="3" t="s">
        <v>166</v>
      </c>
      <c r="AB105" s="99" t="s">
        <v>64</v>
      </c>
      <c r="AD105" s="94"/>
      <c r="AE105" s="94"/>
      <c r="AF105" s="94"/>
    </row>
    <row r="106" spans="2:33" x14ac:dyDescent="0.2">
      <c r="B106" s="193"/>
      <c r="G106" s="2" t="s">
        <v>151</v>
      </c>
      <c r="H106" s="192">
        <v>76.6257856347532</v>
      </c>
      <c r="I106" s="190">
        <f>N88</f>
        <v>0</v>
      </c>
      <c r="J106" s="191">
        <f>I106/SUM(H106:I106)</f>
        <v>0</v>
      </c>
      <c r="K106" s="191">
        <f>POWER(I106,3.5)/(POWER(I106,3.5)+POWER(H106,3.5))</f>
        <v>0</v>
      </c>
      <c r="L106" s="3">
        <f>0.25*IF($C$63="AIM",0.77,IF($C$63="AOW",1.3,1))</f>
        <v>0.25</v>
      </c>
      <c r="M106" s="194">
        <f>(10*$K$104*K106*L106)+(IF($C$63="Counter",(10*(1-$K$104)-$M$113)*K106*L106*0.5,0))</f>
        <v>0</v>
      </c>
      <c r="N106" s="195"/>
      <c r="O106" s="170"/>
      <c r="P106" s="196"/>
      <c r="Q106" s="94"/>
      <c r="R106" s="94"/>
      <c r="S106" s="94"/>
      <c r="T106" s="94"/>
      <c r="U106" s="94"/>
      <c r="Z106" s="95">
        <v>60</v>
      </c>
      <c r="AA106" s="3" t="s">
        <v>170</v>
      </c>
      <c r="AB106" s="99" t="s">
        <v>58</v>
      </c>
      <c r="AD106" s="94"/>
      <c r="AE106" s="94"/>
      <c r="AF106" s="94"/>
    </row>
    <row r="107" spans="2:33" x14ac:dyDescent="0.2">
      <c r="B107" s="197"/>
      <c r="G107" s="2" t="s">
        <v>154</v>
      </c>
      <c r="H107" s="192">
        <v>89.139922011099983</v>
      </c>
      <c r="I107" s="190">
        <f>M88</f>
        <v>0</v>
      </c>
      <c r="J107" s="191">
        <f>I107/SUM(H107:I107)</f>
        <v>0</v>
      </c>
      <c r="K107" s="191">
        <f>POWER(I107,3.5)/(POWER(I107,3.5)+POWER(H107,3.5))</f>
        <v>0</v>
      </c>
      <c r="L107" s="3">
        <f>0.4*IF($C$63="AIM",1.3,IF($C$63="AOW",0.77,1))</f>
        <v>0.4</v>
      </c>
      <c r="M107" s="194">
        <f>(10*$K$104*K107*L107)+(IF($C$63="Counter",(10*(1-$K$104)-$M$113)*K107*L107*0.5,0))</f>
        <v>0</v>
      </c>
      <c r="N107" s="195"/>
      <c r="O107" s="170"/>
      <c r="P107" s="196"/>
      <c r="Q107" s="94"/>
      <c r="R107" s="94"/>
      <c r="S107" s="94"/>
      <c r="T107" s="94"/>
      <c r="U107" s="94"/>
      <c r="Z107" s="95">
        <v>61</v>
      </c>
      <c r="AA107" s="3" t="s">
        <v>170</v>
      </c>
      <c r="AB107" s="99" t="s">
        <v>60</v>
      </c>
      <c r="AD107" s="94"/>
      <c r="AE107" s="94"/>
      <c r="AF107" s="94"/>
    </row>
    <row r="108" spans="2:33" x14ac:dyDescent="0.2">
      <c r="B108" s="197"/>
      <c r="G108" s="2" t="s">
        <v>156</v>
      </c>
      <c r="H108" s="192">
        <v>74.778912507290215</v>
      </c>
      <c r="I108" s="190">
        <f>L88</f>
        <v>0</v>
      </c>
      <c r="J108" s="191">
        <f>I108/SUM(H108:I108)</f>
        <v>0</v>
      </c>
      <c r="K108" s="191">
        <f>POWER(I108,3.5)/(POWER(I108,3.5)+POWER(H108,3.5))</f>
        <v>0</v>
      </c>
      <c r="L108" s="3">
        <f>0.25*IF($C$63="AIM",0.77,IF($C$63="AOW",1.3,1))</f>
        <v>0.25</v>
      </c>
      <c r="M108" s="194">
        <f>(10*$K$104*K108*L108)+(IF($C$63="Counter",(10*(1-$K$104)-$M$113)*K108*L108*0.5,0))</f>
        <v>0</v>
      </c>
      <c r="N108" s="195"/>
      <c r="O108" s="170"/>
      <c r="P108" s="94"/>
      <c r="Q108" s="94"/>
      <c r="R108" s="94"/>
      <c r="S108" s="94"/>
      <c r="T108" s="94"/>
      <c r="U108" s="94"/>
      <c r="Z108" s="95">
        <v>62</v>
      </c>
      <c r="AA108" s="3" t="s">
        <v>170</v>
      </c>
      <c r="AB108" s="99" t="s">
        <v>62</v>
      </c>
      <c r="AD108" s="94"/>
      <c r="AE108" s="94"/>
      <c r="AF108" s="94"/>
    </row>
    <row r="109" spans="2:33" ht="13.5" thickBot="1" x14ac:dyDescent="0.25">
      <c r="B109" s="197"/>
      <c r="H109" s="192"/>
      <c r="I109" s="170"/>
      <c r="J109" s="170"/>
      <c r="K109" s="170"/>
      <c r="L109" s="170"/>
      <c r="M109" s="198">
        <f>SUM(M106:M108)</f>
        <v>0</v>
      </c>
      <c r="N109" s="199"/>
      <c r="O109" s="170"/>
      <c r="P109" s="196"/>
      <c r="Q109" s="94"/>
      <c r="R109" s="94"/>
      <c r="S109" s="94"/>
      <c r="T109" s="94"/>
      <c r="U109" s="94"/>
      <c r="Z109" s="95">
        <v>63</v>
      </c>
      <c r="AA109" s="3" t="s">
        <v>170</v>
      </c>
      <c r="AB109" s="99" t="s">
        <v>64</v>
      </c>
      <c r="AD109" s="94"/>
      <c r="AE109" s="94"/>
      <c r="AF109" s="94"/>
    </row>
    <row r="110" spans="2:33" ht="13.5" thickTop="1" x14ac:dyDescent="0.2">
      <c r="B110" s="193"/>
      <c r="G110" s="2" t="s">
        <v>158</v>
      </c>
      <c r="H110" s="192">
        <v>8.6</v>
      </c>
      <c r="I110" s="190">
        <f>K88</f>
        <v>18.176042737727389</v>
      </c>
      <c r="J110" s="191">
        <f>I110/SUM(H110:I110)</f>
        <v>0.67881736355751265</v>
      </c>
      <c r="K110" s="191">
        <f>POWER(H110,3.5)/(POWER(I110,3.5)+POWER(H110,3.5))</f>
        <v>6.7913064350965016E-2</v>
      </c>
      <c r="L110" s="3">
        <f>0.25*IF($H$114="AIM",0.77,IF($H$114="AOW",1.3,1))</f>
        <v>0.25</v>
      </c>
      <c r="M110" s="194">
        <f>(10*(1-$K$104)*K110*L110)+(IF($H$114="Counter",(10*($K$104)-$M$109)*K110*L110*0.5,0))</f>
        <v>0.16978266087741253</v>
      </c>
      <c r="N110" s="195"/>
      <c r="O110" s="170"/>
      <c r="P110" s="196"/>
      <c r="Q110" s="94"/>
      <c r="R110" s="94"/>
      <c r="S110" s="94"/>
      <c r="T110" s="94"/>
      <c r="U110" s="94"/>
      <c r="Z110" s="95">
        <v>64</v>
      </c>
      <c r="AA110" s="3" t="s">
        <v>171</v>
      </c>
      <c r="AB110" s="99" t="s">
        <v>58</v>
      </c>
      <c r="AD110" s="94"/>
      <c r="AE110" s="94"/>
      <c r="AF110" s="94"/>
    </row>
    <row r="111" spans="2:33" x14ac:dyDescent="0.2">
      <c r="G111" s="2" t="s">
        <v>161</v>
      </c>
      <c r="H111" s="192">
        <v>18.7</v>
      </c>
      <c r="I111" s="190">
        <f>J88</f>
        <v>17.524328625384594</v>
      </c>
      <c r="J111" s="191">
        <f>I111/SUM(H111:I111)</f>
        <v>0.48377235107966171</v>
      </c>
      <c r="K111" s="191">
        <f>POWER(H111,3.5)/(POWER(I111,3.5)+POWER(H111,3.5))</f>
        <v>0.55657343277490245</v>
      </c>
      <c r="L111" s="3">
        <f>0.4*IF($H$114="AIM",1.3,IF($H$114="AOW",0.77,1))</f>
        <v>0.4</v>
      </c>
      <c r="M111" s="194">
        <f>(10*(1-$K$104)*K111*L111)+(IF($H$114="Counter",(10*($K$104)-$M$109)*K111*L111*0.5,0))</f>
        <v>2.2262937310996098</v>
      </c>
      <c r="N111" s="195"/>
      <c r="P111" s="200"/>
      <c r="Q111" s="94"/>
      <c r="R111" s="94"/>
      <c r="S111" s="94"/>
      <c r="T111" s="94"/>
      <c r="U111" s="94"/>
      <c r="Z111" s="95">
        <v>65</v>
      </c>
      <c r="AA111" s="3" t="s">
        <v>171</v>
      </c>
      <c r="AB111" s="99" t="s">
        <v>60</v>
      </c>
      <c r="AD111" s="94"/>
      <c r="AE111" s="94"/>
      <c r="AF111" s="94"/>
    </row>
    <row r="112" spans="2:33" x14ac:dyDescent="0.2">
      <c r="G112" s="2" t="s">
        <v>163</v>
      </c>
      <c r="H112" s="201">
        <v>51.5</v>
      </c>
      <c r="I112" s="190">
        <f>I88</f>
        <v>18.176042737727389</v>
      </c>
      <c r="J112" s="191">
        <f>I112/SUM(H112:I112)</f>
        <v>0.26086502653638272</v>
      </c>
      <c r="K112" s="191">
        <f>POWER(H112,3.5)/(POWER(I112,3.5)+POWER(H112,3.5))</f>
        <v>0.97454778916173057</v>
      </c>
      <c r="L112" s="3">
        <f>0.25*IF($H$114="AIM",0.77,IF($H$114="AOW",1.3,1))</f>
        <v>0.25</v>
      </c>
      <c r="M112" s="194">
        <f>(10*(1-$K$104)*K112*L112)+(IF($H$114="Counter",(10*($K$104)-$M$109)*K112*L112*0.5,0))</f>
        <v>2.4363694729043264</v>
      </c>
      <c r="N112" s="195"/>
      <c r="P112" s="94"/>
      <c r="Q112" s="94"/>
      <c r="R112" s="94"/>
      <c r="S112" s="94"/>
      <c r="T112" s="94"/>
      <c r="U112" s="94"/>
      <c r="Z112" s="95">
        <v>66</v>
      </c>
      <c r="AA112" s="3" t="s">
        <v>171</v>
      </c>
      <c r="AB112" s="99" t="s">
        <v>62</v>
      </c>
      <c r="AD112" s="94"/>
      <c r="AE112" s="94"/>
      <c r="AF112" s="94"/>
    </row>
    <row r="113" spans="2:39" ht="13.5" thickBot="1" x14ac:dyDescent="0.25">
      <c r="M113" s="198">
        <f>SUM(M110:M112)</f>
        <v>4.8324458648813486</v>
      </c>
      <c r="N113" s="198">
        <f>M109-M113</f>
        <v>-4.8324458648813486</v>
      </c>
      <c r="P113" s="94"/>
      <c r="Q113" s="94"/>
      <c r="R113" s="94"/>
      <c r="S113" s="94"/>
      <c r="T113" s="94"/>
      <c r="U113" s="94"/>
      <c r="Z113" s="95">
        <v>67</v>
      </c>
      <c r="AA113" s="3" t="s">
        <v>171</v>
      </c>
      <c r="AB113" s="99" t="s">
        <v>64</v>
      </c>
      <c r="AD113" s="94"/>
      <c r="AE113" s="94"/>
      <c r="AF113" s="94"/>
    </row>
    <row r="114" spans="2:39" ht="13.5" thickTop="1" x14ac:dyDescent="0.2">
      <c r="G114" s="2" t="s">
        <v>172</v>
      </c>
      <c r="H114" s="202" t="s">
        <v>74</v>
      </c>
      <c r="P114" s="94"/>
      <c r="Q114" s="94"/>
      <c r="R114" s="94"/>
      <c r="S114" s="94"/>
      <c r="T114" s="94"/>
      <c r="U114" s="94"/>
      <c r="Z114" s="95">
        <v>68</v>
      </c>
      <c r="AA114" s="3" t="s">
        <v>173</v>
      </c>
      <c r="AB114" s="99" t="s">
        <v>58</v>
      </c>
      <c r="AD114" s="94"/>
      <c r="AE114" s="94"/>
      <c r="AF114" s="94"/>
    </row>
    <row r="115" spans="2:39" x14ac:dyDescent="0.2">
      <c r="B115"/>
      <c r="C115"/>
      <c r="P115" s="94"/>
      <c r="Q115" s="94"/>
      <c r="R115" s="94"/>
      <c r="S115" s="94"/>
      <c r="T115" s="94"/>
      <c r="U115" s="94"/>
      <c r="Z115" s="95">
        <v>69</v>
      </c>
      <c r="AA115" s="3" t="s">
        <v>173</v>
      </c>
      <c r="AB115" s="99" t="s">
        <v>60</v>
      </c>
      <c r="AD115" s="94"/>
      <c r="AE115" s="94"/>
      <c r="AF115" s="94"/>
    </row>
    <row r="116" spans="2:39" x14ac:dyDescent="0.2">
      <c r="B116"/>
      <c r="C116"/>
      <c r="M116" s="203" t="str">
        <f>CONCATENATE(TEXT(M109,0)," - ",TEXT(M113,0))</f>
        <v>0 - 5</v>
      </c>
      <c r="N116" s="187" t="s">
        <v>174</v>
      </c>
      <c r="P116" s="94"/>
      <c r="Q116" s="94"/>
      <c r="R116" s="94"/>
      <c r="S116" s="94"/>
      <c r="T116" s="94"/>
      <c r="U116" s="94"/>
      <c r="Z116" s="95">
        <v>70</v>
      </c>
      <c r="AA116" s="3" t="s">
        <v>173</v>
      </c>
      <c r="AB116" s="99" t="s">
        <v>62</v>
      </c>
      <c r="AD116" s="94"/>
      <c r="AE116" s="94"/>
      <c r="AF116" s="94"/>
    </row>
    <row r="117" spans="2:39" x14ac:dyDescent="0.2">
      <c r="B117"/>
      <c r="C117"/>
      <c r="P117" s="94"/>
      <c r="Q117" s="94"/>
      <c r="R117" s="94"/>
      <c r="S117" s="94"/>
      <c r="T117" s="94"/>
      <c r="U117" s="94"/>
      <c r="Z117" s="95">
        <v>71</v>
      </c>
      <c r="AA117" s="3" t="s">
        <v>173</v>
      </c>
      <c r="AB117" s="99" t="s">
        <v>64</v>
      </c>
      <c r="AD117" s="94"/>
      <c r="AE117" s="94"/>
      <c r="AF117" s="94"/>
    </row>
    <row r="118" spans="2:39" x14ac:dyDescent="0.2">
      <c r="B118"/>
      <c r="C118"/>
      <c r="G118" s="204" t="s">
        <v>175</v>
      </c>
      <c r="N118" s="2" t="s">
        <v>176</v>
      </c>
      <c r="P118" s="94"/>
      <c r="Q118" s="94"/>
      <c r="R118" s="94"/>
      <c r="S118" s="94"/>
      <c r="T118" s="94"/>
      <c r="U118" s="94"/>
      <c r="Z118" s="95">
        <v>72</v>
      </c>
      <c r="AA118" s="3" t="s">
        <v>177</v>
      </c>
      <c r="AB118" s="99" t="s">
        <v>58</v>
      </c>
      <c r="AD118" s="94"/>
      <c r="AE118" s="94"/>
      <c r="AF118" s="94"/>
    </row>
    <row r="119" spans="2:39" x14ac:dyDescent="0.2">
      <c r="B119"/>
      <c r="C119"/>
      <c r="G119" s="2" t="str">
        <f>COUNTA(D70:D74)&amp;COUNTA(D76:D80)&amp;COUNTA(D82:D84)&amp;", "&amp;C60&amp;", "&amp;C64&amp;" coach"&amp;IF(C63&lt;&gt;"Geen",", "&amp;C63,"")</f>
        <v>253, PIC, Neutraal coach</v>
      </c>
      <c r="N119" s="205" t="s">
        <v>178</v>
      </c>
      <c r="P119" s="94"/>
      <c r="Q119" s="94"/>
      <c r="R119" s="94"/>
      <c r="S119" s="94"/>
      <c r="T119" s="94"/>
      <c r="U119" s="94"/>
      <c r="Z119" s="95">
        <v>73</v>
      </c>
      <c r="AA119" s="3" t="s">
        <v>177</v>
      </c>
      <c r="AB119" s="99" t="s">
        <v>60</v>
      </c>
      <c r="AD119" s="94"/>
      <c r="AE119" s="94"/>
      <c r="AF119" s="94"/>
    </row>
    <row r="120" spans="2:39" x14ac:dyDescent="0.2">
      <c r="B120"/>
      <c r="C120"/>
      <c r="F120"/>
      <c r="H120"/>
      <c r="I120"/>
      <c r="J120"/>
      <c r="K120"/>
      <c r="L120"/>
      <c r="N120" s="206" t="s">
        <v>179</v>
      </c>
      <c r="P120" s="94"/>
      <c r="Q120" s="94"/>
      <c r="R120" s="94"/>
      <c r="S120" s="94"/>
      <c r="T120" s="94"/>
      <c r="U120" s="94"/>
      <c r="Z120" s="95">
        <v>74</v>
      </c>
      <c r="AA120" s="3" t="s">
        <v>177</v>
      </c>
      <c r="AB120" s="99" t="s">
        <v>62</v>
      </c>
      <c r="AD120" s="94"/>
      <c r="AE120" s="94"/>
      <c r="AF120" s="94"/>
    </row>
    <row r="121" spans="2:39" x14ac:dyDescent="0.2">
      <c r="B121"/>
      <c r="C121"/>
      <c r="F121"/>
      <c r="G121" s="2" t="str">
        <f>IF(D70="","x ",D70&amp;" ")&amp;IF(D71="","x ",D71&amp;" ")&amp;IF(D72="","x ",D72&amp;" ")&amp;IF(D73="","x ",D73&amp;" ")&amp;IF(D74="","x ",D74)</f>
        <v>x CD x x NWB</v>
      </c>
      <c r="H121" s="207"/>
      <c r="I121"/>
      <c r="J121"/>
      <c r="K121"/>
      <c r="L121"/>
      <c r="N121" s="206" t="s">
        <v>180</v>
      </c>
      <c r="P121" s="94"/>
      <c r="Q121" s="94"/>
      <c r="R121" s="94"/>
      <c r="S121" s="94"/>
      <c r="T121" s="94"/>
      <c r="U121" s="94"/>
      <c r="Z121" s="95">
        <v>75</v>
      </c>
      <c r="AA121" s="3" t="s">
        <v>177</v>
      </c>
      <c r="AB121" s="99" t="s">
        <v>64</v>
      </c>
      <c r="AD121" s="94"/>
      <c r="AE121" s="94"/>
      <c r="AF121" s="94"/>
    </row>
    <row r="122" spans="2:39" x14ac:dyDescent="0.2">
      <c r="B122"/>
      <c r="C122"/>
      <c r="F122"/>
      <c r="G122" s="2" t="str">
        <f>IF(D76="","x ",D76&amp;" ")&amp;IF(D77="","x ",D77&amp;" ")&amp;IF(D78="","x ",D78&amp;" ")&amp;IF(D79="","x ",D79&amp;" ")&amp;IF(D80="","x ",D80)</f>
        <v>NW IM IM IM NW</v>
      </c>
      <c r="H122" s="207"/>
      <c r="I122"/>
      <c r="J122"/>
      <c r="K122"/>
      <c r="L122"/>
      <c r="N122" s="206" t="s">
        <v>181</v>
      </c>
      <c r="P122" s="94"/>
      <c r="Q122" s="94"/>
      <c r="R122" s="94"/>
      <c r="S122" s="94"/>
      <c r="T122" s="94"/>
      <c r="U122" s="94"/>
      <c r="Z122" s="95">
        <v>76</v>
      </c>
      <c r="AA122" s="3" t="s">
        <v>182</v>
      </c>
      <c r="AB122" s="99" t="s">
        <v>58</v>
      </c>
      <c r="AD122" s="94"/>
      <c r="AE122" s="94"/>
      <c r="AF122" s="94"/>
    </row>
    <row r="123" spans="2:39" x14ac:dyDescent="0.2">
      <c r="B123"/>
      <c r="C123"/>
      <c r="D123"/>
      <c r="F123"/>
      <c r="G123" s="2" t="str">
        <f>IF(D82="","x ",D82&amp;" ")&amp;IF(D83="","x ",D83&amp;" ")&amp;IF(D84="","x ",D84&amp;" ")</f>
        <v xml:space="preserve">FTW TDFW FTW </v>
      </c>
      <c r="H123"/>
      <c r="I123"/>
      <c r="J123"/>
      <c r="K123"/>
      <c r="L123"/>
      <c r="P123" s="2"/>
      <c r="Q123" s="94"/>
      <c r="R123" s="94"/>
      <c r="S123" s="94"/>
      <c r="T123" s="94"/>
      <c r="U123" s="94"/>
      <c r="V123" s="94"/>
      <c r="Z123" s="95">
        <v>77</v>
      </c>
      <c r="AA123" s="3" t="s">
        <v>182</v>
      </c>
      <c r="AB123" s="99" t="s">
        <v>60</v>
      </c>
      <c r="AC123" s="208"/>
      <c r="AE123" s="94"/>
      <c r="AF123" s="94"/>
      <c r="AG123" s="94"/>
      <c r="AM123" s="3"/>
    </row>
    <row r="124" spans="2:39" x14ac:dyDescent="0.2">
      <c r="B124"/>
      <c r="C124"/>
      <c r="E124" s="209"/>
      <c r="F124"/>
      <c r="H124"/>
      <c r="I124"/>
      <c r="J124"/>
      <c r="K124"/>
      <c r="L124"/>
      <c r="P124" s="2"/>
      <c r="Q124" s="94"/>
      <c r="R124" s="94"/>
      <c r="S124" s="94"/>
      <c r="T124" s="94"/>
      <c r="U124" s="94"/>
      <c r="V124" s="94"/>
      <c r="Z124" s="95">
        <v>78</v>
      </c>
      <c r="AA124" s="3" t="s">
        <v>182</v>
      </c>
      <c r="AB124" s="99" t="s">
        <v>62</v>
      </c>
      <c r="AM124" s="3"/>
    </row>
    <row r="125" spans="2:39" ht="25.5" x14ac:dyDescent="0.2">
      <c r="B125"/>
      <c r="C125"/>
      <c r="D125" s="209"/>
      <c r="E125" s="209"/>
      <c r="F125"/>
      <c r="G125" s="210" t="s">
        <v>183</v>
      </c>
      <c r="H125" s="173" t="s">
        <v>128</v>
      </c>
      <c r="I125" s="211" t="s">
        <v>184</v>
      </c>
      <c r="J125" s="212" t="str">
        <f>N92</f>
        <v>rampzalig heel laag</v>
      </c>
      <c r="K125" s="211" t="s">
        <v>184</v>
      </c>
      <c r="L125" s="213">
        <f>FLOOR(H88+1,1)</f>
        <v>1</v>
      </c>
      <c r="M125" s="214" t="s">
        <v>185</v>
      </c>
      <c r="P125" s="2"/>
      <c r="Q125" s="94"/>
      <c r="R125" s="94"/>
      <c r="S125" s="94"/>
      <c r="T125" s="94"/>
      <c r="U125" s="94"/>
      <c r="V125" s="94"/>
      <c r="Z125" s="95">
        <v>79</v>
      </c>
      <c r="AA125" s="3" t="s">
        <v>182</v>
      </c>
      <c r="AB125" s="99" t="s">
        <v>64</v>
      </c>
      <c r="AM125" s="3"/>
    </row>
    <row r="126" spans="2:39" ht="25.5" x14ac:dyDescent="0.2">
      <c r="B126"/>
      <c r="C126"/>
      <c r="D126" s="209"/>
      <c r="E126" s="209"/>
      <c r="F126"/>
      <c r="G126" s="214" t="s">
        <v>186</v>
      </c>
      <c r="H126" s="173"/>
      <c r="I126" s="211" t="s">
        <v>184</v>
      </c>
      <c r="J126" s="212"/>
      <c r="K126" s="211" t="s">
        <v>184</v>
      </c>
      <c r="L126" s="213"/>
      <c r="M126" s="214" t="s">
        <v>185</v>
      </c>
      <c r="P126" s="2"/>
      <c r="Q126" s="94"/>
      <c r="R126" s="94"/>
      <c r="S126" s="94"/>
      <c r="T126" s="94"/>
      <c r="U126" s="94"/>
      <c r="V126" s="94"/>
      <c r="AM126" s="3"/>
    </row>
    <row r="127" spans="2:39" ht="25.5" x14ac:dyDescent="0.2">
      <c r="B127"/>
      <c r="C127"/>
      <c r="D127" s="209"/>
      <c r="E127" s="209"/>
      <c r="F127"/>
      <c r="G127" s="214" t="s">
        <v>186</v>
      </c>
      <c r="H127" s="173" t="s">
        <v>151</v>
      </c>
      <c r="I127" s="211" t="s">
        <v>184</v>
      </c>
      <c r="J127" s="212" t="str">
        <f t="shared" ref="J127:J133" si="16">N94</f>
        <v>matig hoog</v>
      </c>
      <c r="K127" s="211" t="s">
        <v>184</v>
      </c>
      <c r="L127" s="213">
        <f>FLOOR(I88+1,1)</f>
        <v>19</v>
      </c>
      <c r="M127" s="214" t="s">
        <v>185</v>
      </c>
      <c r="P127" s="2"/>
      <c r="Q127" s="94"/>
      <c r="R127" s="94"/>
      <c r="S127" s="94"/>
      <c r="T127" s="94"/>
      <c r="U127" s="94"/>
      <c r="V127" s="94"/>
      <c r="AM127" s="3"/>
    </row>
    <row r="128" spans="2:39" ht="25.5" x14ac:dyDescent="0.2">
      <c r="B128"/>
      <c r="C128"/>
      <c r="D128" s="209"/>
      <c r="E128" s="209"/>
      <c r="F128"/>
      <c r="G128" s="214" t="s">
        <v>186</v>
      </c>
      <c r="H128" s="173" t="s">
        <v>154</v>
      </c>
      <c r="I128" s="211" t="s">
        <v>184</v>
      </c>
      <c r="J128" s="212" t="str">
        <f t="shared" si="16"/>
        <v>matig laag</v>
      </c>
      <c r="K128" s="211" t="s">
        <v>184</v>
      </c>
      <c r="L128" s="213">
        <f>FLOOR(J88+1,1)</f>
        <v>18</v>
      </c>
      <c r="M128" s="214" t="s">
        <v>185</v>
      </c>
      <c r="P128" s="2"/>
      <c r="Q128" s="94"/>
      <c r="R128" s="94"/>
      <c r="S128" s="94"/>
      <c r="T128" s="94"/>
      <c r="U128" s="94"/>
      <c r="V128" s="94"/>
      <c r="AM128" s="3"/>
    </row>
    <row r="129" spans="2:39" ht="25.5" x14ac:dyDescent="0.2">
      <c r="B129"/>
      <c r="C129"/>
      <c r="D129" s="209"/>
      <c r="E129" s="209"/>
      <c r="F129"/>
      <c r="G129" s="214" t="s">
        <v>186</v>
      </c>
      <c r="H129" s="173" t="s">
        <v>156</v>
      </c>
      <c r="I129" s="211" t="s">
        <v>184</v>
      </c>
      <c r="J129" s="212" t="str">
        <f t="shared" si="16"/>
        <v>matig hoog</v>
      </c>
      <c r="K129" s="211" t="s">
        <v>184</v>
      </c>
      <c r="L129" s="213">
        <f>FLOOR(K88+1,1)</f>
        <v>19</v>
      </c>
      <c r="M129" s="214" t="s">
        <v>185</v>
      </c>
      <c r="P129" s="2"/>
      <c r="Q129" s="94"/>
      <c r="R129" s="94"/>
      <c r="S129" s="94"/>
      <c r="T129" s="94"/>
      <c r="U129" s="94"/>
      <c r="V129" s="94"/>
      <c r="AM129" s="3"/>
    </row>
    <row r="130" spans="2:39" ht="25.5" x14ac:dyDescent="0.2">
      <c r="B130"/>
      <c r="C130"/>
      <c r="D130" s="209"/>
      <c r="E130" s="209"/>
      <c r="F130"/>
      <c r="G130" s="214" t="s">
        <v>186</v>
      </c>
      <c r="H130" s="173"/>
      <c r="I130" s="211" t="s">
        <v>184</v>
      </c>
      <c r="J130" s="212"/>
      <c r="K130" s="211" t="s">
        <v>184</v>
      </c>
      <c r="L130" s="213"/>
      <c r="M130" s="214" t="s">
        <v>185</v>
      </c>
      <c r="P130" s="2"/>
      <c r="Q130" s="2"/>
      <c r="R130" s="2"/>
      <c r="S130" s="2"/>
      <c r="T130" s="2"/>
      <c r="U130" s="2"/>
      <c r="V130" s="94"/>
      <c r="AM130" s="3"/>
    </row>
    <row r="131" spans="2:39" ht="25.5" x14ac:dyDescent="0.2">
      <c r="B131"/>
      <c r="C131"/>
      <c r="D131" s="209"/>
      <c r="E131" s="209"/>
      <c r="F131"/>
      <c r="G131" s="214" t="s">
        <v>186</v>
      </c>
      <c r="H131" s="173" t="s">
        <v>158</v>
      </c>
      <c r="I131" s="211" t="s">
        <v>184</v>
      </c>
      <c r="J131" s="212" t="str">
        <f t="shared" si="16"/>
        <v>rampzalig heel laag</v>
      </c>
      <c r="K131" s="211" t="s">
        <v>184</v>
      </c>
      <c r="L131" s="213">
        <f>FLOOR(L88+1,1)</f>
        <v>1</v>
      </c>
      <c r="M131" s="214" t="s">
        <v>185</v>
      </c>
      <c r="P131" s="2"/>
      <c r="V131" s="94"/>
      <c r="AM131" s="3"/>
    </row>
    <row r="132" spans="2:39" ht="25.5" x14ac:dyDescent="0.2">
      <c r="B132"/>
      <c r="C132"/>
      <c r="D132" s="209"/>
      <c r="E132" s="209"/>
      <c r="F132"/>
      <c r="G132" s="214" t="s">
        <v>186</v>
      </c>
      <c r="H132" s="173" t="s">
        <v>161</v>
      </c>
      <c r="I132" s="211" t="s">
        <v>184</v>
      </c>
      <c r="J132" s="212" t="str">
        <f t="shared" si="16"/>
        <v>rampzalig heel laag</v>
      </c>
      <c r="K132" s="211" t="s">
        <v>184</v>
      </c>
      <c r="L132" s="213">
        <f>FLOOR(M88+1,1)</f>
        <v>1</v>
      </c>
      <c r="M132" s="214" t="s">
        <v>185</v>
      </c>
      <c r="P132" s="94"/>
      <c r="Q132" s="94"/>
      <c r="R132" s="94"/>
      <c r="S132" s="94"/>
      <c r="T132" s="94"/>
      <c r="U132" s="94"/>
    </row>
    <row r="133" spans="2:39" ht="26.25" thickBot="1" x14ac:dyDescent="0.25">
      <c r="B133"/>
      <c r="C133"/>
      <c r="D133" s="209"/>
      <c r="E133" s="209"/>
      <c r="F133"/>
      <c r="G133" s="214" t="s">
        <v>186</v>
      </c>
      <c r="H133" s="183" t="s">
        <v>163</v>
      </c>
      <c r="I133" s="211" t="s">
        <v>184</v>
      </c>
      <c r="J133" s="212" t="str">
        <f t="shared" si="16"/>
        <v>rampzalig heel laag</v>
      </c>
      <c r="K133" s="211" t="s">
        <v>184</v>
      </c>
      <c r="L133" s="213">
        <f>FLOOR(N88+1,1)</f>
        <v>1</v>
      </c>
      <c r="M133" s="214" t="s">
        <v>187</v>
      </c>
      <c r="P133" s="94"/>
      <c r="Q133" s="94"/>
      <c r="R133" s="94"/>
      <c r="S133" s="94"/>
      <c r="T133" s="94"/>
      <c r="U133" s="94"/>
    </row>
    <row r="134" spans="2:39" x14ac:dyDescent="0.2">
      <c r="B134"/>
      <c r="C134"/>
      <c r="D134" s="209"/>
      <c r="E134" s="209"/>
      <c r="F134"/>
      <c r="G134"/>
      <c r="H134"/>
      <c r="I134"/>
      <c r="J134"/>
      <c r="K134"/>
      <c r="L134"/>
      <c r="O134" s="215"/>
      <c r="P134" s="216"/>
      <c r="Q134" s="94"/>
      <c r="R134" s="94"/>
      <c r="S134" s="94"/>
      <c r="T134" s="94"/>
      <c r="U134" s="94"/>
    </row>
    <row r="135" spans="2:39" x14ac:dyDescent="0.2">
      <c r="B135"/>
      <c r="C135"/>
      <c r="D135" s="209"/>
      <c r="E135" s="209"/>
      <c r="F135"/>
      <c r="G135" s="217" t="s">
        <v>103</v>
      </c>
      <c r="H135" s="218" t="s">
        <v>188</v>
      </c>
      <c r="I135" s="219" t="s">
        <v>189</v>
      </c>
      <c r="J135" s="219" t="s">
        <v>190</v>
      </c>
      <c r="K135" s="220" t="s">
        <v>23</v>
      </c>
      <c r="L135" s="221" t="s">
        <v>191</v>
      </c>
      <c r="M135" s="219" t="s">
        <v>192</v>
      </c>
      <c r="N135" s="187" t="s">
        <v>193</v>
      </c>
      <c r="P135" s="94"/>
      <c r="Q135" s="94"/>
      <c r="R135" s="94"/>
      <c r="S135" s="94"/>
      <c r="T135" s="94"/>
      <c r="U135" s="94"/>
    </row>
    <row r="136" spans="2:39" x14ac:dyDescent="0.2">
      <c r="B136"/>
      <c r="C136"/>
      <c r="D136" s="209"/>
      <c r="E136" s="209"/>
      <c r="F136"/>
      <c r="G136" s="222" t="s">
        <v>194</v>
      </c>
      <c r="H136" s="53">
        <v>18.7</v>
      </c>
      <c r="I136" s="53">
        <v>4</v>
      </c>
      <c r="J136" s="223">
        <f>I136*2+H136</f>
        <v>26.7</v>
      </c>
      <c r="K136" s="53">
        <v>7</v>
      </c>
      <c r="L136" s="224">
        <f>POWER((MIN(MAX(K136-0.5,0),7)/7),0.45)</f>
        <v>0.96720134654875056</v>
      </c>
      <c r="M136" s="225">
        <f>J136*L136</f>
        <v>25.824275952851639</v>
      </c>
      <c r="N136" s="215">
        <v>39.6</v>
      </c>
      <c r="O136" s="187">
        <f>N141/8.2</f>
        <v>15.890243902439027</v>
      </c>
      <c r="R136" s="188"/>
    </row>
    <row r="137" spans="2:39" x14ac:dyDescent="0.2">
      <c r="B137"/>
      <c r="C137"/>
      <c r="D137" s="209"/>
      <c r="E137" s="209"/>
      <c r="F137"/>
      <c r="G137" s="222" t="s">
        <v>195</v>
      </c>
      <c r="H137" s="53">
        <v>18.2</v>
      </c>
      <c r="I137" s="53">
        <v>4</v>
      </c>
      <c r="J137" s="223">
        <f t="shared" ref="J137:J154" si="17">I137*2+H137</f>
        <v>26.2</v>
      </c>
      <c r="K137" s="53">
        <v>7</v>
      </c>
      <c r="L137" s="224">
        <f t="shared" ref="L137:L154" si="18">POWER((MIN(MAX(K137-0.5,0),7)/7),0.45)</f>
        <v>0.96720134654875056</v>
      </c>
      <c r="M137" s="225">
        <f t="shared" ref="M137:M154" si="19">J137*L137</f>
        <v>25.340675279577265</v>
      </c>
      <c r="N137" s="215">
        <v>27.5</v>
      </c>
      <c r="O137" s="2">
        <v>1</v>
      </c>
      <c r="R137" s="135"/>
    </row>
    <row r="138" spans="2:39" x14ac:dyDescent="0.2">
      <c r="B138"/>
      <c r="C138"/>
      <c r="D138" s="209"/>
      <c r="E138" s="209"/>
      <c r="F138"/>
      <c r="G138" s="226" t="s">
        <v>196</v>
      </c>
      <c r="H138" s="53">
        <v>18.5</v>
      </c>
      <c r="I138" s="53">
        <v>5</v>
      </c>
      <c r="J138" s="223">
        <f t="shared" si="17"/>
        <v>28.5</v>
      </c>
      <c r="K138" s="53">
        <v>7</v>
      </c>
      <c r="L138" s="224">
        <f>POWER((MIN(MAX(K138-0.5,0),7)/7),0.45)</f>
        <v>0.96720134654875056</v>
      </c>
      <c r="M138" s="225">
        <f t="shared" si="19"/>
        <v>27.565238376639392</v>
      </c>
      <c r="N138" s="215">
        <v>37.200000000000003</v>
      </c>
      <c r="O138" s="2">
        <v>2</v>
      </c>
    </row>
    <row r="139" spans="2:39" x14ac:dyDescent="0.2">
      <c r="B139" s="227"/>
      <c r="C139"/>
      <c r="D139"/>
      <c r="E139"/>
      <c r="F139"/>
      <c r="G139" s="226" t="s">
        <v>197</v>
      </c>
      <c r="H139" s="53">
        <v>19.3</v>
      </c>
      <c r="I139" s="53">
        <v>7</v>
      </c>
      <c r="J139" s="223">
        <f t="shared" si="17"/>
        <v>33.299999999999997</v>
      </c>
      <c r="K139" s="53">
        <v>5</v>
      </c>
      <c r="L139" s="224">
        <f t="shared" si="18"/>
        <v>0.81969354144322415</v>
      </c>
      <c r="M139" s="225">
        <f t="shared" si="19"/>
        <v>27.295794930059362</v>
      </c>
      <c r="N139" s="215">
        <v>26</v>
      </c>
      <c r="O139" s="2">
        <v>3</v>
      </c>
    </row>
    <row r="140" spans="2:39" x14ac:dyDescent="0.2">
      <c r="B140" s="227"/>
      <c r="C140" s="1"/>
      <c r="D140" s="1"/>
      <c r="E140" s="1"/>
      <c r="F140" s="1"/>
      <c r="G140" s="222" t="s">
        <v>198</v>
      </c>
      <c r="H140" s="53">
        <v>18.5</v>
      </c>
      <c r="I140" s="53">
        <v>4</v>
      </c>
      <c r="J140" s="223">
        <f t="shared" si="17"/>
        <v>26.5</v>
      </c>
      <c r="K140" s="53">
        <v>7</v>
      </c>
      <c r="L140" s="224">
        <f t="shared" si="18"/>
        <v>0.96720134654875056</v>
      </c>
      <c r="M140" s="225">
        <f>J140*L140</f>
        <v>25.630835683541889</v>
      </c>
      <c r="O140" s="2">
        <v>4</v>
      </c>
    </row>
    <row r="141" spans="2:39" x14ac:dyDescent="0.2">
      <c r="B141" s="227"/>
      <c r="G141" s="226" t="s">
        <v>199</v>
      </c>
      <c r="H141" s="53">
        <v>18.899999999999999</v>
      </c>
      <c r="I141" s="53">
        <v>2</v>
      </c>
      <c r="J141" s="223">
        <f t="shared" si="17"/>
        <v>22.9</v>
      </c>
      <c r="K141" s="53">
        <v>6</v>
      </c>
      <c r="L141" s="224">
        <f t="shared" si="18"/>
        <v>0.89715832671733742</v>
      </c>
      <c r="M141" s="225">
        <f t="shared" si="19"/>
        <v>20.544925681827024</v>
      </c>
      <c r="N141" s="228">
        <f>SUM(N136:N140)</f>
        <v>130.30000000000001</v>
      </c>
      <c r="O141" s="2">
        <v>5</v>
      </c>
    </row>
    <row r="142" spans="2:39" x14ac:dyDescent="0.2">
      <c r="B142" s="227"/>
      <c r="G142" s="226" t="s">
        <v>200</v>
      </c>
      <c r="H142" s="53">
        <v>18.3</v>
      </c>
      <c r="I142" s="53">
        <v>5</v>
      </c>
      <c r="J142" s="223">
        <f>I142*2+H142</f>
        <v>28.3</v>
      </c>
      <c r="K142" s="53">
        <v>6</v>
      </c>
      <c r="L142" s="224">
        <f t="shared" si="18"/>
        <v>0.89715832671733742</v>
      </c>
      <c r="M142" s="225">
        <f t="shared" si="19"/>
        <v>25.389580646100651</v>
      </c>
      <c r="O142" s="187" t="s">
        <v>201</v>
      </c>
    </row>
    <row r="143" spans="2:39" x14ac:dyDescent="0.2">
      <c r="B143" s="227"/>
      <c r="G143" s="226" t="s">
        <v>202</v>
      </c>
      <c r="H143" s="53">
        <v>18.2</v>
      </c>
      <c r="I143" s="53">
        <v>2</v>
      </c>
      <c r="J143" s="223">
        <f t="shared" si="17"/>
        <v>22.2</v>
      </c>
      <c r="K143" s="53">
        <v>5</v>
      </c>
      <c r="L143" s="224">
        <f t="shared" si="18"/>
        <v>0.81969354144322415</v>
      </c>
      <c r="M143" s="225">
        <f t="shared" si="19"/>
        <v>18.197196620039577</v>
      </c>
      <c r="N143" s="215"/>
    </row>
    <row r="144" spans="2:39" x14ac:dyDescent="0.2">
      <c r="G144" s="222" t="s">
        <v>203</v>
      </c>
      <c r="H144" s="53">
        <v>17.899999999999999</v>
      </c>
      <c r="I144" s="53">
        <v>4</v>
      </c>
      <c r="J144" s="223">
        <f t="shared" si="17"/>
        <v>25.9</v>
      </c>
      <c r="K144" s="53">
        <v>7</v>
      </c>
      <c r="L144" s="224">
        <f t="shared" si="18"/>
        <v>0.96720134654875056</v>
      </c>
      <c r="M144" s="225">
        <f t="shared" si="19"/>
        <v>25.050514875612638</v>
      </c>
    </row>
    <row r="145" spans="2:38" x14ac:dyDescent="0.2">
      <c r="G145" s="226" t="s">
        <v>204</v>
      </c>
      <c r="H145" s="53">
        <v>18.399999999999999</v>
      </c>
      <c r="I145" s="53">
        <v>3</v>
      </c>
      <c r="J145" s="223">
        <f t="shared" si="17"/>
        <v>24.4</v>
      </c>
      <c r="K145" s="53">
        <v>7</v>
      </c>
      <c r="L145" s="224">
        <f t="shared" si="18"/>
        <v>0.96720134654875056</v>
      </c>
      <c r="M145" s="225">
        <f t="shared" si="19"/>
        <v>23.599712855789512</v>
      </c>
    </row>
    <row r="146" spans="2:38" x14ac:dyDescent="0.2">
      <c r="G146" s="226" t="s">
        <v>205</v>
      </c>
      <c r="H146" s="53">
        <v>16.8</v>
      </c>
      <c r="I146" s="53">
        <v>7</v>
      </c>
      <c r="J146" s="223">
        <f t="shared" si="17"/>
        <v>30.8</v>
      </c>
      <c r="K146" s="53">
        <v>7</v>
      </c>
      <c r="L146" s="224">
        <f t="shared" si="18"/>
        <v>0.96720134654875056</v>
      </c>
      <c r="M146" s="225">
        <f t="shared" si="19"/>
        <v>29.78980147370152</v>
      </c>
    </row>
    <row r="147" spans="2:38" x14ac:dyDescent="0.2">
      <c r="G147" s="226" t="s">
        <v>206</v>
      </c>
      <c r="H147" s="53">
        <v>18.7</v>
      </c>
      <c r="I147" s="53">
        <v>8</v>
      </c>
      <c r="J147" s="223">
        <f t="shared" si="17"/>
        <v>34.700000000000003</v>
      </c>
      <c r="K147" s="53">
        <v>6</v>
      </c>
      <c r="L147" s="224">
        <f t="shared" si="18"/>
        <v>0.89715832671733742</v>
      </c>
      <c r="M147" s="225">
        <f t="shared" si="19"/>
        <v>31.131393937091612</v>
      </c>
    </row>
    <row r="148" spans="2:38" x14ac:dyDescent="0.2">
      <c r="G148" s="226" t="s">
        <v>207</v>
      </c>
      <c r="H148" s="53">
        <v>17.7</v>
      </c>
      <c r="I148" s="53">
        <v>13</v>
      </c>
      <c r="J148" s="223">
        <f t="shared" si="17"/>
        <v>43.7</v>
      </c>
      <c r="K148" s="53">
        <v>6</v>
      </c>
      <c r="L148" s="224">
        <f t="shared" si="18"/>
        <v>0.89715832671733742</v>
      </c>
      <c r="M148" s="225">
        <f t="shared" si="19"/>
        <v>39.205818877547649</v>
      </c>
    </row>
    <row r="149" spans="2:38" x14ac:dyDescent="0.2">
      <c r="G149" s="226" t="s">
        <v>208</v>
      </c>
      <c r="H149" s="53">
        <v>17</v>
      </c>
      <c r="I149" s="53">
        <v>14</v>
      </c>
      <c r="J149" s="223">
        <f t="shared" si="17"/>
        <v>45</v>
      </c>
      <c r="K149" s="53">
        <v>6</v>
      </c>
      <c r="L149" s="224">
        <f t="shared" si="18"/>
        <v>0.89715832671733742</v>
      </c>
      <c r="M149" s="225">
        <f t="shared" si="19"/>
        <v>40.372124702280182</v>
      </c>
    </row>
    <row r="150" spans="2:38" x14ac:dyDescent="0.2">
      <c r="G150" s="226" t="s">
        <v>209</v>
      </c>
      <c r="H150" s="53">
        <v>19.399999999999999</v>
      </c>
      <c r="I150" s="53">
        <v>3</v>
      </c>
      <c r="J150" s="223">
        <f t="shared" si="17"/>
        <v>25.4</v>
      </c>
      <c r="K150" s="53">
        <v>7</v>
      </c>
      <c r="L150" s="224">
        <f t="shared" si="18"/>
        <v>0.96720134654875056</v>
      </c>
      <c r="M150" s="225">
        <f t="shared" si="19"/>
        <v>24.566914202338264</v>
      </c>
    </row>
    <row r="151" spans="2:38" x14ac:dyDescent="0.2">
      <c r="G151" s="222" t="s">
        <v>210</v>
      </c>
      <c r="H151" s="53">
        <v>18.7</v>
      </c>
      <c r="I151" s="53">
        <v>4</v>
      </c>
      <c r="J151" s="223">
        <f t="shared" si="17"/>
        <v>26.7</v>
      </c>
      <c r="K151" s="53">
        <v>6</v>
      </c>
      <c r="L151" s="224">
        <f t="shared" si="18"/>
        <v>0.89715832671733742</v>
      </c>
      <c r="M151" s="225">
        <f t="shared" si="19"/>
        <v>23.954127323352907</v>
      </c>
    </row>
    <row r="152" spans="2:38" x14ac:dyDescent="0.2">
      <c r="G152" s="226" t="s">
        <v>119</v>
      </c>
      <c r="H152" s="53">
        <v>17.600000000000001</v>
      </c>
      <c r="I152" s="53">
        <v>4</v>
      </c>
      <c r="J152" s="223">
        <f t="shared" si="17"/>
        <v>25.6</v>
      </c>
      <c r="K152" s="53">
        <v>5</v>
      </c>
      <c r="L152" s="224">
        <f t="shared" si="18"/>
        <v>0.81969354144322415</v>
      </c>
      <c r="M152" s="225">
        <f t="shared" si="19"/>
        <v>20.98415466094654</v>
      </c>
    </row>
    <row r="153" spans="2:38" x14ac:dyDescent="0.2">
      <c r="G153" s="222" t="s">
        <v>126</v>
      </c>
      <c r="H153" s="53">
        <v>18.5</v>
      </c>
      <c r="I153" s="53">
        <v>10.5</v>
      </c>
      <c r="J153" s="223">
        <f t="shared" si="17"/>
        <v>39.5</v>
      </c>
      <c r="K153" s="53">
        <v>7</v>
      </c>
      <c r="L153" s="224">
        <f t="shared" si="18"/>
        <v>0.96720134654875056</v>
      </c>
      <c r="M153" s="225">
        <f t="shared" si="19"/>
        <v>38.20445318867565</v>
      </c>
      <c r="P153" s="229"/>
    </row>
    <row r="154" spans="2:38" x14ac:dyDescent="0.2">
      <c r="G154" s="226" t="s">
        <v>211</v>
      </c>
      <c r="H154" s="53">
        <v>18.600000000000001</v>
      </c>
      <c r="I154" s="53">
        <v>10</v>
      </c>
      <c r="J154" s="223">
        <f t="shared" si="17"/>
        <v>38.6</v>
      </c>
      <c r="K154" s="53">
        <v>6</v>
      </c>
      <c r="L154" s="224">
        <f t="shared" si="18"/>
        <v>0.89715832671733742</v>
      </c>
      <c r="M154" s="225">
        <f t="shared" si="19"/>
        <v>34.630311411289227</v>
      </c>
      <c r="O154" s="3"/>
      <c r="AG154" s="2"/>
      <c r="AH154" s="2"/>
      <c r="AI154" s="2"/>
      <c r="AJ154" s="2"/>
      <c r="AK154" s="2"/>
      <c r="AL154" s="2"/>
    </row>
    <row r="155" spans="2:38" x14ac:dyDescent="0.2">
      <c r="B155" s="2"/>
      <c r="D155" s="8"/>
      <c r="E155" s="8"/>
      <c r="F155" s="230"/>
      <c r="G155" s="231"/>
      <c r="J155" s="3"/>
      <c r="K155" s="3"/>
      <c r="L155" s="3"/>
      <c r="M155" s="3"/>
      <c r="N155" s="3"/>
      <c r="O155" s="3"/>
      <c r="AG155" s="2"/>
      <c r="AH155" s="2"/>
      <c r="AI155" s="2"/>
      <c r="AJ155" s="2"/>
      <c r="AK155" s="2"/>
      <c r="AL155" s="2"/>
    </row>
    <row r="156" spans="2:38" x14ac:dyDescent="0.2">
      <c r="B156" s="2"/>
      <c r="E156" s="2" t="s">
        <v>212</v>
      </c>
      <c r="G156" s="231"/>
      <c r="J156" s="3"/>
      <c r="K156" s="3"/>
      <c r="L156" s="3"/>
      <c r="M156" s="3"/>
      <c r="N156" s="3"/>
      <c r="O156" s="3"/>
      <c r="AG156" s="2"/>
      <c r="AH156" s="2"/>
      <c r="AI156" s="2"/>
      <c r="AJ156" s="2"/>
      <c r="AK156" s="2"/>
      <c r="AL156" s="2"/>
    </row>
    <row r="157" spans="2:38" ht="25.5" x14ac:dyDescent="0.2">
      <c r="B157" s="2"/>
      <c r="G157" s="210" t="s">
        <v>183</v>
      </c>
      <c r="H157" s="173" t="s">
        <v>128</v>
      </c>
      <c r="I157" s="211" t="s">
        <v>184</v>
      </c>
      <c r="J157" s="212" t="str">
        <f>J125</f>
        <v>rampzalig heel laag</v>
      </c>
      <c r="K157" s="211" t="s">
        <v>184</v>
      </c>
      <c r="L157" s="213">
        <f>L125</f>
        <v>1</v>
      </c>
      <c r="M157" s="214" t="s">
        <v>185</v>
      </c>
      <c r="N157" s="3"/>
      <c r="O157" s="3"/>
      <c r="AG157" s="2"/>
      <c r="AH157" s="2"/>
      <c r="AI157" s="2"/>
      <c r="AJ157" s="2"/>
      <c r="AK157" s="2"/>
      <c r="AL157" s="2"/>
    </row>
    <row r="158" spans="2:38" ht="25.5" x14ac:dyDescent="0.2">
      <c r="B158" s="2"/>
      <c r="G158" s="214" t="s">
        <v>186</v>
      </c>
      <c r="H158" s="173"/>
      <c r="I158" s="211" t="s">
        <v>184</v>
      </c>
      <c r="J158" s="212"/>
      <c r="K158" s="211" t="s">
        <v>184</v>
      </c>
      <c r="L158" s="213"/>
      <c r="M158" s="214" t="s">
        <v>185</v>
      </c>
      <c r="N158" s="3"/>
      <c r="O158" s="3"/>
      <c r="AG158" s="2"/>
      <c r="AH158" s="2"/>
      <c r="AI158" s="2"/>
      <c r="AJ158" s="2"/>
      <c r="AK158" s="2"/>
      <c r="AL158" s="2"/>
    </row>
    <row r="159" spans="2:38" ht="25.5" x14ac:dyDescent="0.2">
      <c r="B159" s="2"/>
      <c r="G159" s="214" t="s">
        <v>186</v>
      </c>
      <c r="H159" s="173" t="s">
        <v>151</v>
      </c>
      <c r="I159" s="211" t="s">
        <v>184</v>
      </c>
      <c r="J159" s="212" t="str">
        <f>J129</f>
        <v>matig hoog</v>
      </c>
      <c r="K159" s="211" t="s">
        <v>184</v>
      </c>
      <c r="L159" s="213">
        <f>L129</f>
        <v>19</v>
      </c>
      <c r="M159" s="214" t="s">
        <v>185</v>
      </c>
      <c r="N159" s="3"/>
      <c r="O159" s="3"/>
      <c r="AG159" s="2"/>
      <c r="AH159" s="2"/>
      <c r="AI159" s="2"/>
      <c r="AJ159" s="2"/>
      <c r="AK159" s="2"/>
      <c r="AL159" s="2"/>
    </row>
    <row r="160" spans="2:38" ht="25.5" x14ac:dyDescent="0.2">
      <c r="B160" s="2"/>
      <c r="G160" s="214" t="s">
        <v>186</v>
      </c>
      <c r="H160" s="173" t="s">
        <v>154</v>
      </c>
      <c r="I160" s="211" t="s">
        <v>184</v>
      </c>
      <c r="J160" s="212" t="str">
        <f>J128</f>
        <v>matig laag</v>
      </c>
      <c r="K160" s="211" t="s">
        <v>184</v>
      </c>
      <c r="L160" s="213">
        <f>L128</f>
        <v>18</v>
      </c>
      <c r="M160" s="214" t="s">
        <v>185</v>
      </c>
      <c r="N160" s="3"/>
      <c r="O160" s="3"/>
      <c r="AG160" s="2"/>
      <c r="AH160" s="2"/>
      <c r="AI160" s="2"/>
      <c r="AJ160" s="2"/>
      <c r="AK160" s="2"/>
      <c r="AL160" s="2"/>
    </row>
    <row r="161" spans="2:38" ht="25.5" x14ac:dyDescent="0.2">
      <c r="B161" s="2"/>
      <c r="G161" s="214" t="s">
        <v>186</v>
      </c>
      <c r="H161" s="173" t="s">
        <v>156</v>
      </c>
      <c r="I161" s="211" t="s">
        <v>184</v>
      </c>
      <c r="J161" s="212" t="str">
        <f>J127</f>
        <v>matig hoog</v>
      </c>
      <c r="K161" s="211" t="s">
        <v>184</v>
      </c>
      <c r="L161" s="213">
        <f>L127</f>
        <v>19</v>
      </c>
      <c r="M161" s="214" t="s">
        <v>185</v>
      </c>
      <c r="N161" s="3"/>
      <c r="O161" s="3"/>
      <c r="AG161" s="2"/>
      <c r="AH161" s="2"/>
      <c r="AI161" s="2"/>
      <c r="AJ161" s="2"/>
      <c r="AK161" s="2"/>
      <c r="AL161" s="2"/>
    </row>
    <row r="162" spans="2:38" ht="25.5" x14ac:dyDescent="0.2">
      <c r="B162" s="2"/>
      <c r="G162" s="214" t="s">
        <v>186</v>
      </c>
      <c r="H162" s="173"/>
      <c r="I162" s="211" t="s">
        <v>184</v>
      </c>
      <c r="J162" s="212"/>
      <c r="K162" s="211" t="s">
        <v>184</v>
      </c>
      <c r="L162" s="213"/>
      <c r="M162" s="214" t="s">
        <v>185</v>
      </c>
      <c r="N162" s="3"/>
      <c r="O162" s="3"/>
      <c r="AG162" s="2"/>
      <c r="AH162" s="2"/>
      <c r="AI162" s="2"/>
      <c r="AJ162" s="2"/>
      <c r="AK162" s="2"/>
      <c r="AL162" s="2"/>
    </row>
    <row r="163" spans="2:38" ht="25.5" x14ac:dyDescent="0.2">
      <c r="B163" s="2"/>
      <c r="G163" s="214" t="s">
        <v>186</v>
      </c>
      <c r="H163" s="173" t="s">
        <v>158</v>
      </c>
      <c r="I163" s="211" t="s">
        <v>184</v>
      </c>
      <c r="J163" s="212" t="str">
        <f>J133</f>
        <v>rampzalig heel laag</v>
      </c>
      <c r="K163" s="211" t="s">
        <v>184</v>
      </c>
      <c r="L163" s="213">
        <f>L133</f>
        <v>1</v>
      </c>
      <c r="M163" s="214" t="s">
        <v>185</v>
      </c>
      <c r="N163" s="3"/>
      <c r="O163" s="3"/>
      <c r="AG163" s="2"/>
      <c r="AH163" s="2"/>
      <c r="AI163" s="2"/>
      <c r="AJ163" s="2"/>
      <c r="AK163" s="2"/>
      <c r="AL163" s="2"/>
    </row>
    <row r="164" spans="2:38" ht="25.5" x14ac:dyDescent="0.2">
      <c r="B164" s="2"/>
      <c r="G164" s="214" t="s">
        <v>186</v>
      </c>
      <c r="H164" s="173" t="s">
        <v>161</v>
      </c>
      <c r="I164" s="211" t="s">
        <v>184</v>
      </c>
      <c r="J164" s="212" t="str">
        <f>J132</f>
        <v>rampzalig heel laag</v>
      </c>
      <c r="K164" s="211" t="s">
        <v>184</v>
      </c>
      <c r="L164" s="213">
        <f>L132</f>
        <v>1</v>
      </c>
      <c r="M164" s="214" t="s">
        <v>185</v>
      </c>
      <c r="N164" s="3"/>
      <c r="O164" s="3"/>
      <c r="AG164" s="2"/>
      <c r="AH164" s="2"/>
      <c r="AI164" s="2"/>
      <c r="AJ164" s="2"/>
      <c r="AK164" s="2"/>
      <c r="AL164" s="2"/>
    </row>
    <row r="165" spans="2:38" ht="26.25" thickBot="1" x14ac:dyDescent="0.25">
      <c r="B165" s="2"/>
      <c r="G165" s="214" t="s">
        <v>186</v>
      </c>
      <c r="H165" s="183" t="s">
        <v>163</v>
      </c>
      <c r="I165" s="211" t="s">
        <v>184</v>
      </c>
      <c r="J165" s="212" t="str">
        <f>J131</f>
        <v>rampzalig heel laag</v>
      </c>
      <c r="K165" s="211" t="s">
        <v>184</v>
      </c>
      <c r="L165" s="213">
        <f>L131</f>
        <v>1</v>
      </c>
      <c r="M165" s="214" t="s">
        <v>187</v>
      </c>
      <c r="N165" s="3"/>
      <c r="O165" s="3"/>
      <c r="AG165" s="2"/>
      <c r="AH165" s="2"/>
      <c r="AI165" s="2"/>
      <c r="AJ165" s="2"/>
      <c r="AK165" s="2"/>
      <c r="AL165" s="2"/>
    </row>
    <row r="166" spans="2:38" x14ac:dyDescent="0.2">
      <c r="B166" s="2"/>
      <c r="J166" s="3"/>
      <c r="K166" s="3"/>
      <c r="L166" s="3"/>
      <c r="M166" s="3"/>
      <c r="N166" s="3"/>
      <c r="O166" s="3"/>
      <c r="AG166" s="2"/>
      <c r="AH166" s="2"/>
      <c r="AI166" s="2"/>
      <c r="AJ166" s="2"/>
      <c r="AK166" s="2"/>
      <c r="AL166" s="2"/>
    </row>
    <row r="167" spans="2:38" x14ac:dyDescent="0.2">
      <c r="B167" s="2"/>
      <c r="J167" s="3"/>
      <c r="K167" s="3"/>
      <c r="L167" s="3"/>
      <c r="M167" s="3"/>
      <c r="N167" s="3"/>
      <c r="O167" s="3"/>
      <c r="AG167" s="2"/>
      <c r="AH167" s="2"/>
      <c r="AI167" s="2"/>
      <c r="AJ167" s="2"/>
      <c r="AK167" s="2"/>
      <c r="AL167" s="2"/>
    </row>
    <row r="168" spans="2:38" x14ac:dyDescent="0.2">
      <c r="B168" s="2"/>
      <c r="J168" s="3"/>
      <c r="K168" s="3"/>
      <c r="L168" s="3"/>
      <c r="M168" s="3"/>
      <c r="N168" s="3"/>
      <c r="O168" s="3"/>
      <c r="AG168" s="2"/>
      <c r="AH168" s="2"/>
      <c r="AI168" s="2"/>
      <c r="AJ168" s="2"/>
      <c r="AK168" s="2"/>
      <c r="AL168" s="2"/>
    </row>
    <row r="169" spans="2:38" x14ac:dyDescent="0.2">
      <c r="B169" s="2"/>
      <c r="J169" s="3"/>
      <c r="K169" s="3"/>
      <c r="L169" s="3"/>
      <c r="M169" s="3"/>
      <c r="N169" s="3"/>
      <c r="O169" s="3"/>
      <c r="AG169" s="2"/>
      <c r="AH169" s="2"/>
      <c r="AI169" s="2"/>
      <c r="AJ169" s="2"/>
      <c r="AK169" s="2"/>
      <c r="AL169" s="2"/>
    </row>
    <row r="170" spans="2:38" x14ac:dyDescent="0.2">
      <c r="B170" s="2"/>
      <c r="J170" s="3"/>
      <c r="K170" s="3"/>
      <c r="L170" s="3"/>
      <c r="M170" s="3"/>
      <c r="N170" s="3"/>
      <c r="O170" s="3"/>
      <c r="AG170" s="2"/>
      <c r="AH170" s="2"/>
      <c r="AI170" s="2"/>
      <c r="AJ170" s="2"/>
      <c r="AK170" s="2"/>
      <c r="AL170" s="2"/>
    </row>
    <row r="171" spans="2:38" x14ac:dyDescent="0.2">
      <c r="B171" s="2"/>
      <c r="J171" s="3"/>
      <c r="K171" s="3"/>
      <c r="L171" s="3"/>
      <c r="M171" s="3"/>
      <c r="N171" s="3"/>
      <c r="O171" s="3"/>
      <c r="AG171" s="2"/>
      <c r="AH171" s="2"/>
      <c r="AI171" s="2"/>
      <c r="AJ171" s="2"/>
      <c r="AK171" s="2"/>
      <c r="AL171" s="2"/>
    </row>
    <row r="172" spans="2:38" x14ac:dyDescent="0.2">
      <c r="B172" s="2"/>
      <c r="J172" s="3"/>
      <c r="K172" s="3"/>
      <c r="L172" s="3"/>
      <c r="M172" s="3"/>
      <c r="N172" s="3"/>
      <c r="O172" s="3"/>
      <c r="AG172" s="2"/>
      <c r="AH172" s="2"/>
      <c r="AI172" s="2"/>
      <c r="AJ172" s="2"/>
      <c r="AK172" s="2"/>
      <c r="AL172" s="2"/>
    </row>
    <row r="173" spans="2:38" x14ac:dyDescent="0.2">
      <c r="B173" s="2"/>
      <c r="J173" s="3"/>
      <c r="K173" s="3"/>
      <c r="L173" s="3"/>
      <c r="M173" s="3"/>
      <c r="N173" s="3"/>
      <c r="O173" s="3"/>
      <c r="AG173" s="2"/>
      <c r="AH173" s="2"/>
      <c r="AI173" s="2"/>
      <c r="AJ173" s="2"/>
      <c r="AK173" s="2"/>
      <c r="AL173" s="2"/>
    </row>
    <row r="174" spans="2:38" x14ac:dyDescent="0.2">
      <c r="B174" s="2"/>
      <c r="J174" s="3"/>
      <c r="K174" s="3"/>
      <c r="L174" s="3"/>
      <c r="M174" s="3"/>
      <c r="N174" s="3"/>
      <c r="O174" s="3"/>
      <c r="AG174" s="2"/>
      <c r="AH174" s="2"/>
      <c r="AI174" s="2"/>
      <c r="AJ174" s="2"/>
      <c r="AK174" s="2"/>
      <c r="AL174" s="2"/>
    </row>
    <row r="175" spans="2:38" x14ac:dyDescent="0.2">
      <c r="B175" s="2"/>
      <c r="J175" s="3"/>
      <c r="K175" s="3"/>
      <c r="L175" s="3"/>
      <c r="M175" s="3"/>
      <c r="N175" s="3"/>
      <c r="O175" s="3"/>
      <c r="AG175" s="2"/>
      <c r="AH175" s="2"/>
      <c r="AI175" s="2"/>
      <c r="AJ175" s="2"/>
      <c r="AK175" s="2"/>
      <c r="AL175" s="2"/>
    </row>
    <row r="176" spans="2:38" x14ac:dyDescent="0.2">
      <c r="B176" s="2"/>
      <c r="J176" s="3"/>
      <c r="K176" s="3"/>
      <c r="L176" s="3"/>
      <c r="M176" s="3"/>
      <c r="N176" s="3"/>
      <c r="O176" s="3"/>
      <c r="AG176" s="2"/>
      <c r="AH176" s="2"/>
      <c r="AI176" s="2"/>
      <c r="AJ176" s="2"/>
      <c r="AK176" s="2"/>
      <c r="AL176" s="2"/>
    </row>
    <row r="177" spans="2:38" x14ac:dyDescent="0.2">
      <c r="B177" s="2"/>
      <c r="J177" s="3"/>
      <c r="K177" s="3"/>
      <c r="L177" s="3"/>
      <c r="M177" s="3"/>
      <c r="N177" s="3"/>
      <c r="O177" s="3"/>
      <c r="AG177" s="2"/>
      <c r="AH177" s="2"/>
      <c r="AI177" s="2"/>
      <c r="AJ177" s="2"/>
      <c r="AK177" s="2"/>
      <c r="AL177" s="2"/>
    </row>
    <row r="178" spans="2:38" x14ac:dyDescent="0.2">
      <c r="B178" s="2"/>
      <c r="J178" s="3"/>
      <c r="K178" s="3"/>
      <c r="L178" s="3"/>
      <c r="M178" s="3"/>
      <c r="N178" s="3"/>
      <c r="O178" s="3"/>
      <c r="AG178" s="2"/>
      <c r="AH178" s="2"/>
      <c r="AI178" s="2"/>
      <c r="AJ178" s="2"/>
      <c r="AK178" s="2"/>
      <c r="AL178" s="2"/>
    </row>
    <row r="179" spans="2:38" x14ac:dyDescent="0.2">
      <c r="B179" s="2"/>
      <c r="J179" s="3"/>
      <c r="K179" s="3"/>
      <c r="L179" s="3"/>
      <c r="M179" s="3"/>
      <c r="N179" s="3"/>
      <c r="O179" s="3"/>
      <c r="AG179" s="2"/>
      <c r="AH179" s="2"/>
      <c r="AI179" s="2"/>
      <c r="AJ179" s="2"/>
      <c r="AK179" s="2"/>
      <c r="AL179" s="2"/>
    </row>
    <row r="180" spans="2:38" x14ac:dyDescent="0.2">
      <c r="B180" s="2"/>
      <c r="J180" s="3"/>
      <c r="K180" s="3"/>
      <c r="L180" s="3"/>
      <c r="M180" s="3"/>
      <c r="N180" s="3"/>
      <c r="O180" s="3"/>
      <c r="AG180" s="2"/>
      <c r="AH180" s="2"/>
      <c r="AI180" s="2"/>
      <c r="AJ180" s="2"/>
      <c r="AK180" s="2"/>
      <c r="AL180" s="2"/>
    </row>
    <row r="181" spans="2:38" x14ac:dyDescent="0.2">
      <c r="B181" s="2"/>
      <c r="J181" s="3"/>
      <c r="K181" s="3"/>
      <c r="L181" s="3"/>
      <c r="M181" s="3"/>
      <c r="N181" s="3"/>
      <c r="O181" s="3"/>
      <c r="AG181" s="2"/>
      <c r="AH181" s="2"/>
      <c r="AI181" s="2"/>
      <c r="AJ181" s="2"/>
      <c r="AK181" s="2"/>
      <c r="AL181" s="2"/>
    </row>
    <row r="182" spans="2:38" x14ac:dyDescent="0.2">
      <c r="B182" s="2"/>
      <c r="J182" s="3"/>
      <c r="K182" s="3"/>
      <c r="L182" s="3"/>
      <c r="M182" s="3"/>
      <c r="N182" s="3"/>
      <c r="O182" s="3"/>
      <c r="AG182" s="2"/>
      <c r="AH182" s="2"/>
      <c r="AI182" s="2"/>
      <c r="AJ182" s="2"/>
      <c r="AK182" s="2"/>
      <c r="AL182" s="2"/>
    </row>
    <row r="183" spans="2:38" x14ac:dyDescent="0.2">
      <c r="B183" s="2"/>
      <c r="J183" s="3"/>
      <c r="K183" s="3"/>
      <c r="L183" s="3"/>
      <c r="M183" s="3"/>
      <c r="N183" s="3"/>
      <c r="O183" s="3"/>
      <c r="AG183" s="2"/>
      <c r="AH183" s="2"/>
      <c r="AI183" s="2"/>
      <c r="AJ183" s="2"/>
      <c r="AK183" s="2"/>
      <c r="AL183" s="2"/>
    </row>
    <row r="184" spans="2:38" x14ac:dyDescent="0.2">
      <c r="B184" s="2"/>
      <c r="J184" s="3"/>
      <c r="K184" s="3"/>
      <c r="L184" s="3"/>
      <c r="M184" s="3"/>
      <c r="N184" s="3"/>
      <c r="O184" s="3"/>
      <c r="AG184" s="2"/>
      <c r="AH184" s="2"/>
      <c r="AI184" s="2"/>
      <c r="AJ184" s="2"/>
      <c r="AK184" s="2"/>
      <c r="AL184" s="2"/>
    </row>
    <row r="185" spans="2:38" x14ac:dyDescent="0.2">
      <c r="B185" s="2"/>
      <c r="J185" s="3"/>
      <c r="K185" s="3"/>
      <c r="L185" s="3"/>
      <c r="M185" s="3"/>
      <c r="N185" s="3"/>
      <c r="O185" s="3"/>
      <c r="AG185" s="2"/>
      <c r="AH185" s="2"/>
      <c r="AI185" s="2"/>
      <c r="AJ185" s="2"/>
      <c r="AK185" s="2"/>
      <c r="AL185" s="2"/>
    </row>
    <row r="186" spans="2:38" x14ac:dyDescent="0.2">
      <c r="B186" s="2"/>
      <c r="J186" s="3"/>
      <c r="K186" s="3"/>
      <c r="L186" s="3"/>
      <c r="M186" s="3"/>
      <c r="N186" s="3"/>
      <c r="O186" s="3"/>
      <c r="AG186" s="2"/>
      <c r="AH186" s="2"/>
      <c r="AI186" s="2"/>
      <c r="AJ186" s="2"/>
      <c r="AK186" s="2"/>
      <c r="AL186" s="2"/>
    </row>
    <row r="187" spans="2:38" x14ac:dyDescent="0.2">
      <c r="B187" s="2"/>
      <c r="J187" s="3"/>
      <c r="K187" s="3"/>
      <c r="L187" s="3"/>
      <c r="M187" s="3"/>
      <c r="N187" s="3"/>
      <c r="O187" s="3"/>
      <c r="AG187" s="2"/>
      <c r="AH187" s="2"/>
      <c r="AI187" s="2"/>
      <c r="AJ187" s="2"/>
      <c r="AK187" s="2"/>
      <c r="AL187" s="2"/>
    </row>
    <row r="188" spans="2:38" x14ac:dyDescent="0.2">
      <c r="B188" s="2"/>
      <c r="J188" s="3"/>
      <c r="K188" s="3"/>
      <c r="L188" s="3"/>
      <c r="M188" s="3"/>
      <c r="N188" s="3"/>
      <c r="O188" s="3"/>
      <c r="AG188" s="2"/>
      <c r="AH188" s="2"/>
      <c r="AI188" s="2"/>
      <c r="AJ188" s="2"/>
      <c r="AK188" s="2"/>
      <c r="AL188" s="2"/>
    </row>
    <row r="189" spans="2:38" x14ac:dyDescent="0.2">
      <c r="B189" s="2"/>
      <c r="J189" s="3"/>
      <c r="K189" s="3"/>
      <c r="L189" s="3"/>
      <c r="M189" s="3"/>
      <c r="N189" s="3"/>
      <c r="O189" s="3"/>
      <c r="AG189" s="2"/>
      <c r="AH189" s="2"/>
      <c r="AI189" s="2"/>
      <c r="AJ189" s="2"/>
      <c r="AK189" s="2"/>
      <c r="AL189" s="2"/>
    </row>
    <row r="190" spans="2:38" x14ac:dyDescent="0.2">
      <c r="B190" s="2"/>
      <c r="J190" s="3"/>
      <c r="K190" s="3"/>
      <c r="L190" s="3"/>
      <c r="M190" s="3"/>
      <c r="N190" s="3"/>
      <c r="O190" s="3"/>
      <c r="AG190" s="2"/>
      <c r="AH190" s="2"/>
      <c r="AI190" s="2"/>
      <c r="AJ190" s="2"/>
      <c r="AK190" s="2"/>
      <c r="AL190" s="2"/>
    </row>
    <row r="191" spans="2:38" x14ac:dyDescent="0.2">
      <c r="B191" s="2"/>
      <c r="J191" s="3"/>
      <c r="K191" s="3"/>
      <c r="L191" s="3"/>
      <c r="M191" s="3"/>
      <c r="N191" s="3"/>
      <c r="O191" s="3"/>
      <c r="AG191" s="2"/>
      <c r="AH191" s="2"/>
      <c r="AI191" s="2"/>
      <c r="AJ191" s="2"/>
      <c r="AK191" s="2"/>
      <c r="AL191" s="2"/>
    </row>
    <row r="192" spans="2:38" x14ac:dyDescent="0.2">
      <c r="B192" s="2"/>
      <c r="J192" s="3"/>
      <c r="K192" s="3"/>
      <c r="L192" s="3"/>
      <c r="M192" s="3"/>
      <c r="N192" s="3"/>
      <c r="O192" s="3"/>
      <c r="AG192" s="2"/>
      <c r="AH192" s="2"/>
      <c r="AI192" s="2"/>
      <c r="AJ192" s="2"/>
      <c r="AK192" s="2"/>
      <c r="AL192" s="2"/>
    </row>
    <row r="193" spans="2:38" x14ac:dyDescent="0.2">
      <c r="B193" s="2"/>
      <c r="J193" s="3"/>
      <c r="K193" s="3"/>
      <c r="L193" s="3"/>
      <c r="M193" s="3"/>
      <c r="N193" s="3"/>
      <c r="O193" s="3"/>
      <c r="AG193" s="2"/>
      <c r="AH193" s="2"/>
      <c r="AI193" s="2"/>
      <c r="AJ193" s="2"/>
      <c r="AK193" s="2"/>
      <c r="AL193" s="2"/>
    </row>
    <row r="194" spans="2:38" x14ac:dyDescent="0.2">
      <c r="B194" s="2"/>
      <c r="J194" s="3"/>
      <c r="K194" s="3"/>
      <c r="L194" s="3"/>
      <c r="M194" s="3"/>
      <c r="N194" s="3"/>
      <c r="O194" s="3"/>
      <c r="AG194" s="2"/>
      <c r="AH194" s="2"/>
      <c r="AI194" s="2"/>
      <c r="AJ194" s="2"/>
      <c r="AK194" s="2"/>
      <c r="AL194" s="2"/>
    </row>
    <row r="195" spans="2:38" x14ac:dyDescent="0.2">
      <c r="B195" s="2"/>
      <c r="J195" s="3"/>
      <c r="K195" s="3"/>
      <c r="L195" s="3"/>
      <c r="M195" s="3"/>
      <c r="N195" s="3"/>
      <c r="O195" s="3"/>
      <c r="AG195" s="2"/>
      <c r="AH195" s="2"/>
      <c r="AI195" s="2"/>
      <c r="AJ195" s="2"/>
      <c r="AK195" s="2"/>
      <c r="AL195" s="2"/>
    </row>
    <row r="196" spans="2:38" x14ac:dyDescent="0.2">
      <c r="B196" s="2"/>
      <c r="J196" s="3"/>
      <c r="K196" s="3"/>
      <c r="L196" s="3"/>
      <c r="M196" s="3"/>
      <c r="N196" s="3"/>
      <c r="O196" s="3"/>
      <c r="AG196" s="2"/>
      <c r="AH196" s="2"/>
      <c r="AI196" s="2"/>
      <c r="AJ196" s="2"/>
      <c r="AK196" s="2"/>
      <c r="AL196" s="2"/>
    </row>
    <row r="197" spans="2:38" x14ac:dyDescent="0.2">
      <c r="B197" s="2"/>
      <c r="J197" s="3"/>
      <c r="K197" s="3"/>
      <c r="L197" s="3"/>
      <c r="M197" s="3"/>
      <c r="N197" s="3"/>
      <c r="O197" s="3"/>
      <c r="AG197" s="2"/>
      <c r="AH197" s="2"/>
      <c r="AI197" s="2"/>
      <c r="AJ197" s="2"/>
      <c r="AK197" s="2"/>
      <c r="AL197" s="2"/>
    </row>
    <row r="198" spans="2:38" x14ac:dyDescent="0.2">
      <c r="B198" s="2"/>
      <c r="J198" s="3"/>
      <c r="K198" s="3"/>
      <c r="L198" s="3"/>
      <c r="M198" s="3"/>
      <c r="N198" s="3"/>
      <c r="O198" s="3"/>
      <c r="AG198" s="2"/>
      <c r="AH198" s="2"/>
      <c r="AI198" s="2"/>
      <c r="AJ198" s="2"/>
      <c r="AK198" s="2"/>
      <c r="AL198" s="2"/>
    </row>
    <row r="199" spans="2:38" x14ac:dyDescent="0.2">
      <c r="B199" s="2"/>
      <c r="J199" s="3"/>
      <c r="K199" s="3"/>
      <c r="L199" s="3"/>
      <c r="M199" s="3"/>
      <c r="N199" s="3"/>
    </row>
    <row r="200" spans="2:38" x14ac:dyDescent="0.2">
      <c r="B200" s="2"/>
      <c r="J200" s="3"/>
      <c r="K200" s="3"/>
      <c r="L200" s="3"/>
      <c r="M200" s="3"/>
      <c r="N200" s="3"/>
    </row>
    <row r="201" spans="2:38" x14ac:dyDescent="0.2">
      <c r="J201" s="3"/>
      <c r="K201" s="3"/>
      <c r="L201" s="3"/>
      <c r="M201" s="3"/>
    </row>
  </sheetData>
  <autoFilter ref="G135:M135"/>
  <dataConsolidate/>
  <conditionalFormatting sqref="S92:S101">
    <cfRule type="cellIs" dxfId="2" priority="1" operator="notBetween">
      <formula>-3</formula>
      <formula>3</formula>
    </cfRule>
    <cfRule type="cellIs" dxfId="1" priority="2" operator="notBetween">
      <formula>-2</formula>
      <formula>2</formula>
    </cfRule>
    <cfRule type="cellIs" dxfId="0" priority="3" operator="notBetween">
      <formula>-1</formula>
      <formula>1</formula>
    </cfRule>
  </conditionalFormatting>
  <dataValidations disablePrompts="1" count="18">
    <dataValidation type="whole" allowBlank="1" showErrorMessage="1" sqref="E90">
      <formula1>0</formula1>
      <formula2>90</formula2>
    </dataValidation>
    <dataValidation type="list" allowBlank="1" showInputMessage="1" showErrorMessage="1" sqref="E71:E73">
      <formula1>$P$57:$P$59</formula1>
    </dataValidation>
    <dataValidation type="list" allowBlank="1" showInputMessage="1" showErrorMessage="1" sqref="E77:E79">
      <formula1>$P$61:$P$63</formula1>
    </dataValidation>
    <dataValidation type="list" allowBlank="1" showInputMessage="1" showErrorMessage="1" sqref="E82:E84">
      <formula1>$P$65:$P$67</formula1>
    </dataValidation>
    <dataValidation type="list" allowBlank="1" showInputMessage="1" showErrorMessage="1" sqref="D70 D74">
      <formula1>$P$8:$P$11</formula1>
    </dataValidation>
    <dataValidation type="list" allowBlank="1" showInputMessage="1" showErrorMessage="1" sqref="D71:D73">
      <formula1>$P$5:$P$7</formula1>
    </dataValidation>
    <dataValidation type="list" allowBlank="1" showInputMessage="1" showErrorMessage="1" sqref="D76 D80">
      <formula1>$P$16:$P$19</formula1>
    </dataValidation>
    <dataValidation type="list" allowBlank="1" showInputMessage="1" showErrorMessage="1" sqref="D77:D79">
      <formula1>$P$12:$P$15</formula1>
    </dataValidation>
    <dataValidation type="list" allowBlank="1" showInputMessage="1" showErrorMessage="1" sqref="D82:D84">
      <formula1>$P$20:$P$23</formula1>
    </dataValidation>
    <dataValidation type="list" allowBlank="1" showInputMessage="1" showErrorMessage="1" sqref="D68">
      <formula1>$P$4</formula1>
    </dataValidation>
    <dataValidation type="list" allowBlank="1" showInputMessage="1" showErrorMessage="1" sqref="C59">
      <formula1>$S$72:$S$74</formula1>
    </dataValidation>
    <dataValidation type="list" allowBlank="1" showInputMessage="1" showErrorMessage="1" sqref="C60">
      <formula1>$S$67:$S$69</formula1>
    </dataValidation>
    <dataValidation type="list" allowBlank="1" showInputMessage="1" showErrorMessage="1" sqref="C61">
      <formula1>$W$46:$W$86</formula1>
    </dataValidation>
    <dataValidation type="list" allowBlank="1" showInputMessage="1" showErrorMessage="1" sqref="C62">
      <formula1>$S$46:$S$56</formula1>
    </dataValidation>
    <dataValidation type="list" allowBlank="1" showInputMessage="1" showErrorMessage="1" sqref="C64">
      <formula1>$S$77:$S$79</formula1>
    </dataValidation>
    <dataValidation type="list" allowBlank="1" showInputMessage="1" showErrorMessage="1" sqref="H114">
      <formula1>$S$58:$S$61</formula1>
    </dataValidation>
    <dataValidation type="list" allowBlank="1" showInputMessage="1" showErrorMessage="1" sqref="C63">
      <formula1>$S$57:$S$62</formula1>
    </dataValidation>
    <dataValidation type="list" operator="equal" allowBlank="1" showErrorMessage="1" sqref="F82:F84 F68 F76:F80 F70:F74">
      <formula1>$B$7:$B$57</formula1>
      <formula2>0</formula2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rating predictor</vt:lpstr>
      <vt:lpstr>'rating predictor'!centraal</vt:lpstr>
      <vt:lpstr>'rating predictor'!coach</vt:lpstr>
      <vt:lpstr>'rating predictor'!contributies</vt:lpstr>
      <vt:lpstr>'rating predictor'!instelling</vt:lpstr>
      <vt:lpstr>'rating predictor'!spelers</vt:lpstr>
      <vt:lpstr>'rating predictor'!stats</vt:lpstr>
      <vt:lpstr>'rating predictor'!tactiek</vt:lpstr>
      <vt:lpstr>'rating predictor'!ts</vt:lpstr>
      <vt:lpstr>'rating predictor'!wedstrijd</vt:lpstr>
      <vt:lpstr>'rating predictor'!zv</vt:lpstr>
    </vt:vector>
  </TitlesOfParts>
  <Company>Philips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Groot, Matthijs</dc:creator>
  <cp:lastModifiedBy>Syntri</cp:lastModifiedBy>
  <dcterms:created xsi:type="dcterms:W3CDTF">2011-12-27T22:34:43Z</dcterms:created>
  <dcterms:modified xsi:type="dcterms:W3CDTF">2012-04-19T15:06:22Z</dcterms:modified>
</cp:coreProperties>
</file>