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4"/>
  </bookViews>
  <sheets>
    <sheet name="Histogram" sheetId="10" r:id="rId1"/>
    <sheet name="Arkusz1" sheetId="1" r:id="rId2"/>
    <sheet name="Diff vs ISR No." sheetId="7" r:id="rId3"/>
    <sheet name="Diff vs ISR conc" sheetId="6" r:id="rId4"/>
    <sheet name="%ISR vs ISR No." sheetId="5" r:id="rId5"/>
    <sheet name="Correlation" sheetId="8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M29" i="1"/>
  <c r="M30"/>
  <c r="M31"/>
  <c r="M32"/>
  <c r="M33"/>
  <c r="M34"/>
  <c r="M35"/>
  <c r="M28"/>
  <c r="M36"/>
  <c r="O5"/>
  <c r="H28"/>
  <c r="G28"/>
  <c r="F28"/>
  <c r="H27"/>
  <c r="G27"/>
  <c r="F27"/>
  <c r="E28"/>
  <c r="E27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4"/>
  <c r="J4"/>
  <c r="J25"/>
  <c r="J24"/>
  <c r="J23"/>
  <c r="J22"/>
  <c r="J21"/>
  <c r="J20"/>
  <c r="K7"/>
  <c r="K11"/>
  <c r="J19"/>
  <c r="J18"/>
  <c r="J11"/>
  <c r="J12"/>
  <c r="J13"/>
  <c r="J14"/>
  <c r="J15"/>
  <c r="J16"/>
  <c r="J17"/>
  <c r="J10"/>
  <c r="J5"/>
  <c r="J6"/>
  <c r="J7"/>
  <c r="J8"/>
  <c r="J9"/>
  <c r="K13"/>
  <c r="K15"/>
</calcChain>
</file>

<file path=xl/sharedStrings.xml><?xml version="1.0" encoding="utf-8"?>
<sst xmlns="http://schemas.openxmlformats.org/spreadsheetml/2006/main" count="127" uniqueCount="62">
  <si>
    <t>Sample No.</t>
  </si>
  <si>
    <t>Subject</t>
  </si>
  <si>
    <t xml:space="preserve">Period </t>
  </si>
  <si>
    <t>Blood sampling point</t>
  </si>
  <si>
    <t>01</t>
  </si>
  <si>
    <t>02</t>
  </si>
  <si>
    <t>03</t>
  </si>
  <si>
    <t>04</t>
  </si>
  <si>
    <t>05</t>
  </si>
  <si>
    <t>13</t>
  </si>
  <si>
    <t>14</t>
  </si>
  <si>
    <t>15</t>
  </si>
  <si>
    <t>16</t>
  </si>
  <si>
    <t>06</t>
  </si>
  <si>
    <t>07</t>
  </si>
  <si>
    <t>09</t>
  </si>
  <si>
    <t>10</t>
  </si>
  <si>
    <t>08</t>
  </si>
  <si>
    <t>11</t>
  </si>
  <si>
    <t>12</t>
  </si>
  <si>
    <t>00</t>
  </si>
  <si>
    <t xml:space="preserve">Liczba próbek przeanalizowanych </t>
  </si>
  <si>
    <t>% wyników spełniających kryterium akceptacji</t>
  </si>
  <si>
    <t>Ordinal number</t>
  </si>
  <si>
    <t>17</t>
  </si>
  <si>
    <t>18</t>
  </si>
  <si>
    <t>Sampling time [h]</t>
  </si>
  <si>
    <t>Liczba wszystkich próbek</t>
  </si>
  <si>
    <t>Liczba próbek do analizy</t>
  </si>
  <si>
    <t>Pozostało do analizy</t>
  </si>
  <si>
    <t>Liczba próbek z ISR &gt; [20%]</t>
  </si>
  <si>
    <t>zgodnie z ILB/AF/026 wersja 2</t>
  </si>
  <si>
    <t>PH1</t>
  </si>
  <si>
    <t>P4</t>
  </si>
  <si>
    <t>P11</t>
  </si>
  <si>
    <t>P12</t>
  </si>
  <si>
    <t>P5</t>
  </si>
  <si>
    <t>P6</t>
  </si>
  <si>
    <t>P7</t>
  </si>
  <si>
    <t>P13</t>
  </si>
  <si>
    <t>P1</t>
  </si>
  <si>
    <t>P8</t>
  </si>
  <si>
    <t>%ISR</t>
  </si>
  <si>
    <t>Initial value 
[ng/ml]</t>
  </si>
  <si>
    <t>Repeat value
[ng/ml]</t>
  </si>
  <si>
    <t>%difference
[%]</t>
  </si>
  <si>
    <t>Zakres</t>
  </si>
  <si>
    <t>MIN</t>
  </si>
  <si>
    <t>MAX</t>
  </si>
  <si>
    <t>%difference (min-max)
[%]</t>
  </si>
  <si>
    <t>% difference classes</t>
  </si>
  <si>
    <t>&lt; -40</t>
  </si>
  <si>
    <t>&lt;-40; -20)</t>
  </si>
  <si>
    <t>&lt;-20; -10)</t>
  </si>
  <si>
    <t>&lt;-10; 0)</t>
  </si>
  <si>
    <t>&lt;0; 10&gt;</t>
  </si>
  <si>
    <t>(10; 20&gt;</t>
  </si>
  <si>
    <t>(20; 40&gt;</t>
  </si>
  <si>
    <t>&gt; 40</t>
  </si>
  <si>
    <t>Zbiór danych (koszyk)</t>
  </si>
  <si>
    <t>Częstość</t>
  </si>
  <si>
    <t>Suma</t>
  </si>
</sst>
</file>

<file path=xl/styles.xml><?xml version="1.0" encoding="utf-8"?>
<styleSheet xmlns="http://schemas.openxmlformats.org/spreadsheetml/2006/main">
  <numFmts count="1">
    <numFmt numFmtId="164" formatCode="0.000"/>
  </numFmts>
  <fonts count="12">
    <font>
      <sz val="11"/>
      <color theme="1"/>
      <name val="Calibri"/>
      <family val="2"/>
      <charset val="238"/>
      <scheme val="minor"/>
    </font>
    <font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0" applyFont="1"/>
    <xf numFmtId="9" fontId="4" fillId="0" borderId="0" xfId="1" applyFont="1"/>
    <xf numFmtId="0" fontId="0" fillId="0" borderId="0" xfId="0" applyFont="1"/>
    <xf numFmtId="49" fontId="0" fillId="0" borderId="0" xfId="0" applyNumberFormat="1"/>
    <xf numFmtId="49" fontId="6" fillId="0" borderId="0" xfId="0" applyNumberFormat="1" applyFont="1"/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center" vertical="center"/>
    </xf>
    <xf numFmtId="2" fontId="6" fillId="0" borderId="0" xfId="0" applyNumberFormat="1" applyFont="1"/>
    <xf numFmtId="0" fontId="8" fillId="0" borderId="0" xfId="0" applyFont="1"/>
    <xf numFmtId="2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1" fontId="4" fillId="0" borderId="0" xfId="0" applyNumberFormat="1" applyFont="1"/>
    <xf numFmtId="49" fontId="1" fillId="0" borderId="15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8" fillId="2" borderId="0" xfId="0" applyFont="1" applyFill="1"/>
    <xf numFmtId="164" fontId="1" fillId="0" borderId="4" xfId="0" applyNumberFormat="1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left" vertical="center"/>
    </xf>
    <xf numFmtId="164" fontId="1" fillId="0" borderId="17" xfId="0" applyNumberFormat="1" applyFont="1" applyBorder="1" applyAlignment="1">
      <alignment horizontal="left" vertical="center"/>
    </xf>
    <xf numFmtId="164" fontId="1" fillId="0" borderId="18" xfId="0" applyNumberFormat="1" applyFont="1" applyBorder="1" applyAlignment="1">
      <alignment horizontal="left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left" vertical="center"/>
    </xf>
    <xf numFmtId="1" fontId="3" fillId="0" borderId="0" xfId="1" applyNumberFormat="1" applyFont="1"/>
    <xf numFmtId="2" fontId="6" fillId="0" borderId="0" xfId="0" applyNumberFormat="1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2" fontId="8" fillId="0" borderId="0" xfId="1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>
      <alignment horizontal="center" vertical="center"/>
    </xf>
    <xf numFmtId="49" fontId="10" fillId="0" borderId="0" xfId="0" applyNumberFormat="1" applyFont="1"/>
    <xf numFmtId="49" fontId="10" fillId="0" borderId="0" xfId="0" applyNumberFormat="1" applyFont="1" applyFill="1"/>
    <xf numFmtId="0" fontId="0" fillId="0" borderId="0" xfId="0" applyFill="1" applyBorder="1" applyAlignment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0" fillId="0" borderId="24" xfId="0" applyFill="1" applyBorder="1" applyAlignment="1"/>
    <xf numFmtId="0" fontId="11" fillId="0" borderId="27" xfId="0" applyFont="1" applyFill="1" applyBorder="1" applyAlignment="1">
      <alignment horizontal="center"/>
    </xf>
    <xf numFmtId="9" fontId="5" fillId="0" borderId="0" xfId="1" applyFont="1"/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7">
    <dxf>
      <font>
        <strike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8673333333333419"/>
          <c:y val="7.4299855495556635E-2"/>
          <c:w val="0.80005555555555563"/>
          <c:h val="0.54622777777777776"/>
        </c:manualLayout>
      </c:layout>
      <c:barChart>
        <c:barDir val="col"/>
        <c:grouping val="clustered"/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3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4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5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6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7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cat>
            <c:strRef>
              <c:f>[1]Arkusz1!$J$28:$J$35</c:f>
              <c:strCache>
                <c:ptCount val="8"/>
                <c:pt idx="0">
                  <c:v>&lt; -40</c:v>
                </c:pt>
                <c:pt idx="1">
                  <c:v>&lt;-40; -20)</c:v>
                </c:pt>
                <c:pt idx="2">
                  <c:v>&lt;-20; -10)</c:v>
                </c:pt>
                <c:pt idx="3">
                  <c:v>&lt;-10; 0)</c:v>
                </c:pt>
                <c:pt idx="4">
                  <c:v>&lt;0; 10&gt;</c:v>
                </c:pt>
                <c:pt idx="5">
                  <c:v>(10; 20&gt;</c:v>
                </c:pt>
                <c:pt idx="6">
                  <c:v>(20; 40&gt;</c:v>
                </c:pt>
                <c:pt idx="7">
                  <c:v>&gt; 40</c:v>
                </c:pt>
              </c:strCache>
            </c:strRef>
          </c:cat>
          <c:val>
            <c:numRef>
              <c:f>Arkusz1!$M$28:$M$35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4.5454545454545456E-2</c:v>
                </c:pt>
                <c:pt idx="4">
                  <c:v>0.81818181818181823</c:v>
                </c:pt>
                <c:pt idx="5">
                  <c:v>0.13636363636363635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gapWidth val="0"/>
        <c:axId val="59609088"/>
        <c:axId val="59737216"/>
      </c:barChart>
      <c:catAx>
        <c:axId val="59609088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difference classes (%)</a:t>
                </a:r>
                <a:endParaRPr lang="en-US" sz="100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1489236111111224"/>
              <c:y val="0.90205928139222058"/>
            </c:manualLayout>
          </c:layout>
        </c:title>
        <c:tickLblPos val="nextTo"/>
        <c:txPr>
          <a:bodyPr rot="-2700000" vert="horz"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59737216"/>
        <c:crosses val="autoZero"/>
        <c:auto val="1"/>
        <c:lblAlgn val="ctr"/>
        <c:lblOffset val="100"/>
      </c:catAx>
      <c:valAx>
        <c:axId val="59737216"/>
        <c:scaling>
          <c:orientation val="minMax"/>
          <c:max val="1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Arial" pitchFamily="34" charset="0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7840277777778015E-3"/>
              <c:y val="0.18183360555339612"/>
            </c:manualLayout>
          </c:layout>
        </c:title>
        <c:numFmt formatCode="0%" sourceLinked="0"/>
        <c:tickLblPos val="nextTo"/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59609088"/>
        <c:crosses val="autoZero"/>
        <c:crossBetween val="between"/>
        <c:majorUnit val="0.2"/>
      </c:valAx>
      <c:spPr>
        <a:ln w="9525">
          <a:noFill/>
        </a:ln>
      </c:spPr>
    </c:plotArea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70032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Arkusz1!$G$4:$G$25</c:f>
              <c:numCache>
                <c:formatCode>0.00</c:formatCode>
                <c:ptCount val="22"/>
                <c:pt idx="0">
                  <c:v>4.1708349365140434</c:v>
                </c:pt>
                <c:pt idx="1">
                  <c:v>2.088725751030386</c:v>
                </c:pt>
                <c:pt idx="2">
                  <c:v>4.9705139005897179</c:v>
                </c:pt>
                <c:pt idx="3">
                  <c:v>3.9183079561399041</c:v>
                </c:pt>
                <c:pt idx="4">
                  <c:v>6.2093756484834683</c:v>
                </c:pt>
                <c:pt idx="5">
                  <c:v>13.288315656083464</c:v>
                </c:pt>
                <c:pt idx="6">
                  <c:v>10.51650611318767</c:v>
                </c:pt>
                <c:pt idx="7">
                  <c:v>3.8651932596629801</c:v>
                </c:pt>
                <c:pt idx="8">
                  <c:v>3.666438131944838</c:v>
                </c:pt>
                <c:pt idx="9">
                  <c:v>1.7186628663485946</c:v>
                </c:pt>
                <c:pt idx="10">
                  <c:v>9.1181405707531482</c:v>
                </c:pt>
                <c:pt idx="11">
                  <c:v>17.438987140472211</c:v>
                </c:pt>
                <c:pt idx="12">
                  <c:v>0.27051733337746464</c:v>
                </c:pt>
                <c:pt idx="13">
                  <c:v>9.3461306994087234</c:v>
                </c:pt>
                <c:pt idx="14">
                  <c:v>2.0127789954709501</c:v>
                </c:pt>
                <c:pt idx="15">
                  <c:v>9.8208459946682591</c:v>
                </c:pt>
                <c:pt idx="16">
                  <c:v>5.2759136838385627</c:v>
                </c:pt>
                <c:pt idx="17">
                  <c:v>4.3206605952154771</c:v>
                </c:pt>
                <c:pt idx="18">
                  <c:v>7.2915438527543062</c:v>
                </c:pt>
                <c:pt idx="19">
                  <c:v>4.7141686356856987</c:v>
                </c:pt>
                <c:pt idx="20">
                  <c:v>-1.0663019534748548</c:v>
                </c:pt>
                <c:pt idx="21">
                  <c:v>7.1904745790570335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2222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(Arkusz1!$A$4,Arkusz1!$A$25)</c:f>
              <c:numCache>
                <c:formatCode>General</c:formatCode>
                <c:ptCount val="2"/>
                <c:pt idx="0">
                  <c:v>1</c:v>
                </c:pt>
                <c:pt idx="1">
                  <c:v>22</c:v>
                </c:pt>
              </c:numCache>
            </c:numRef>
          </c:xVal>
          <c:yVal>
            <c:numRef>
              <c:f>Arkusz1!$R$4:$R$5</c:f>
              <c:numCache>
                <c:formatCode>General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22225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(Arkusz1!$A$4,Arkusz1!$A$25)</c:f>
              <c:numCache>
                <c:formatCode>General</c:formatCode>
                <c:ptCount val="2"/>
                <c:pt idx="0">
                  <c:v>1</c:v>
                </c:pt>
                <c:pt idx="1">
                  <c:v>22</c:v>
                </c:pt>
              </c:numCache>
            </c:numRef>
          </c:xVal>
          <c:yVal>
            <c:numRef>
              <c:f>Arkusz1!$T$4:$T$5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(Arkusz1!$A$4,Arkusz1!$A$25)</c:f>
              <c:numCache>
                <c:formatCode>General</c:formatCode>
                <c:ptCount val="2"/>
                <c:pt idx="0">
                  <c:v>1</c:v>
                </c:pt>
                <c:pt idx="1">
                  <c:v>22</c:v>
                </c:pt>
              </c:numCache>
            </c:numRef>
          </c:xVal>
          <c:yVal>
            <c:numRef>
              <c:f>Arkusz1!$S$4:$S$5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71804416"/>
        <c:axId val="81027072"/>
      </c:scatterChart>
      <c:valAx>
        <c:axId val="71804416"/>
        <c:scaling>
          <c:orientation val="minMax"/>
          <c:max val="24"/>
          <c:min val="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ISR No.</a:t>
                </a:r>
              </a:p>
            </c:rich>
          </c:tx>
          <c:layout>
            <c:manualLayout>
              <c:xMode val="edge"/>
              <c:yMode val="edge"/>
              <c:x val="0.41893460349186162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1027072"/>
        <c:crossesAt val="-400"/>
        <c:crossBetween val="midCat"/>
        <c:majorUnit val="5"/>
      </c:valAx>
      <c:valAx>
        <c:axId val="81027072"/>
        <c:scaling>
          <c:orientation val="minMax"/>
          <c:max val="40"/>
          <c:min val="-4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% diference [%]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1804416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70021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Arkusz1!$E$4:$E$25</c:f>
              <c:numCache>
                <c:formatCode>0.000</c:formatCode>
                <c:ptCount val="22"/>
                <c:pt idx="0">
                  <c:v>1590.5</c:v>
                </c:pt>
                <c:pt idx="1">
                  <c:v>109.723</c:v>
                </c:pt>
                <c:pt idx="2">
                  <c:v>29.169</c:v>
                </c:pt>
                <c:pt idx="3">
                  <c:v>1603.61</c:v>
                </c:pt>
                <c:pt idx="4">
                  <c:v>1447.49</c:v>
                </c:pt>
                <c:pt idx="5">
                  <c:v>107.559</c:v>
                </c:pt>
                <c:pt idx="6">
                  <c:v>1402.95</c:v>
                </c:pt>
                <c:pt idx="7">
                  <c:v>31.38</c:v>
                </c:pt>
                <c:pt idx="8">
                  <c:v>1589.33</c:v>
                </c:pt>
                <c:pt idx="9">
                  <c:v>51.201000000000001</c:v>
                </c:pt>
                <c:pt idx="10">
                  <c:v>753.37300000000005</c:v>
                </c:pt>
                <c:pt idx="11">
                  <c:v>56.481000000000002</c:v>
                </c:pt>
                <c:pt idx="12">
                  <c:v>120.71599999999999</c:v>
                </c:pt>
                <c:pt idx="13">
                  <c:v>1536.47</c:v>
                </c:pt>
                <c:pt idx="14">
                  <c:v>1702.7</c:v>
                </c:pt>
                <c:pt idx="15">
                  <c:v>51.006999999999998</c:v>
                </c:pt>
                <c:pt idx="16">
                  <c:v>1460.27</c:v>
                </c:pt>
                <c:pt idx="17">
                  <c:v>29.361000000000001</c:v>
                </c:pt>
                <c:pt idx="18">
                  <c:v>1103.28</c:v>
                </c:pt>
                <c:pt idx="19">
                  <c:v>87.629000000000005</c:v>
                </c:pt>
                <c:pt idx="20">
                  <c:v>1661.25</c:v>
                </c:pt>
                <c:pt idx="21">
                  <c:v>29.913</c:v>
                </c:pt>
              </c:numCache>
            </c:numRef>
          </c:xVal>
          <c:yVal>
            <c:numRef>
              <c:f>Arkusz1!$G$4:$G$25</c:f>
              <c:numCache>
                <c:formatCode>0.00</c:formatCode>
                <c:ptCount val="22"/>
                <c:pt idx="0">
                  <c:v>4.1708349365140434</c:v>
                </c:pt>
                <c:pt idx="1">
                  <c:v>2.088725751030386</c:v>
                </c:pt>
                <c:pt idx="2">
                  <c:v>4.9705139005897179</c:v>
                </c:pt>
                <c:pt idx="3">
                  <c:v>3.9183079561399041</c:v>
                </c:pt>
                <c:pt idx="4">
                  <c:v>6.2093756484834683</c:v>
                </c:pt>
                <c:pt idx="5">
                  <c:v>13.288315656083464</c:v>
                </c:pt>
                <c:pt idx="6">
                  <c:v>10.51650611318767</c:v>
                </c:pt>
                <c:pt idx="7">
                  <c:v>3.8651932596629801</c:v>
                </c:pt>
                <c:pt idx="8">
                  <c:v>3.666438131944838</c:v>
                </c:pt>
                <c:pt idx="9">
                  <c:v>1.7186628663485946</c:v>
                </c:pt>
                <c:pt idx="10">
                  <c:v>9.1181405707531482</c:v>
                </c:pt>
                <c:pt idx="11">
                  <c:v>17.438987140472211</c:v>
                </c:pt>
                <c:pt idx="12">
                  <c:v>0.27051733337746464</c:v>
                </c:pt>
                <c:pt idx="13">
                  <c:v>9.3461306994087234</c:v>
                </c:pt>
                <c:pt idx="14">
                  <c:v>2.0127789954709501</c:v>
                </c:pt>
                <c:pt idx="15">
                  <c:v>9.8208459946682591</c:v>
                </c:pt>
                <c:pt idx="16">
                  <c:v>5.2759136838385627</c:v>
                </c:pt>
                <c:pt idx="17">
                  <c:v>4.3206605952154771</c:v>
                </c:pt>
                <c:pt idx="18">
                  <c:v>7.2915438527543062</c:v>
                </c:pt>
                <c:pt idx="19">
                  <c:v>4.7141686356856987</c:v>
                </c:pt>
                <c:pt idx="20">
                  <c:v>-1.0663019534748548</c:v>
                </c:pt>
                <c:pt idx="21">
                  <c:v>7.1904745790570335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2222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Arkusz1!$O$4:$O$5</c:f>
              <c:numCache>
                <c:formatCode>0.00</c:formatCode>
                <c:ptCount val="2"/>
                <c:pt idx="0">
                  <c:v>0</c:v>
                </c:pt>
                <c:pt idx="1">
                  <c:v>1800</c:v>
                </c:pt>
              </c:numCache>
            </c:numRef>
          </c:xVal>
          <c:yVal>
            <c:numRef>
              <c:f>Arkusz1!$R$4:$R$5</c:f>
              <c:numCache>
                <c:formatCode>General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22225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Arkusz1!$O$4:$O$5</c:f>
              <c:numCache>
                <c:formatCode>0.00</c:formatCode>
                <c:ptCount val="2"/>
                <c:pt idx="0">
                  <c:v>0</c:v>
                </c:pt>
                <c:pt idx="1">
                  <c:v>1800</c:v>
                </c:pt>
              </c:numCache>
            </c:numRef>
          </c:xVal>
          <c:yVal>
            <c:numRef>
              <c:f>Arkusz1!$T$4:$T$5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Arkusz1!$O$4:$O$5</c:f>
              <c:numCache>
                <c:formatCode>0.00</c:formatCode>
                <c:ptCount val="2"/>
                <c:pt idx="0">
                  <c:v>0</c:v>
                </c:pt>
                <c:pt idx="1">
                  <c:v>1800</c:v>
                </c:pt>
              </c:numCache>
            </c:numRef>
          </c:xVal>
          <c:yVal>
            <c:numRef>
              <c:f>Arkusz1!$S$4:$S$5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81058816"/>
        <c:axId val="81060992"/>
      </c:scatterChart>
      <c:valAx>
        <c:axId val="81058816"/>
        <c:scaling>
          <c:orientation val="minMax"/>
          <c:max val="1800"/>
          <c:min val="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Initial value [ng/mL]</a:t>
                </a:r>
              </a:p>
            </c:rich>
          </c:tx>
          <c:layout>
            <c:manualLayout>
              <c:xMode val="edge"/>
              <c:yMode val="edge"/>
              <c:x val="0.41893460349186162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1060992"/>
        <c:crossesAt val="-400"/>
        <c:crossBetween val="midCat"/>
        <c:majorUnit val="250"/>
      </c:valAx>
      <c:valAx>
        <c:axId val="81060992"/>
        <c:scaling>
          <c:orientation val="minMax"/>
          <c:max val="40"/>
          <c:min val="-4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% diference [%]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1058816"/>
        <c:crossesAt val="0"/>
        <c:crossBetween val="midCat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4525416666666666"/>
          <c:y val="1.9896817433214045E-2"/>
          <c:w val="0.80866423611111116"/>
          <c:h val="0.74737037037037035"/>
        </c:manualLayout>
      </c:layout>
      <c:scatterChart>
        <c:scatterStyle val="lineMarker"/>
        <c:ser>
          <c:idx val="0"/>
          <c:order val="0"/>
          <c:tx>
            <c:v>%ISR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dLbls>
            <c:dLbl>
              <c:idx val="21"/>
              <c:layout/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 pitchFamily="34" charset="0"/>
                        <a:ea typeface="Calibri"/>
                        <a:cs typeface="Arial" pitchFamily="34" charset="0"/>
                      </a:defRPr>
                    </a:pPr>
                    <a:r>
                      <a:rPr lang="pl-PL" sz="800" b="1">
                        <a:latin typeface="Arial" pitchFamily="34" charset="0"/>
                        <a:cs typeface="Arial" pitchFamily="34" charset="0"/>
                      </a:rPr>
                      <a:t>1</a:t>
                    </a:r>
                    <a:r>
                      <a:rPr lang="pl-PL"/>
                      <a:t>00%</a:t>
                    </a:r>
                  </a:p>
                </c:rich>
              </c:tx>
              <c:spPr/>
              <c:dLblPos val="b"/>
            </c:dLbl>
            <c:delete val="1"/>
            <c:txPr>
              <a:bodyPr/>
              <a:lstStyle/>
              <a:p>
                <a:pPr>
                  <a:defRPr sz="800" b="1">
                    <a:latin typeface="Arial" pitchFamily="34" charset="0"/>
                    <a:cs typeface="Arial" pitchFamily="34" charset="0"/>
                  </a:defRPr>
                </a:pPr>
                <a:endParaRPr lang="pl-PL"/>
              </a:p>
            </c:txPr>
          </c:dLbls>
          <c:xVal>
            <c:numRef>
              <c:f>Arkusz1!$A$4:$A$25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Arkusz1!$H$4:$H$25</c:f>
              <c:numCache>
                <c:formatCode>0</c:formatCode>
                <c:ptCount val="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</c:numCache>
            </c:numRef>
          </c:yVal>
        </c:ser>
        <c:ser>
          <c:idx val="1"/>
          <c:order val="1"/>
          <c:tx>
            <c:v>limit</c:v>
          </c:tx>
          <c:spPr>
            <a:ln w="12700"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Arkusz1!$O$7:$O$8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Arkusz1!$U$4:$U$5</c:f>
              <c:numCache>
                <c:formatCode>General</c:formatCode>
                <c:ptCount val="2"/>
                <c:pt idx="0">
                  <c:v>67</c:v>
                </c:pt>
                <c:pt idx="1">
                  <c:v>67</c:v>
                </c:pt>
              </c:numCache>
            </c:numRef>
          </c:yVal>
        </c:ser>
        <c:axId val="86975616"/>
        <c:axId val="86977920"/>
      </c:scatterChart>
      <c:valAx>
        <c:axId val="86975616"/>
        <c:scaling>
          <c:orientation val="minMax"/>
          <c:max val="22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ISR number</a:t>
                </a:r>
              </a:p>
            </c:rich>
          </c:tx>
          <c:layout>
            <c:manualLayout>
              <c:xMode val="edge"/>
              <c:yMode val="edge"/>
              <c:x val="0.41865243055555557"/>
              <c:y val="0.886327160493827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6977920"/>
        <c:crossesAt val="-400"/>
        <c:crossBetween val="midCat"/>
        <c:majorUnit val="5"/>
      </c:valAx>
      <c:valAx>
        <c:axId val="86977920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ISR (%)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6975616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70066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42916568047337278"/>
                  <c:y val="7.2394511946196199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Arkusz1!$E$4:$E$25</c:f>
              <c:numCache>
                <c:formatCode>0.000</c:formatCode>
                <c:ptCount val="22"/>
                <c:pt idx="0">
                  <c:v>1590.5</c:v>
                </c:pt>
                <c:pt idx="1">
                  <c:v>109.723</c:v>
                </c:pt>
                <c:pt idx="2">
                  <c:v>29.169</c:v>
                </c:pt>
                <c:pt idx="3">
                  <c:v>1603.61</c:v>
                </c:pt>
                <c:pt idx="4">
                  <c:v>1447.49</c:v>
                </c:pt>
                <c:pt idx="5">
                  <c:v>107.559</c:v>
                </c:pt>
                <c:pt idx="6">
                  <c:v>1402.95</c:v>
                </c:pt>
                <c:pt idx="7">
                  <c:v>31.38</c:v>
                </c:pt>
                <c:pt idx="8">
                  <c:v>1589.33</c:v>
                </c:pt>
                <c:pt idx="9">
                  <c:v>51.201000000000001</c:v>
                </c:pt>
                <c:pt idx="10">
                  <c:v>753.37300000000005</c:v>
                </c:pt>
                <c:pt idx="11">
                  <c:v>56.481000000000002</c:v>
                </c:pt>
                <c:pt idx="12">
                  <c:v>120.71599999999999</c:v>
                </c:pt>
                <c:pt idx="13">
                  <c:v>1536.47</c:v>
                </c:pt>
                <c:pt idx="14">
                  <c:v>1702.7</c:v>
                </c:pt>
                <c:pt idx="15">
                  <c:v>51.006999999999998</c:v>
                </c:pt>
                <c:pt idx="16">
                  <c:v>1460.27</c:v>
                </c:pt>
                <c:pt idx="17">
                  <c:v>29.361000000000001</c:v>
                </c:pt>
                <c:pt idx="18">
                  <c:v>1103.28</c:v>
                </c:pt>
                <c:pt idx="19">
                  <c:v>87.629000000000005</c:v>
                </c:pt>
                <c:pt idx="20">
                  <c:v>1661.25</c:v>
                </c:pt>
                <c:pt idx="21">
                  <c:v>29.913</c:v>
                </c:pt>
              </c:numCache>
            </c:numRef>
          </c:xVal>
          <c:yVal>
            <c:numRef>
              <c:f>Arkusz1!$F$4:$F$25</c:f>
              <c:numCache>
                <c:formatCode>0.000</c:formatCode>
                <c:ptCount val="22"/>
                <c:pt idx="0">
                  <c:v>1658.25</c:v>
                </c:pt>
                <c:pt idx="1">
                  <c:v>112.039</c:v>
                </c:pt>
                <c:pt idx="2">
                  <c:v>30.655799999999999</c:v>
                </c:pt>
                <c:pt idx="3">
                  <c:v>1667.7</c:v>
                </c:pt>
                <c:pt idx="4">
                  <c:v>1540.25</c:v>
                </c:pt>
                <c:pt idx="5">
                  <c:v>122.869</c:v>
                </c:pt>
                <c:pt idx="6">
                  <c:v>1558.68</c:v>
                </c:pt>
                <c:pt idx="7">
                  <c:v>32.616799999999998</c:v>
                </c:pt>
                <c:pt idx="8">
                  <c:v>1648.69</c:v>
                </c:pt>
                <c:pt idx="9">
                  <c:v>52.0886</c:v>
                </c:pt>
                <c:pt idx="10">
                  <c:v>825.34799999999996</c:v>
                </c:pt>
                <c:pt idx="11">
                  <c:v>67.271600000000007</c:v>
                </c:pt>
                <c:pt idx="12">
                  <c:v>121.04300000000001</c:v>
                </c:pt>
                <c:pt idx="13">
                  <c:v>1687.11</c:v>
                </c:pt>
                <c:pt idx="14">
                  <c:v>1737.32</c:v>
                </c:pt>
                <c:pt idx="15">
                  <c:v>56.274999999999999</c:v>
                </c:pt>
                <c:pt idx="16">
                  <c:v>1539.4</c:v>
                </c:pt>
                <c:pt idx="17">
                  <c:v>30.657599999999999</c:v>
                </c:pt>
                <c:pt idx="18">
                  <c:v>1186.77</c:v>
                </c:pt>
                <c:pt idx="19">
                  <c:v>91.859700000000004</c:v>
                </c:pt>
                <c:pt idx="20">
                  <c:v>1643.63</c:v>
                </c:pt>
                <c:pt idx="21">
                  <c:v>32.144100000000002</c:v>
                </c:pt>
              </c:numCache>
            </c:numRef>
          </c:yVal>
        </c:ser>
        <c:axId val="87864064"/>
        <c:axId val="87866752"/>
      </c:scatterChart>
      <c:valAx>
        <c:axId val="87864064"/>
        <c:scaling>
          <c:orientation val="minMax"/>
          <c:max val="1800"/>
          <c:min val="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Initial value [ng/mL]</a:t>
                </a:r>
              </a:p>
            </c:rich>
          </c:tx>
          <c:layout>
            <c:manualLayout>
              <c:xMode val="edge"/>
              <c:yMode val="edge"/>
              <c:x val="0.41893466294769627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7866752"/>
        <c:crossesAt val="-400"/>
        <c:crossBetween val="midCat"/>
        <c:majorUnit val="500"/>
      </c:valAx>
      <c:valAx>
        <c:axId val="87866752"/>
        <c:scaling>
          <c:orientation val="minMax"/>
          <c:max val="1800"/>
          <c:min val="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Repeat value [ng/mL]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7864064"/>
        <c:crossesAt val="0"/>
        <c:crossBetween val="midCat"/>
        <c:majorUnit val="50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620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-34428"/>
    <xdr:ext cx="2880000" cy="1620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076950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T_413_ISR_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gram"/>
      <sheetName val="Arkusz1"/>
      <sheetName val="Diff vs ISR No."/>
      <sheetName val="Diff vs ISR conc"/>
      <sheetName val="%ISR vs ISR No."/>
      <sheetName val="Correlation"/>
      <sheetName val="Correlation bez outliera"/>
      <sheetName val="test"/>
      <sheetName val="test2"/>
    </sheetNames>
    <sheetDataSet>
      <sheetData sheetId="0" refreshError="1"/>
      <sheetData sheetId="1">
        <row r="28">
          <cell r="J28" t="str">
            <v>&lt; -40</v>
          </cell>
        </row>
        <row r="29">
          <cell r="J29" t="str">
            <v>&lt;-40; -20)</v>
          </cell>
        </row>
        <row r="30">
          <cell r="J30" t="str">
            <v>&lt;-20; -10)</v>
          </cell>
        </row>
        <row r="31">
          <cell r="J31" t="str">
            <v>&lt;-10; 0)</v>
          </cell>
        </row>
        <row r="32">
          <cell r="J32" t="str">
            <v>&lt;0; 10&gt;</v>
          </cell>
        </row>
        <row r="33">
          <cell r="J33" t="str">
            <v>(10; 20&gt;</v>
          </cell>
        </row>
        <row r="34">
          <cell r="J34" t="str">
            <v>(20; 40&gt;</v>
          </cell>
        </row>
        <row r="35">
          <cell r="J35" t="str">
            <v>&gt; 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6"/>
  <sheetViews>
    <sheetView topLeftCell="G4" workbookViewId="0">
      <selection activeCell="O9" sqref="O9"/>
    </sheetView>
  </sheetViews>
  <sheetFormatPr defaultRowHeight="15"/>
  <cols>
    <col min="2" max="2" width="8.5703125" customWidth="1"/>
    <col min="3" max="3" width="8.140625" customWidth="1"/>
    <col min="4" max="4" width="10" customWidth="1"/>
    <col min="5" max="5" width="15.5703125" customWidth="1"/>
    <col min="6" max="6" width="14.5703125" customWidth="1"/>
    <col min="7" max="7" width="10.7109375" bestFit="1" customWidth="1"/>
    <col min="9" max="9" width="26.140625" customWidth="1"/>
    <col min="10" max="10" width="14.7109375" customWidth="1"/>
    <col min="11" max="11" width="9.85546875" bestFit="1" customWidth="1"/>
  </cols>
  <sheetData>
    <row r="1" spans="1:21" ht="15.75" thickBot="1">
      <c r="A1" s="1" t="s">
        <v>31</v>
      </c>
    </row>
    <row r="2" spans="1:21" ht="38.25" customHeight="1" thickTop="1">
      <c r="A2" s="53" t="s">
        <v>23</v>
      </c>
      <c r="B2" s="57" t="s">
        <v>0</v>
      </c>
      <c r="C2" s="58"/>
      <c r="D2" s="59"/>
      <c r="E2" s="55" t="s">
        <v>43</v>
      </c>
      <c r="F2" s="55" t="s">
        <v>44</v>
      </c>
      <c r="G2" s="55" t="s">
        <v>45</v>
      </c>
      <c r="H2" s="55" t="s">
        <v>42</v>
      </c>
      <c r="I2" s="55" t="s">
        <v>49</v>
      </c>
    </row>
    <row r="3" spans="1:21" ht="51" customHeight="1" thickBot="1">
      <c r="A3" s="54"/>
      <c r="B3" s="7" t="s">
        <v>1</v>
      </c>
      <c r="C3" s="8" t="s">
        <v>2</v>
      </c>
      <c r="D3" s="9" t="s">
        <v>3</v>
      </c>
      <c r="E3" s="56"/>
      <c r="F3" s="56"/>
      <c r="G3" s="56"/>
      <c r="H3" s="56"/>
      <c r="I3" s="56"/>
      <c r="O3" s="17" t="s">
        <v>46</v>
      </c>
      <c r="P3" s="17" t="s">
        <v>0</v>
      </c>
      <c r="Q3" s="17" t="s">
        <v>26</v>
      </c>
    </row>
    <row r="4" spans="1:21" ht="17.25" thickTop="1" thickBot="1">
      <c r="A4" s="10">
        <v>1</v>
      </c>
      <c r="B4" s="11" t="s">
        <v>4</v>
      </c>
      <c r="C4" s="33" t="s">
        <v>32</v>
      </c>
      <c r="D4" s="12" t="s">
        <v>33</v>
      </c>
      <c r="E4" s="29">
        <v>1590.5</v>
      </c>
      <c r="F4" s="29">
        <v>1658.25</v>
      </c>
      <c r="G4" s="21">
        <f>((F4-E4)/AVERAGE(E4:F4))*100</f>
        <v>4.1708349365140434</v>
      </c>
      <c r="H4" s="36">
        <f>(COUNT($G$4:G4)-(COUNTIF($G$4:G4,"&lt;-20")+COUNTIF($G$4:G4,"&gt;20")))/COUNT($G$4:G4)*100</f>
        <v>100</v>
      </c>
      <c r="I4" s="42">
        <v>-1.0663019534748548</v>
      </c>
      <c r="J4" s="5" t="str">
        <f>CONCATENATE(B4,"/",C4,"/",D4)</f>
        <v>01/PH1/P4</v>
      </c>
      <c r="K4" t="s">
        <v>27</v>
      </c>
      <c r="O4" s="37">
        <v>0</v>
      </c>
      <c r="P4" s="18" t="s">
        <v>20</v>
      </c>
      <c r="Q4" s="19">
        <v>0</v>
      </c>
      <c r="R4">
        <v>-20</v>
      </c>
      <c r="S4">
        <v>0</v>
      </c>
      <c r="T4">
        <v>20</v>
      </c>
      <c r="U4">
        <v>67</v>
      </c>
    </row>
    <row r="5" spans="1:21" ht="17.25" thickTop="1" thickBot="1">
      <c r="A5" s="13">
        <v>2</v>
      </c>
      <c r="B5" s="15" t="s">
        <v>4</v>
      </c>
      <c r="C5" s="16" t="s">
        <v>32</v>
      </c>
      <c r="D5" s="14" t="s">
        <v>34</v>
      </c>
      <c r="E5" s="30">
        <v>109.723</v>
      </c>
      <c r="F5" s="30">
        <v>112.039</v>
      </c>
      <c r="G5" s="21">
        <f t="shared" ref="G5:G25" si="0">((F5-E5)/AVERAGE(E5:F5))*100</f>
        <v>2.088725751030386</v>
      </c>
      <c r="H5" s="36">
        <f>(COUNT($G$4:G5)-(COUNTIF($G$4:G5,"&lt;-20")+COUNTIF($G$4:G5,"&gt;20")))/COUNT($G$4:G5)*100</f>
        <v>100</v>
      </c>
      <c r="I5" s="42">
        <v>0.27051733337746464</v>
      </c>
      <c r="J5" s="5" t="str">
        <f t="shared" ref="J5:J25" si="1">CONCATENATE(B5,"/",C5,"/",D5)</f>
        <v>01/PH1/P11</v>
      </c>
      <c r="K5" s="28">
        <v>219</v>
      </c>
      <c r="O5" s="37">
        <f>ROUNDUP(E28,-2)</f>
        <v>1800</v>
      </c>
      <c r="P5" s="18" t="s">
        <v>4</v>
      </c>
      <c r="Q5" s="19">
        <v>0.33</v>
      </c>
      <c r="R5">
        <v>-20</v>
      </c>
      <c r="S5">
        <v>0</v>
      </c>
      <c r="T5">
        <v>20</v>
      </c>
      <c r="U5">
        <v>67</v>
      </c>
    </row>
    <row r="6" spans="1:21" ht="17.25" thickTop="1" thickBot="1">
      <c r="A6" s="13">
        <v>3</v>
      </c>
      <c r="B6" s="15" t="s">
        <v>4</v>
      </c>
      <c r="C6" s="16" t="s">
        <v>32</v>
      </c>
      <c r="D6" s="14" t="s">
        <v>35</v>
      </c>
      <c r="E6" s="30">
        <v>29.169</v>
      </c>
      <c r="F6" s="30">
        <v>30.655799999999999</v>
      </c>
      <c r="G6" s="21">
        <f t="shared" si="0"/>
        <v>4.9705139005897179</v>
      </c>
      <c r="H6" s="36">
        <f>(COUNT($G$4:G6)-(COUNTIF($G$4:G6,"&lt;-20")+COUNTIF($G$4:G6,"&gt;20")))/COUNT($G$4:G6)*100</f>
        <v>100</v>
      </c>
      <c r="I6" s="42">
        <v>1.7186628663485946</v>
      </c>
      <c r="J6" s="5" t="str">
        <f t="shared" si="1"/>
        <v>01/PH1/P12</v>
      </c>
      <c r="K6" t="s">
        <v>28</v>
      </c>
      <c r="P6" s="18" t="s">
        <v>5</v>
      </c>
      <c r="Q6" s="19">
        <v>0.67</v>
      </c>
      <c r="R6">
        <v>-20</v>
      </c>
      <c r="S6">
        <v>0</v>
      </c>
      <c r="T6">
        <v>20</v>
      </c>
      <c r="U6">
        <v>67</v>
      </c>
    </row>
    <row r="7" spans="1:21" ht="17.25" thickTop="1" thickBot="1">
      <c r="A7" s="13">
        <v>4</v>
      </c>
      <c r="B7" s="26" t="s">
        <v>5</v>
      </c>
      <c r="C7" s="16" t="s">
        <v>32</v>
      </c>
      <c r="D7" s="27" t="s">
        <v>36</v>
      </c>
      <c r="E7" s="31">
        <v>1603.61</v>
      </c>
      <c r="F7" s="31">
        <v>1667.7</v>
      </c>
      <c r="G7" s="21">
        <f t="shared" si="0"/>
        <v>3.9183079561399041</v>
      </c>
      <c r="H7" s="36">
        <f>(COUNT($G$4:G7)-(COUNTIF($G$4:G7,"&lt;-20")+COUNTIF($G$4:G7,"&gt;20")))/COUNT($G$4:G7)*100</f>
        <v>100</v>
      </c>
      <c r="I7" s="42">
        <v>2.0127789954709501</v>
      </c>
      <c r="J7" s="5" t="str">
        <f t="shared" si="1"/>
        <v>02/PH1/P5</v>
      </c>
      <c r="K7" s="1">
        <f>ROUNDUP(IF(K5&gt;1000,SUM(1000*0.1,(K5-1000)*0.05),K5*0.1),0)</f>
        <v>22</v>
      </c>
      <c r="M7" s="20"/>
      <c r="O7">
        <v>0</v>
      </c>
      <c r="P7" s="18" t="s">
        <v>6</v>
      </c>
      <c r="Q7" s="19">
        <v>1</v>
      </c>
      <c r="R7">
        <v>-20</v>
      </c>
      <c r="S7">
        <v>0</v>
      </c>
      <c r="T7">
        <v>20</v>
      </c>
      <c r="U7">
        <v>67</v>
      </c>
    </row>
    <row r="8" spans="1:21" ht="17.25" thickTop="1" thickBot="1">
      <c r="A8" s="13">
        <v>5</v>
      </c>
      <c r="B8" s="15" t="s">
        <v>5</v>
      </c>
      <c r="C8" s="16" t="s">
        <v>32</v>
      </c>
      <c r="D8" s="14" t="s">
        <v>37</v>
      </c>
      <c r="E8" s="30">
        <v>1447.49</v>
      </c>
      <c r="F8" s="30">
        <v>1540.25</v>
      </c>
      <c r="G8" s="21">
        <f t="shared" si="0"/>
        <v>6.2093756484834683</v>
      </c>
      <c r="H8" s="36">
        <f>(COUNT($G$4:G8)-(COUNTIF($G$4:G8,"&lt;-20")+COUNTIF($G$4:G8,"&gt;20")))/COUNT($G$4:G8)*100</f>
        <v>100</v>
      </c>
      <c r="I8" s="42">
        <v>2.088725751030386</v>
      </c>
      <c r="J8" s="5" t="str">
        <f t="shared" si="1"/>
        <v>02/PH1/P6</v>
      </c>
      <c r="K8" s="3" t="s">
        <v>21</v>
      </c>
      <c r="O8">
        <v>22</v>
      </c>
      <c r="P8" s="18" t="s">
        <v>7</v>
      </c>
      <c r="Q8" s="19">
        <v>1.33</v>
      </c>
      <c r="R8">
        <v>-20</v>
      </c>
      <c r="S8">
        <v>0</v>
      </c>
      <c r="T8">
        <v>20</v>
      </c>
      <c r="U8">
        <v>67</v>
      </c>
    </row>
    <row r="9" spans="1:21" ht="17.25" thickTop="1" thickBot="1">
      <c r="A9" s="13">
        <v>6</v>
      </c>
      <c r="B9" s="15" t="s">
        <v>5</v>
      </c>
      <c r="C9" s="16" t="s">
        <v>32</v>
      </c>
      <c r="D9" s="14" t="s">
        <v>34</v>
      </c>
      <c r="E9" s="30">
        <v>107.559</v>
      </c>
      <c r="F9" s="30">
        <v>122.869</v>
      </c>
      <c r="G9" s="21">
        <f t="shared" si="0"/>
        <v>13.288315656083464</v>
      </c>
      <c r="H9" s="36">
        <f>(COUNT($G$4:G9)-(COUNTIF($G$4:G9,"&lt;-20")+COUNTIF($G$4:G9,"&gt;20")))/COUNT($G$4:G9)*100</f>
        <v>100</v>
      </c>
      <c r="I9" s="42">
        <v>3.666438131944838</v>
      </c>
      <c r="J9" s="5" t="str">
        <f t="shared" si="1"/>
        <v>02/PH1/P11</v>
      </c>
      <c r="K9" s="25">
        <v>22</v>
      </c>
      <c r="P9" s="18" t="s">
        <v>8</v>
      </c>
      <c r="Q9" s="19">
        <v>1.67</v>
      </c>
      <c r="R9">
        <v>-20</v>
      </c>
      <c r="S9">
        <v>0</v>
      </c>
      <c r="T9">
        <v>20</v>
      </c>
      <c r="U9">
        <v>67</v>
      </c>
    </row>
    <row r="10" spans="1:21" ht="17.25" thickTop="1" thickBot="1">
      <c r="A10" s="13">
        <v>7</v>
      </c>
      <c r="B10" s="15" t="s">
        <v>6</v>
      </c>
      <c r="C10" s="16" t="s">
        <v>32</v>
      </c>
      <c r="D10" s="14" t="s">
        <v>38</v>
      </c>
      <c r="E10" s="30">
        <v>1402.95</v>
      </c>
      <c r="F10" s="30">
        <v>1558.68</v>
      </c>
      <c r="G10" s="21">
        <f t="shared" si="0"/>
        <v>10.51650611318767</v>
      </c>
      <c r="H10" s="36">
        <f>(COUNT($G$4:G10)-(COUNTIF($G$4:G10,"&lt;-20")+COUNTIF($G$4:G10,"&gt;20")))/COUNT($G$4:G10)*100</f>
        <v>100</v>
      </c>
      <c r="I10" s="42">
        <v>3.8651932596629801</v>
      </c>
      <c r="J10" s="6" t="str">
        <f t="shared" si="1"/>
        <v>03/PH1/P7</v>
      </c>
      <c r="K10" s="20" t="s">
        <v>29</v>
      </c>
      <c r="L10" s="20"/>
      <c r="M10" s="20"/>
      <c r="P10" s="18" t="s">
        <v>13</v>
      </c>
      <c r="Q10" s="19">
        <v>2</v>
      </c>
      <c r="R10">
        <v>-20</v>
      </c>
      <c r="S10">
        <v>0</v>
      </c>
      <c r="T10">
        <v>20</v>
      </c>
      <c r="U10">
        <v>67</v>
      </c>
    </row>
    <row r="11" spans="1:21" ht="17.25" thickTop="1" thickBot="1">
      <c r="A11" s="13">
        <v>8</v>
      </c>
      <c r="B11" s="15" t="s">
        <v>6</v>
      </c>
      <c r="C11" s="16" t="s">
        <v>32</v>
      </c>
      <c r="D11" s="14" t="s">
        <v>39</v>
      </c>
      <c r="E11" s="30">
        <v>31.38</v>
      </c>
      <c r="F11" s="30">
        <v>32.616799999999998</v>
      </c>
      <c r="G11" s="21">
        <f t="shared" si="0"/>
        <v>3.8651932596629801</v>
      </c>
      <c r="H11" s="36">
        <f>(COUNT($G$4:G11)-(COUNTIF($G$4:G11,"&lt;-20")+COUNTIF($G$4:G11,"&gt;20")))/COUNT($G$4:G11)*100</f>
        <v>100</v>
      </c>
      <c r="I11" s="42">
        <v>3.9183079561399041</v>
      </c>
      <c r="J11" s="6" t="str">
        <f t="shared" si="1"/>
        <v>03/PH1/P13</v>
      </c>
      <c r="K11" s="25">
        <f>K7-K9</f>
        <v>0</v>
      </c>
      <c r="L11" s="20"/>
      <c r="M11" s="20"/>
      <c r="P11" s="18" t="s">
        <v>14</v>
      </c>
      <c r="Q11" s="19">
        <v>2.33</v>
      </c>
      <c r="R11">
        <v>-20</v>
      </c>
      <c r="S11">
        <v>0</v>
      </c>
      <c r="T11">
        <v>20</v>
      </c>
      <c r="U11">
        <v>67</v>
      </c>
    </row>
    <row r="12" spans="1:21" ht="17.25" thickTop="1" thickBot="1">
      <c r="A12" s="13">
        <v>9</v>
      </c>
      <c r="B12" s="22" t="s">
        <v>8</v>
      </c>
      <c r="C12" s="16" t="s">
        <v>32</v>
      </c>
      <c r="D12" s="23" t="s">
        <v>38</v>
      </c>
      <c r="E12" s="32">
        <v>1589.33</v>
      </c>
      <c r="F12" s="32">
        <v>1648.69</v>
      </c>
      <c r="G12" s="21">
        <f t="shared" si="0"/>
        <v>3.666438131944838</v>
      </c>
      <c r="H12" s="36">
        <f>(COUNT($G$4:G12)-(COUNTIF($G$4:G12,"&lt;-20")+COUNTIF($G$4:G12,"&gt;20")))/COUNT($G$4:G12)*100</f>
        <v>100</v>
      </c>
      <c r="I12" s="41">
        <v>4.1708349365140434</v>
      </c>
      <c r="J12" s="6" t="str">
        <f t="shared" si="1"/>
        <v>05/PH1/P7</v>
      </c>
      <c r="K12" s="20" t="s">
        <v>30</v>
      </c>
      <c r="L12" s="20"/>
      <c r="M12" s="20"/>
      <c r="P12" s="18" t="s">
        <v>17</v>
      </c>
      <c r="Q12" s="19">
        <v>2.67</v>
      </c>
      <c r="R12">
        <v>-20</v>
      </c>
      <c r="S12">
        <v>0</v>
      </c>
      <c r="T12">
        <v>20</v>
      </c>
      <c r="U12">
        <v>67</v>
      </c>
    </row>
    <row r="13" spans="1:21" ht="17.25" thickTop="1" thickBot="1">
      <c r="A13" s="13">
        <v>10</v>
      </c>
      <c r="B13" s="15" t="s">
        <v>8</v>
      </c>
      <c r="C13" s="16" t="s">
        <v>32</v>
      </c>
      <c r="D13" s="14" t="s">
        <v>39</v>
      </c>
      <c r="E13" s="30">
        <v>51.201000000000001</v>
      </c>
      <c r="F13" s="30">
        <v>52.0886</v>
      </c>
      <c r="G13" s="21">
        <f t="shared" si="0"/>
        <v>1.7186628663485946</v>
      </c>
      <c r="H13" s="36">
        <f>(COUNT($G$4:G13)-(COUNTIF($G$4:G13,"&lt;-20")+COUNTIF($G$4:G13,"&gt;20")))/COUNT($G$4:G13)*100</f>
        <v>100</v>
      </c>
      <c r="I13" s="42">
        <v>4.3206605952154771</v>
      </c>
      <c r="J13" s="6" t="str">
        <f t="shared" si="1"/>
        <v>05/PH1/P13</v>
      </c>
      <c r="K13" s="25">
        <f>COUNTIF(G4:G25,"&lt;-20")+COUNTIF(G4:G25,"&gt;20")</f>
        <v>0</v>
      </c>
      <c r="L13" s="20"/>
      <c r="M13" s="20"/>
      <c r="P13" s="18" t="s">
        <v>15</v>
      </c>
      <c r="Q13" s="19">
        <v>3</v>
      </c>
      <c r="R13">
        <v>-20</v>
      </c>
      <c r="S13">
        <v>0</v>
      </c>
      <c r="T13">
        <v>20</v>
      </c>
      <c r="U13">
        <v>67</v>
      </c>
    </row>
    <row r="14" spans="1:21" ht="17.25" thickTop="1" thickBot="1">
      <c r="A14" s="13">
        <v>11</v>
      </c>
      <c r="B14" s="15" t="s">
        <v>13</v>
      </c>
      <c r="C14" s="16" t="s">
        <v>32</v>
      </c>
      <c r="D14" s="14" t="s">
        <v>40</v>
      </c>
      <c r="E14" s="30">
        <v>753.37300000000005</v>
      </c>
      <c r="F14" s="30">
        <v>825.34799999999996</v>
      </c>
      <c r="G14" s="21">
        <f t="shared" si="0"/>
        <v>9.1181405707531482</v>
      </c>
      <c r="H14" s="36">
        <f>(COUNT($G$4:G14)-(COUNTIF($G$4:G14,"&lt;-20")+COUNTIF($G$4:G14,"&gt;20")))/COUNT($G$4:G14)*100</f>
        <v>100</v>
      </c>
      <c r="I14" s="42">
        <v>4.7141686356856987</v>
      </c>
      <c r="J14" s="6" t="str">
        <f t="shared" si="1"/>
        <v>06/PH1/P1</v>
      </c>
      <c r="K14" s="20" t="s">
        <v>22</v>
      </c>
      <c r="L14" s="20"/>
      <c r="M14" s="20"/>
      <c r="P14" s="18" t="s">
        <v>16</v>
      </c>
      <c r="Q14" s="19">
        <v>3.5</v>
      </c>
      <c r="R14">
        <v>-20</v>
      </c>
      <c r="S14">
        <v>0</v>
      </c>
      <c r="T14">
        <v>20</v>
      </c>
      <c r="U14">
        <v>67</v>
      </c>
    </row>
    <row r="15" spans="1:21" ht="17.25" thickTop="1" thickBot="1">
      <c r="A15" s="13">
        <v>12</v>
      </c>
      <c r="B15" s="15" t="s">
        <v>13</v>
      </c>
      <c r="C15" s="16" t="s">
        <v>32</v>
      </c>
      <c r="D15" s="14" t="s">
        <v>39</v>
      </c>
      <c r="E15" s="30">
        <v>56.481000000000002</v>
      </c>
      <c r="F15" s="30">
        <v>67.271600000000007</v>
      </c>
      <c r="G15" s="21">
        <f t="shared" si="0"/>
        <v>17.438987140472211</v>
      </c>
      <c r="H15" s="36">
        <f>(COUNT($G$4:G15)-(COUNTIF($G$4:G15,"&lt;-20")+COUNTIF($G$4:G15,"&gt;20")))/COUNT($G$4:G15)*100</f>
        <v>100</v>
      </c>
      <c r="I15" s="42">
        <v>4.9705139005897179</v>
      </c>
      <c r="J15" s="6" t="str">
        <f t="shared" si="1"/>
        <v>06/PH1/P13</v>
      </c>
      <c r="K15" s="2">
        <f>(K9-K13)/K9</f>
        <v>1</v>
      </c>
      <c r="L15" s="20"/>
      <c r="M15" s="20"/>
      <c r="P15" s="18" t="s">
        <v>18</v>
      </c>
      <c r="Q15" s="19">
        <v>4</v>
      </c>
      <c r="R15">
        <v>-20</v>
      </c>
      <c r="S15">
        <v>0</v>
      </c>
      <c r="T15">
        <v>20</v>
      </c>
      <c r="U15">
        <v>67</v>
      </c>
    </row>
    <row r="16" spans="1:21" ht="17.25" thickTop="1" thickBot="1">
      <c r="A16" s="13">
        <v>13</v>
      </c>
      <c r="B16" s="22" t="s">
        <v>14</v>
      </c>
      <c r="C16" s="16" t="s">
        <v>32</v>
      </c>
      <c r="D16" s="23" t="s">
        <v>39</v>
      </c>
      <c r="E16" s="32">
        <v>120.71599999999999</v>
      </c>
      <c r="F16" s="32">
        <v>121.04300000000001</v>
      </c>
      <c r="G16" s="21">
        <f t="shared" si="0"/>
        <v>0.27051733337746464</v>
      </c>
      <c r="H16" s="36">
        <f>(COUNT($G$4:G16)-(COUNTIF($G$4:G16,"&lt;-20")+COUNTIF($G$4:G16,"&gt;20")))/COUNT($G$4:G16)*100</f>
        <v>100</v>
      </c>
      <c r="I16" s="42">
        <v>5.2759136838385627</v>
      </c>
      <c r="J16" s="6" t="str">
        <f t="shared" si="1"/>
        <v>07/PH1/P13</v>
      </c>
      <c r="P16" s="18" t="s">
        <v>19</v>
      </c>
      <c r="Q16" s="19">
        <v>5</v>
      </c>
      <c r="R16">
        <v>-20</v>
      </c>
      <c r="S16">
        <v>0</v>
      </c>
      <c r="T16">
        <v>20</v>
      </c>
      <c r="U16">
        <v>67</v>
      </c>
    </row>
    <row r="17" spans="1:21" ht="17.25" thickTop="1" thickBot="1">
      <c r="A17" s="13">
        <v>14</v>
      </c>
      <c r="B17" s="15" t="s">
        <v>14</v>
      </c>
      <c r="C17" s="16" t="s">
        <v>32</v>
      </c>
      <c r="D17" s="14" t="s">
        <v>36</v>
      </c>
      <c r="E17" s="30">
        <v>1536.47</v>
      </c>
      <c r="F17" s="30">
        <v>1687.11</v>
      </c>
      <c r="G17" s="21">
        <f t="shared" si="0"/>
        <v>9.3461306994087234</v>
      </c>
      <c r="H17" s="36">
        <f>(COUNT($G$4:G17)-(COUNTIF($G$4:G17,"&lt;-20")+COUNTIF($G$4:G17,"&gt;20")))/COUNT($G$4:G17)*100</f>
        <v>100</v>
      </c>
      <c r="I17" s="42">
        <v>6.2093756484834683</v>
      </c>
      <c r="J17" s="6" t="str">
        <f t="shared" si="1"/>
        <v>07/PH1/P5</v>
      </c>
      <c r="K17" s="43" t="s">
        <v>50</v>
      </c>
      <c r="L17" s="44"/>
      <c r="P17" s="18" t="s">
        <v>9</v>
      </c>
      <c r="Q17" s="19">
        <v>6</v>
      </c>
      <c r="R17">
        <v>-20</v>
      </c>
      <c r="S17">
        <v>0</v>
      </c>
      <c r="T17">
        <v>20</v>
      </c>
      <c r="U17">
        <v>67</v>
      </c>
    </row>
    <row r="18" spans="1:21" ht="17.25" thickTop="1" thickBot="1">
      <c r="A18" s="13">
        <v>15</v>
      </c>
      <c r="B18" s="15" t="s">
        <v>15</v>
      </c>
      <c r="C18" s="16" t="s">
        <v>32</v>
      </c>
      <c r="D18" s="14" t="s">
        <v>33</v>
      </c>
      <c r="E18" s="30">
        <v>1702.7</v>
      </c>
      <c r="F18" s="30">
        <v>1737.32</v>
      </c>
      <c r="G18" s="21">
        <f t="shared" si="0"/>
        <v>2.0127789954709501</v>
      </c>
      <c r="H18" s="36">
        <f>(COUNT($G$4:G18)-(COUNTIF($G$4:G18,"&lt;-20")+COUNTIF($G$4:G18,"&gt;20")))/COUNT($G$4:G18)*100</f>
        <v>100</v>
      </c>
      <c r="I18" s="42">
        <v>7.1904745790570335</v>
      </c>
      <c r="J18" s="6" t="str">
        <f t="shared" si="1"/>
        <v>09/PH1/P4</v>
      </c>
      <c r="K18" s="45" t="s">
        <v>51</v>
      </c>
      <c r="L18" s="44">
        <v>-40.01</v>
      </c>
      <c r="P18" s="18" t="s">
        <v>10</v>
      </c>
      <c r="Q18" s="19">
        <v>8</v>
      </c>
      <c r="R18">
        <v>-20</v>
      </c>
      <c r="S18">
        <v>0</v>
      </c>
      <c r="T18">
        <v>20</v>
      </c>
      <c r="U18">
        <v>67</v>
      </c>
    </row>
    <row r="19" spans="1:21" ht="17.25" thickTop="1" thickBot="1">
      <c r="A19" s="13">
        <v>16</v>
      </c>
      <c r="B19" s="15" t="s">
        <v>15</v>
      </c>
      <c r="C19" s="16" t="s">
        <v>32</v>
      </c>
      <c r="D19" s="34" t="s">
        <v>35</v>
      </c>
      <c r="E19" s="35">
        <v>51.006999999999998</v>
      </c>
      <c r="F19" s="35">
        <v>56.274999999999999</v>
      </c>
      <c r="G19" s="21">
        <f t="shared" si="0"/>
        <v>9.8208459946682591</v>
      </c>
      <c r="H19" s="36">
        <f>(COUNT($G$4:G19)-(COUNTIF($G$4:G19,"&lt;-20")+COUNTIF($G$4:G19,"&gt;20")))/COUNT($G$4:G19)*100</f>
        <v>100</v>
      </c>
      <c r="I19" s="42">
        <v>7.2915438527543062</v>
      </c>
      <c r="J19" s="6" t="str">
        <f t="shared" si="1"/>
        <v>09/PH1/P12</v>
      </c>
      <c r="K19" s="45" t="s">
        <v>52</v>
      </c>
      <c r="L19" s="44">
        <v>-20.010000000000002</v>
      </c>
      <c r="P19" s="18" t="s">
        <v>11</v>
      </c>
      <c r="Q19" s="19">
        <v>12</v>
      </c>
      <c r="R19">
        <v>-20</v>
      </c>
      <c r="S19">
        <v>0</v>
      </c>
      <c r="T19">
        <v>20</v>
      </c>
      <c r="U19">
        <v>67</v>
      </c>
    </row>
    <row r="20" spans="1:21" ht="17.25" thickTop="1" thickBot="1">
      <c r="A20" s="13">
        <v>17</v>
      </c>
      <c r="B20" s="22" t="s">
        <v>18</v>
      </c>
      <c r="C20" s="24" t="s">
        <v>32</v>
      </c>
      <c r="D20" s="23" t="s">
        <v>41</v>
      </c>
      <c r="E20" s="32">
        <v>1460.27</v>
      </c>
      <c r="F20" s="32">
        <v>1539.4</v>
      </c>
      <c r="G20" s="21">
        <f t="shared" si="0"/>
        <v>5.2759136838385627</v>
      </c>
      <c r="H20" s="36">
        <f>(COUNT($G$4:G20)-(COUNTIF($G$4:G20,"&lt;-20")+COUNTIF($G$4:G20,"&gt;20")))/COUNT($G$4:G20)*100</f>
        <v>100</v>
      </c>
      <c r="I20" s="42">
        <v>9.1181405707531482</v>
      </c>
      <c r="J20" s="6" t="str">
        <f t="shared" si="1"/>
        <v>11/PH1/P8</v>
      </c>
      <c r="K20" s="45" t="s">
        <v>53</v>
      </c>
      <c r="L20" s="44">
        <v>-10.01</v>
      </c>
      <c r="P20" s="18" t="s">
        <v>12</v>
      </c>
      <c r="Q20" s="19">
        <v>16</v>
      </c>
      <c r="R20">
        <v>-20</v>
      </c>
      <c r="S20">
        <v>0</v>
      </c>
      <c r="T20">
        <v>20</v>
      </c>
      <c r="U20">
        <v>67</v>
      </c>
    </row>
    <row r="21" spans="1:21" ht="17.25" thickTop="1" thickBot="1">
      <c r="A21" s="13">
        <v>18</v>
      </c>
      <c r="B21" s="15" t="s">
        <v>18</v>
      </c>
      <c r="C21" s="16" t="s">
        <v>32</v>
      </c>
      <c r="D21" s="14" t="s">
        <v>39</v>
      </c>
      <c r="E21" s="30">
        <v>29.361000000000001</v>
      </c>
      <c r="F21" s="30">
        <v>30.657599999999999</v>
      </c>
      <c r="G21" s="21">
        <f t="shared" si="0"/>
        <v>4.3206605952154771</v>
      </c>
      <c r="H21" s="36">
        <f>(COUNT($G$4:G21)-(COUNTIF($G$4:G21,"&lt;-20")+COUNTIF($G$4:G21,"&gt;20")))/COUNT($G$4:G21)*100</f>
        <v>100</v>
      </c>
      <c r="I21" s="42">
        <v>9.3461306994087234</v>
      </c>
      <c r="J21" s="6" t="str">
        <f t="shared" si="1"/>
        <v>11/PH1/P13</v>
      </c>
      <c r="K21" s="45" t="s">
        <v>54</v>
      </c>
      <c r="L21" s="44">
        <v>-0.01</v>
      </c>
      <c r="P21" s="18" t="s">
        <v>24</v>
      </c>
      <c r="Q21" s="19">
        <v>24</v>
      </c>
      <c r="R21">
        <v>-20</v>
      </c>
      <c r="S21">
        <v>0</v>
      </c>
      <c r="T21">
        <v>20</v>
      </c>
      <c r="U21">
        <v>67</v>
      </c>
    </row>
    <row r="22" spans="1:21" ht="17.25" thickTop="1" thickBot="1">
      <c r="A22" s="13">
        <v>19</v>
      </c>
      <c r="B22" s="15" t="s">
        <v>19</v>
      </c>
      <c r="C22" s="16" t="s">
        <v>32</v>
      </c>
      <c r="D22" s="14" t="s">
        <v>38</v>
      </c>
      <c r="E22" s="30">
        <v>1103.28</v>
      </c>
      <c r="F22" s="30">
        <v>1186.77</v>
      </c>
      <c r="G22" s="21">
        <f t="shared" si="0"/>
        <v>7.2915438527543062</v>
      </c>
      <c r="H22" s="36">
        <f>(COUNT($G$4:G22)-(COUNTIF($G$4:G22,"&lt;-20")+COUNTIF($G$4:G22,"&gt;20")))/COUNT($G$4:G22)*100</f>
        <v>100</v>
      </c>
      <c r="I22" s="42">
        <v>9.8208459946682591</v>
      </c>
      <c r="J22" s="6" t="str">
        <f t="shared" si="1"/>
        <v>12/PH1/P7</v>
      </c>
      <c r="K22" s="46" t="s">
        <v>55</v>
      </c>
      <c r="L22" s="44">
        <v>10</v>
      </c>
      <c r="P22" s="18" t="s">
        <v>25</v>
      </c>
      <c r="Q22" s="19">
        <v>36</v>
      </c>
      <c r="R22">
        <v>-20</v>
      </c>
      <c r="S22">
        <v>0</v>
      </c>
      <c r="T22">
        <v>20</v>
      </c>
      <c r="U22">
        <v>67</v>
      </c>
    </row>
    <row r="23" spans="1:21" ht="17.25" thickTop="1" thickBot="1">
      <c r="A23" s="13">
        <v>20</v>
      </c>
      <c r="B23" s="15" t="s">
        <v>19</v>
      </c>
      <c r="C23" s="16" t="s">
        <v>32</v>
      </c>
      <c r="D23" s="14" t="s">
        <v>35</v>
      </c>
      <c r="E23" s="30">
        <v>87.629000000000005</v>
      </c>
      <c r="F23" s="30">
        <v>91.859700000000004</v>
      </c>
      <c r="G23" s="21">
        <f t="shared" si="0"/>
        <v>4.7141686356856987</v>
      </c>
      <c r="H23" s="36">
        <f>(COUNT($G$4:G23)-(COUNTIF($G$4:G23,"&lt;-20")+COUNTIF($G$4:G23,"&gt;20")))/COUNT($G$4:G23)*100</f>
        <v>100</v>
      </c>
      <c r="I23" s="42">
        <v>10.51650611318767</v>
      </c>
      <c r="J23" s="6" t="str">
        <f t="shared" si="1"/>
        <v>12/PH1/P12</v>
      </c>
      <c r="K23" s="46" t="s">
        <v>56</v>
      </c>
      <c r="L23" s="44">
        <v>20</v>
      </c>
      <c r="N23" s="4"/>
      <c r="R23">
        <v>-20</v>
      </c>
      <c r="S23">
        <v>0</v>
      </c>
      <c r="T23">
        <v>20</v>
      </c>
      <c r="U23">
        <v>67</v>
      </c>
    </row>
    <row r="24" spans="1:21" ht="17.25" thickTop="1" thickBot="1">
      <c r="A24" s="13">
        <v>21</v>
      </c>
      <c r="B24" s="22" t="s">
        <v>9</v>
      </c>
      <c r="C24" s="16" t="s">
        <v>32</v>
      </c>
      <c r="D24" s="23" t="s">
        <v>33</v>
      </c>
      <c r="E24" s="32">
        <v>1661.25</v>
      </c>
      <c r="F24" s="32">
        <v>1643.63</v>
      </c>
      <c r="G24" s="21">
        <f t="shared" si="0"/>
        <v>-1.0663019534748548</v>
      </c>
      <c r="H24" s="36">
        <f>(COUNT($G$4:G24)-(COUNTIF($G$4:G24,"&lt;-20")+COUNTIF($G$4:G24,"&gt;20")))/COUNT($G$4:G24)*100</f>
        <v>100</v>
      </c>
      <c r="I24" s="42">
        <v>13.288315656083464</v>
      </c>
      <c r="J24" s="6" t="str">
        <f t="shared" si="1"/>
        <v>13/PH1/P4</v>
      </c>
      <c r="K24" s="47" t="s">
        <v>57</v>
      </c>
      <c r="L24" s="44">
        <v>40</v>
      </c>
      <c r="R24">
        <v>-20</v>
      </c>
      <c r="S24">
        <v>0</v>
      </c>
      <c r="T24">
        <v>20</v>
      </c>
      <c r="U24">
        <v>67</v>
      </c>
    </row>
    <row r="25" spans="1:21" ht="16.5" thickTop="1">
      <c r="A25" s="13">
        <v>22</v>
      </c>
      <c r="B25" s="15" t="s">
        <v>9</v>
      </c>
      <c r="C25" s="24" t="s">
        <v>32</v>
      </c>
      <c r="D25" s="14" t="s">
        <v>39</v>
      </c>
      <c r="E25" s="30">
        <v>29.913</v>
      </c>
      <c r="F25" s="30">
        <v>32.144100000000002</v>
      </c>
      <c r="G25" s="21">
        <f t="shared" si="0"/>
        <v>7.1904745790570335</v>
      </c>
      <c r="H25" s="36">
        <f>(COUNT($G$4:G25)-(COUNTIF($G$4:G25,"&lt;-20")+COUNTIF($G$4:G25,"&gt;20")))/COUNT($G$4:G25)*100</f>
        <v>100</v>
      </c>
      <c r="I25" s="42">
        <v>17.438987140472211</v>
      </c>
      <c r="J25" s="6" t="str">
        <f t="shared" si="1"/>
        <v>13/PH1/P13</v>
      </c>
      <c r="K25" s="48" t="s">
        <v>58</v>
      </c>
      <c r="L25" s="49"/>
      <c r="R25">
        <v>-20</v>
      </c>
      <c r="S25">
        <v>0</v>
      </c>
      <c r="T25">
        <v>20</v>
      </c>
      <c r="U25">
        <v>67</v>
      </c>
    </row>
    <row r="26" spans="1:21" ht="15.75" thickBot="1"/>
    <row r="27" spans="1:21" ht="15.75">
      <c r="D27" s="38" t="s">
        <v>47</v>
      </c>
      <c r="E27" s="39">
        <f>MIN(E4:E25)</f>
        <v>29.169</v>
      </c>
      <c r="F27" s="39">
        <f>MIN(F4:F25)</f>
        <v>30.655799999999999</v>
      </c>
      <c r="G27" s="39">
        <f>MIN(G4:G25)</f>
        <v>-1.0663019534748548</v>
      </c>
      <c r="H27" s="40">
        <f>MIN(H4:H25)</f>
        <v>100</v>
      </c>
      <c r="K27" s="51" t="s">
        <v>59</v>
      </c>
      <c r="L27" s="51" t="s">
        <v>60</v>
      </c>
    </row>
    <row r="28" spans="1:21" ht="15.75">
      <c r="D28" s="38" t="s">
        <v>48</v>
      </c>
      <c r="E28" s="39">
        <f>MAX(E4:E25)</f>
        <v>1702.7</v>
      </c>
      <c r="F28" s="39">
        <f>MAX(F4:F25)</f>
        <v>1737.32</v>
      </c>
      <c r="G28" s="39">
        <f>MAX(G4:G25)</f>
        <v>17.438987140472211</v>
      </c>
      <c r="H28" s="40">
        <f>MAX(H4:H25)</f>
        <v>100</v>
      </c>
      <c r="K28" s="45" t="s">
        <v>51</v>
      </c>
      <c r="L28" s="47">
        <v>0</v>
      </c>
      <c r="M28" s="52">
        <f>L28/$M$36</f>
        <v>0</v>
      </c>
    </row>
    <row r="29" spans="1:21">
      <c r="K29" s="45" t="s">
        <v>52</v>
      </c>
      <c r="L29" s="47">
        <v>0</v>
      </c>
      <c r="M29" s="52">
        <f t="shared" ref="M29:M35" si="2">L29/$M$36</f>
        <v>0</v>
      </c>
    </row>
    <row r="30" spans="1:21">
      <c r="K30" s="45" t="s">
        <v>53</v>
      </c>
      <c r="L30" s="47">
        <v>0</v>
      </c>
      <c r="M30" s="52">
        <f t="shared" si="2"/>
        <v>0</v>
      </c>
    </row>
    <row r="31" spans="1:21">
      <c r="K31" s="45" t="s">
        <v>54</v>
      </c>
      <c r="L31" s="47">
        <v>1</v>
      </c>
      <c r="M31" s="52">
        <f t="shared" si="2"/>
        <v>4.5454545454545456E-2</v>
      </c>
    </row>
    <row r="32" spans="1:21">
      <c r="K32" s="46" t="s">
        <v>55</v>
      </c>
      <c r="L32" s="47">
        <v>18</v>
      </c>
      <c r="M32" s="52">
        <f t="shared" si="2"/>
        <v>0.81818181818181823</v>
      </c>
    </row>
    <row r="33" spans="11:13">
      <c r="K33" s="46" t="s">
        <v>56</v>
      </c>
      <c r="L33" s="47">
        <v>3</v>
      </c>
      <c r="M33" s="52">
        <f t="shared" si="2"/>
        <v>0.13636363636363635</v>
      </c>
    </row>
    <row r="34" spans="11:13">
      <c r="K34" s="47" t="s">
        <v>57</v>
      </c>
      <c r="L34" s="47">
        <v>0</v>
      </c>
      <c r="M34" s="52">
        <f t="shared" si="2"/>
        <v>0</v>
      </c>
    </row>
    <row r="35" spans="11:13" ht="15.75" thickBot="1">
      <c r="K35" s="48" t="s">
        <v>58</v>
      </c>
      <c r="L35" s="50">
        <v>0</v>
      </c>
      <c r="M35" s="52">
        <f t="shared" si="2"/>
        <v>0</v>
      </c>
    </row>
    <row r="36" spans="11:13">
      <c r="L36" t="s">
        <v>61</v>
      </c>
      <c r="M36">
        <f>SUM(L28:L35)</f>
        <v>22</v>
      </c>
    </row>
  </sheetData>
  <sortState ref="I4:I25">
    <sortCondition ref="I4"/>
  </sortState>
  <mergeCells count="7">
    <mergeCell ref="A2:A3"/>
    <mergeCell ref="H2:H3"/>
    <mergeCell ref="I2:I3"/>
    <mergeCell ref="B2:D2"/>
    <mergeCell ref="E2:E3"/>
    <mergeCell ref="F2:F3"/>
    <mergeCell ref="G2:G3"/>
  </mergeCells>
  <conditionalFormatting sqref="G1 G26 G29:G65536">
    <cfRule type="cellIs" dxfId="6" priority="2" stopIfTrue="1" operator="greaterThan">
      <formula>20</formula>
    </cfRule>
    <cfRule type="cellIs" dxfId="5" priority="3" stopIfTrue="1" operator="lessThan">
      <formula>-20</formula>
    </cfRule>
    <cfRule type="cellIs" dxfId="4" priority="4" stopIfTrue="1" operator="lessThan">
      <formula>-20</formula>
    </cfRule>
    <cfRule type="cellIs" dxfId="3" priority="5" stopIfTrue="1" operator="greaterThan">
      <formula>20</formula>
    </cfRule>
    <cfRule type="cellIs" dxfId="2" priority="6" stopIfTrue="1" operator="greaterThan">
      <formula>20</formula>
    </cfRule>
    <cfRule type="cellIs" dxfId="1" priority="7" stopIfTrue="1" operator="lessThan">
      <formula>-20</formula>
    </cfRule>
  </conditionalFormatting>
  <conditionalFormatting sqref="G4:G25">
    <cfRule type="cellIs" dxfId="0" priority="1" stopIfTrue="1" operator="notBetween">
      <formula>20</formula>
      <formula>-20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5</vt:i4>
      </vt:variant>
    </vt:vector>
  </HeadingPairs>
  <TitlesOfParts>
    <vt:vector size="6" baseType="lpstr">
      <vt:lpstr>Arkusz1</vt:lpstr>
      <vt:lpstr>Histogram</vt:lpstr>
      <vt:lpstr>Diff vs ISR No.</vt:lpstr>
      <vt:lpstr>Diff vs ISR conc</vt:lpstr>
      <vt:lpstr>%ISR vs ISR No.</vt:lpstr>
      <vt:lpstr>Correlation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2016-09-01T08:52:42Z</dcterms:modified>
</cp:coreProperties>
</file>