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tantJ\AppData\Roaming\OpenText\OTEdit\EC_pbodocs\c371853\"/>
    </mc:Choice>
  </mc:AlternateContent>
  <xr:revisionPtr revIDLastSave="0" documentId="13_ncr:1_{516B61A7-6268-410A-80EF-0B1B300F2B04}" xr6:coauthVersionLast="45" xr6:coauthVersionMax="45" xr10:uidLastSave="{00000000-0000-0000-0000-000000000000}"/>
  <bookViews>
    <workbookView xWindow="-120" yWindow="-120" windowWidth="29040" windowHeight="15840" xr2:uid="{E49D7F26-01B7-43A3-B980-6B1CB5D0A2BA}"/>
  </bookViews>
  <sheets>
    <sheet name="Legend" sheetId="2" r:id="rId1"/>
    <sheet name="Protecting Health and Safety" sheetId="1" r:id="rId2"/>
    <sheet name="Direct Support Measures" sheetId="3" r:id="rId3"/>
    <sheet name="Tax Liquidity Support" sheetId="6" r:id="rId4"/>
    <sheet name="Other Liquidity Support" sheetId="7" r:id="rId5"/>
    <sheet name="Additional Measures" sheetId="5" r:id="rId6"/>
  </sheets>
  <definedNames>
    <definedName name="_xlnm._FilterDatabase" localSheetId="5" hidden="1">'Additional Measures'!$A$3:$R$52</definedName>
    <definedName name="_xlnm._FilterDatabase" localSheetId="2" hidden="1">'Direct Support Measures'!$A$3:$R$329</definedName>
    <definedName name="_xlnm._FilterDatabase" localSheetId="1" hidden="1">'Protecting Health and Safety'!$A$3:$R$209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54" i="5" l="1"/>
  <c r="M50" i="5"/>
  <c r="G53" i="5"/>
  <c r="G52" i="5"/>
  <c r="G51" i="5"/>
  <c r="G50" i="5"/>
  <c r="B50" i="5"/>
  <c r="M330" i="3" l="1"/>
  <c r="M326" i="3"/>
  <c r="H326" i="3"/>
  <c r="G329" i="3"/>
  <c r="G328" i="3"/>
  <c r="G327" i="3"/>
  <c r="G326" i="3"/>
  <c r="B326" i="3"/>
  <c r="M210" i="1"/>
  <c r="G91" i="1" l="1"/>
  <c r="M331" i="3" l="1"/>
  <c r="M90" i="1"/>
  <c r="M183" i="1"/>
  <c r="M96" i="3"/>
  <c r="M145" i="1"/>
  <c r="M36" i="1"/>
  <c r="M204" i="1"/>
  <c r="H203" i="1"/>
  <c r="H163" i="1"/>
  <c r="M14" i="3"/>
  <c r="H15" i="3"/>
  <c r="H14" i="3"/>
  <c r="M324" i="3"/>
  <c r="M213" i="3"/>
  <c r="M184" i="1" l="1"/>
  <c r="M203" i="1"/>
  <c r="M165" i="1"/>
  <c r="M67" i="3"/>
  <c r="M69" i="1"/>
  <c r="M124" i="1"/>
  <c r="M95" i="3"/>
  <c r="M289" i="3"/>
  <c r="M122" i="1"/>
  <c r="M123" i="1"/>
  <c r="M121" i="1"/>
  <c r="M17" i="1"/>
  <c r="M146" i="1"/>
  <c r="M103" i="1"/>
  <c r="M129" i="1"/>
  <c r="M134" i="1"/>
  <c r="M55" i="3"/>
  <c r="M48" i="3"/>
  <c r="M38" i="3"/>
  <c r="M88" i="1"/>
  <c r="M87" i="1"/>
  <c r="M15" i="3"/>
  <c r="M211" i="1" l="1"/>
  <c r="M206" i="1"/>
  <c r="H297" i="3"/>
  <c r="H9" i="3"/>
  <c r="B9" i="3"/>
  <c r="B4" i="3"/>
  <c r="H103" i="3" l="1"/>
  <c r="B163" i="1" l="1"/>
  <c r="H71" i="1" l="1"/>
  <c r="H53" i="1" l="1"/>
  <c r="H206" i="1" s="1"/>
  <c r="G21" i="7" l="1"/>
  <c r="B15" i="3" l="1"/>
  <c r="G177" i="1" l="1"/>
  <c r="G104" i="1" l="1"/>
  <c r="G144" i="1"/>
  <c r="G154" i="1"/>
  <c r="G12" i="1" l="1"/>
  <c r="G18" i="1"/>
  <c r="G34" i="1"/>
  <c r="G46" i="1"/>
  <c r="G33" i="5" l="1"/>
  <c r="G172" i="1"/>
  <c r="G101" i="1"/>
  <c r="G40" i="5"/>
  <c r="G143" i="3"/>
  <c r="G164" i="1"/>
  <c r="G127" i="3"/>
  <c r="G68" i="1" l="1"/>
  <c r="G128" i="1"/>
  <c r="G87" i="1"/>
  <c r="G89" i="1"/>
  <c r="G99" i="1"/>
  <c r="G259" i="3" l="1"/>
  <c r="G196" i="3"/>
  <c r="G134" i="1" l="1"/>
  <c r="G209" i="1" l="1"/>
  <c r="G174" i="1"/>
  <c r="G241" i="3"/>
  <c r="G285" i="3"/>
  <c r="B180" i="1" l="1"/>
  <c r="B71" i="1" l="1"/>
  <c r="B299" i="3" l="1"/>
  <c r="B267" i="3" l="1"/>
  <c r="B218" i="3"/>
  <c r="B120" i="3"/>
  <c r="B115" i="3"/>
  <c r="B112" i="3"/>
  <c r="B106" i="3"/>
  <c r="B103" i="3"/>
  <c r="B97" i="3"/>
  <c r="B69" i="3"/>
  <c r="B176" i="1" l="1"/>
  <c r="B157" i="1"/>
  <c r="B126" i="1" l="1"/>
  <c r="B124" i="1"/>
  <c r="B115" i="1"/>
  <c r="B30" i="1"/>
  <c r="B36" i="1"/>
  <c r="B4" i="1"/>
  <c r="B206" i="1" s="1"/>
  <c r="B20" i="7" l="1"/>
  <c r="B9" i="6"/>
  <c r="B219" i="3" l="1"/>
  <c r="G20" i="7" l="1"/>
  <c r="G9" i="6"/>
  <c r="G80" i="1" l="1"/>
  <c r="G76" i="1"/>
  <c r="G71" i="1"/>
  <c r="G127" i="1" l="1"/>
  <c r="G126" i="1"/>
  <c r="G85" i="1"/>
  <c r="G83" i="1"/>
  <c r="G13" i="5" l="1"/>
  <c r="G284" i="3"/>
  <c r="G243" i="3"/>
  <c r="G142" i="3"/>
  <c r="G133" i="3"/>
  <c r="G131" i="3"/>
  <c r="G58" i="3" l="1"/>
  <c r="G41" i="3"/>
  <c r="G17" i="3"/>
  <c r="G183" i="1"/>
  <c r="G207" i="1" s="1"/>
  <c r="G148" i="1"/>
  <c r="G142" i="1"/>
  <c r="G139" i="1"/>
  <c r="G66" i="1" l="1"/>
  <c r="G206" i="1" l="1"/>
  <c r="G208" i="1"/>
</calcChain>
</file>

<file path=xl/sharedStrings.xml><?xml version="1.0" encoding="utf-8"?>
<sst xmlns="http://schemas.openxmlformats.org/spreadsheetml/2006/main" count="4169" uniqueCount="677">
  <si>
    <t>Protecting Health and Safety</t>
  </si>
  <si>
    <t>Organization</t>
  </si>
  <si>
    <t>PBO IR Sent</t>
  </si>
  <si>
    <t>PBO IR Link</t>
  </si>
  <si>
    <t>Data Status</t>
  </si>
  <si>
    <t>Data</t>
  </si>
  <si>
    <t>As of Date</t>
  </si>
  <si>
    <t>Safe Restart Agreement, Federal Contribution (includes support for healthcare including mental health and problematic substance use, testing and contact tracing support for vulnerable populations, child care, sick leave, municipalities, and personal protective equipment procurement)</t>
  </si>
  <si>
    <t>Supps B</t>
  </si>
  <si>
    <t>Canadian Institutes of Health Research</t>
  </si>
  <si>
    <t>Statutory</t>
  </si>
  <si>
    <t>Yes</t>
  </si>
  <si>
    <t>IR0530</t>
  </si>
  <si>
    <t>Pending</t>
  </si>
  <si>
    <t>Department of Finance</t>
  </si>
  <si>
    <t>IR0550</t>
  </si>
  <si>
    <t>Voted</t>
  </si>
  <si>
    <t>Public Health Agency of Canada</t>
  </si>
  <si>
    <t>IR0528</t>
  </si>
  <si>
    <t>Provided</t>
  </si>
  <si>
    <t>Department of Health</t>
  </si>
  <si>
    <t>IR0551</t>
  </si>
  <si>
    <t>Department of Public Works and Government Services</t>
  </si>
  <si>
    <t>IR0559</t>
  </si>
  <si>
    <t>Safe Return to Class Fund</t>
  </si>
  <si>
    <t>Health and Social Support for Northern Communities (critical priorities, air carriers, food subsidy enhancement)</t>
  </si>
  <si>
    <t>Supps A</t>
  </si>
  <si>
    <t>Department of Crown-Indigenous Relations and Northern Affairs</t>
  </si>
  <si>
    <t>IR0462</t>
  </si>
  <si>
    <t>Support for essential air access to remote communities</t>
  </si>
  <si>
    <t>Transport Canada</t>
  </si>
  <si>
    <t>IR0519</t>
  </si>
  <si>
    <t>Indigenous Community Support Fund</t>
  </si>
  <si>
    <t>Department of Indigenous Services</t>
  </si>
  <si>
    <t>IR0470</t>
  </si>
  <si>
    <t>Department of Employment and Social Development</t>
  </si>
  <si>
    <t>IR0549</t>
  </si>
  <si>
    <t>Indigenous Services Canada</t>
  </si>
  <si>
    <t>IR0523</t>
  </si>
  <si>
    <t>No activity to date</t>
  </si>
  <si>
    <t>Support for a Safe Restart in Indigenous Communities</t>
  </si>
  <si>
    <t>Offsetting declines in Indigenous own-source revenues</t>
  </si>
  <si>
    <t>Not included</t>
  </si>
  <si>
    <t>Purpose:</t>
  </si>
  <si>
    <t>The Parliamentary Budget Officer (PBO) has developed a monitoring framework to assist parliamentarians in tracking all the Government’s announcements and spending related to COVID-19.</t>
  </si>
  <si>
    <t>This tracking document enumerates the COVID-19 measures announced by the Government and includes high level implementation and spending data collected by the PBO from numerous federal departments and agencies through information requests.</t>
  </si>
  <si>
    <t>Notes:</t>
  </si>
  <si>
    <t xml:space="preserve">This tracking document does not include the PBO's cost estimates of COVID-19 measures. </t>
  </si>
  <si>
    <t>Tabs:</t>
  </si>
  <si>
    <t>Direct Support Measures</t>
  </si>
  <si>
    <t>Tax Liquidity Support</t>
  </si>
  <si>
    <t>Other Liquidity Support</t>
  </si>
  <si>
    <t>Data Status Column:</t>
  </si>
  <si>
    <t>Provided:</t>
  </si>
  <si>
    <t>The PBO has received data through an information request.</t>
  </si>
  <si>
    <t>Pending:</t>
  </si>
  <si>
    <t>Data has been requested through existing PBO information request, but funding or program is relatively new or additional follow-up was required. Data is expected to be provided in future updates.</t>
  </si>
  <si>
    <t>Outstanding:</t>
  </si>
  <si>
    <t>Confirming data with department:</t>
  </si>
  <si>
    <t>Data has been provided. The PBO is seeking clarification on the data.</t>
  </si>
  <si>
    <t>Response date not yet passed:</t>
  </si>
  <si>
    <t>Data has been recently requested through a PBO information request. Deadline for a response from the department has not passed.</t>
  </si>
  <si>
    <t>Sources:</t>
  </si>
  <si>
    <t>Treasury Board of Canada Secretariat, Supplementary Estimates (A), 2020-21</t>
  </si>
  <si>
    <t>Treasury Board of Canada Secretariat, Supplementary Estimates (B), 2020-21</t>
  </si>
  <si>
    <t>COVID-19 Medical Research and Vaccine Development (over two years)</t>
  </si>
  <si>
    <t>Department of Industry</t>
  </si>
  <si>
    <t>IR0490</t>
  </si>
  <si>
    <t>Department of Western Economic Diversification</t>
  </si>
  <si>
    <t>Contribution agreement signed for $23M ($8M in 2020-21 and $15M in 2021-22)</t>
  </si>
  <si>
    <t>National Research Council of Canada</t>
  </si>
  <si>
    <t>IR0491</t>
  </si>
  <si>
    <t>IR0478</t>
  </si>
  <si>
    <t>Confirming data with the department</t>
  </si>
  <si>
    <t>Increasing Biomanufacturing Capacity</t>
  </si>
  <si>
    <t>IR0526</t>
  </si>
  <si>
    <t>Innovative Research and Support for New Testing Approaches and Technologies</t>
  </si>
  <si>
    <t>Supporting and Sustaining the Public Health Agency of Canada's and Health Canada's Pandemic Operations</t>
  </si>
  <si>
    <t>Canadian Digital Service</t>
  </si>
  <si>
    <t>Funding for Personal Protective Equipment and Supplies (of which, $200 million in 2019-20)</t>
  </si>
  <si>
    <t>IR0468</t>
  </si>
  <si>
    <t>PPE and Related Equipment Support for Essential Workers (procurement fund and increased procurement support)</t>
  </si>
  <si>
    <t>Additional PPE Procurement and Support for the Storage and Warehousing of PPE</t>
  </si>
  <si>
    <t>GST/HST Relief on Face Masks and Face Shields</t>
  </si>
  <si>
    <t>Support for People experiencing Homelessness (through Reaching Home)</t>
  </si>
  <si>
    <t>No</t>
  </si>
  <si>
    <t xml:space="preserve">Date unavailable </t>
  </si>
  <si>
    <t>Quarantine Facilities and COVID-19 Border Measures</t>
  </si>
  <si>
    <t>Support for Firms that Hire Temporary Foreign Workers</t>
  </si>
  <si>
    <t>Department of Agriculture and Agri-Food</t>
  </si>
  <si>
    <t>IR0456</t>
  </si>
  <si>
    <t>Shared Services Canada</t>
  </si>
  <si>
    <t>IR0561</t>
  </si>
  <si>
    <t>Extension of the Mandatory Isolation Support for Temporary Foreign Workers Program</t>
  </si>
  <si>
    <t>Addressing the Outbreak of COVID-19 among Temporary Foreign Workers on Farms</t>
  </si>
  <si>
    <t>Support for the Canadian Armed Forces' response to COVID-19 (Including Operation LASER)</t>
  </si>
  <si>
    <t>Department of National Defense</t>
  </si>
  <si>
    <t>Personal Support Worker Training and Other Measures to Address Labour Shortages in Long-Term and Home Care</t>
  </si>
  <si>
    <t>Further Investments in Long-Term Care</t>
  </si>
  <si>
    <t>Virtual Care and Mental Health Tools for Canadians</t>
  </si>
  <si>
    <t>IR0486</t>
  </si>
  <si>
    <t>Supporting Distress Centres and the Wellness Together Canada Portal</t>
  </si>
  <si>
    <t>Supporting Canadians struggling with Substance Use Disorder</t>
  </si>
  <si>
    <t>Support for the Canadian Red Cross</t>
  </si>
  <si>
    <t>Department of Public Safety and Emergency Preparedness</t>
  </si>
  <si>
    <t>IR0529</t>
  </si>
  <si>
    <t>Civilian Humanitarian Workforce (Red Cross)</t>
  </si>
  <si>
    <t>Enhancing Public Health Measures in Indigenous Communities</t>
  </si>
  <si>
    <t>Responding to Immediate Indigenous Mental Wellness Demands during the COVID-19 Pandemic</t>
  </si>
  <si>
    <t>Supportive Care in Indigenous Communities</t>
  </si>
  <si>
    <t>Department of Foreign Affairs, Trade and Development</t>
  </si>
  <si>
    <t>N/A</t>
  </si>
  <si>
    <t>IR0476</t>
  </si>
  <si>
    <t>Immediate Public Health Response (of which, $25M for PHAC in 2019-20)</t>
  </si>
  <si>
    <t>IR0471</t>
  </si>
  <si>
    <t>IR0472</t>
  </si>
  <si>
    <t>Reducing Import Costs to facilitate access to Critical Medical Goods</t>
  </si>
  <si>
    <t>Canada Border Services Agency</t>
  </si>
  <si>
    <t>IR0459</t>
  </si>
  <si>
    <t>Consular Assistance (of which $36M in 2019-20)</t>
  </si>
  <si>
    <t>IR0467</t>
  </si>
  <si>
    <t>Total - Protecting Health and Safety</t>
  </si>
  <si>
    <t>Support for Workers in the Live Events and Arts Sector</t>
  </si>
  <si>
    <t>Support for the Broadcasting Industry</t>
  </si>
  <si>
    <t>Canadian Radio-television and Telecommunications Commission</t>
  </si>
  <si>
    <t>IR0464</t>
  </si>
  <si>
    <t>Confidential</t>
  </si>
  <si>
    <t>Support for the National Film Board</t>
  </si>
  <si>
    <t>Support for the Audiovisual Industry</t>
  </si>
  <si>
    <t>Telefilm Canada</t>
  </si>
  <si>
    <t>IR0558</t>
  </si>
  <si>
    <t>Regional Air Transportation Initiative</t>
  </si>
  <si>
    <t>Airports Capital Assistance Program</t>
  </si>
  <si>
    <t>Support for Critical Infrastructure at Large Airports</t>
  </si>
  <si>
    <t>Airport Rent Relief</t>
  </si>
  <si>
    <t>Support for Airport Authorities</t>
  </si>
  <si>
    <t>Support for the Air Transportation Sector</t>
  </si>
  <si>
    <t>IR0474</t>
  </si>
  <si>
    <t>Alternative Credit Support for Small Businesses - Industrial Research Assistance Program's Innovation Assistance Program</t>
  </si>
  <si>
    <t>Alternative Credit Support for Small Businesses - Futurpreneur Canada</t>
  </si>
  <si>
    <t>Canada Revenue Agency</t>
  </si>
  <si>
    <t>IR0481</t>
  </si>
  <si>
    <t>CEWS Data</t>
  </si>
  <si>
    <t>Temporary Changes to EI to Improve Access</t>
  </si>
  <si>
    <t>Canada Recovery Benefit (CRB)</t>
  </si>
  <si>
    <t>CRB Data</t>
  </si>
  <si>
    <t>Canada Recovery Sickness Benefit (CRSB)</t>
  </si>
  <si>
    <t>CRCB Data</t>
  </si>
  <si>
    <t>CRSB Data</t>
  </si>
  <si>
    <t>Canada Recovery Caregiver Benefit (CRCB)</t>
  </si>
  <si>
    <t xml:space="preserve">Canada Revenue Agency </t>
  </si>
  <si>
    <t>Canada Emergency Rent Subsidy and Lockdown Support Extension</t>
  </si>
  <si>
    <t>Canada Emergency Business Account – 25% incentive</t>
  </si>
  <si>
    <t>Atlantic Canada Opportunities Agency</t>
  </si>
  <si>
    <t>Canadian Northern Economic Development Agency</t>
  </si>
  <si>
    <t>Economic Development Agency of Canada for the Regions of Quebec</t>
  </si>
  <si>
    <t>Federal Economic Development Agency for Southern Ontario</t>
  </si>
  <si>
    <t>IR0524</t>
  </si>
  <si>
    <t>Support for the Economic Development in the North</t>
  </si>
  <si>
    <t>10% Temporary Business Wage Subsidy</t>
  </si>
  <si>
    <t>IR0547</t>
  </si>
  <si>
    <t>Essential Workers Wage Top-up</t>
  </si>
  <si>
    <t>Canada Emergency Response Benefit</t>
  </si>
  <si>
    <t>IR0517</t>
  </si>
  <si>
    <t>CERB Data</t>
  </si>
  <si>
    <t>Administration Costs related to the Canada Emergency Response Benefit</t>
  </si>
  <si>
    <t>CESB Data</t>
  </si>
  <si>
    <t>Canada Emergency Commercial Rent Assistance</t>
  </si>
  <si>
    <t>Less: Provincial Contribution for CECRA</t>
  </si>
  <si>
    <t>Canada Mortgage and Housing Corporation</t>
  </si>
  <si>
    <t>IR0480</t>
  </si>
  <si>
    <t>Support for Local Indigenous Economies and the Indigenous Tourism Industry</t>
  </si>
  <si>
    <t>Interest Relief for First Nations through the First Nations Finance Authority</t>
  </si>
  <si>
    <t>IR0515</t>
  </si>
  <si>
    <t>$17.1M transferred to First Nations Finance Authority</t>
  </si>
  <si>
    <t>Support for Indigenous Businesses and Aboriginal Financial Institutions</t>
  </si>
  <si>
    <t>Support for Main Street Businesses</t>
  </si>
  <si>
    <t xml:space="preserve">Women Entrepreneurship Strategy – Ecosystem Top-up </t>
  </si>
  <si>
    <t xml:space="preserve">Granville Island Emergency Relief Fund </t>
  </si>
  <si>
    <t>IR0516</t>
  </si>
  <si>
    <t>Advertising Campaign: Government of Canada’s COVID-19 Economic Response Plan</t>
  </si>
  <si>
    <t>IR0521</t>
  </si>
  <si>
    <t xml:space="preserve">COVID-19 Communications and Marketing </t>
  </si>
  <si>
    <t>Privy Council Office</t>
  </si>
  <si>
    <t>IR0540</t>
  </si>
  <si>
    <t>Wage Subsidy for Staff of the Non-Public Funds, Canadian Forces</t>
  </si>
  <si>
    <t>Support for Food Inspection Services</t>
  </si>
  <si>
    <t>Canada Food Inspection Agency</t>
  </si>
  <si>
    <t>IR0461</t>
  </si>
  <si>
    <t>Support for Cultural, Heritage and Sport Organizations</t>
  </si>
  <si>
    <t>Canada Council for the Arts</t>
  </si>
  <si>
    <t>IR0469</t>
  </si>
  <si>
    <t>Department of Canadian Heritage</t>
  </si>
  <si>
    <t>Canadian Museum for Human Rights</t>
  </si>
  <si>
    <t>Canadian Museum of History</t>
  </si>
  <si>
    <t>Canadian Museum of Immigration at Pier 21</t>
  </si>
  <si>
    <t>Canadian Museum of Nature</t>
  </si>
  <si>
    <t xml:space="preserve">National Gallery of Canada </t>
  </si>
  <si>
    <t>National Museum of Science and Technology</t>
  </si>
  <si>
    <t>The National Battlefields Commission</t>
  </si>
  <si>
    <t>Supporting the National Arts Centre during COVID-19</t>
  </si>
  <si>
    <t>National Arts Centre</t>
  </si>
  <si>
    <t>Cleaning up Former Oil and Gas Wells</t>
  </si>
  <si>
    <t>Non-Budgetary Statutory</t>
  </si>
  <si>
    <t>IR0494</t>
  </si>
  <si>
    <t>Emissions Reduction Fund for the oil and gas sector (over two years)</t>
  </si>
  <si>
    <t>Department of Natural Resources Canada</t>
  </si>
  <si>
    <t>IR0473</t>
  </si>
  <si>
    <t>Support for Canada's Farmers, Food Businesses, and Food Supply</t>
  </si>
  <si>
    <t>Support for Canada's Fish Harvesters</t>
  </si>
  <si>
    <t>Support for Fish and Seafood Processors through the Canadian Seafood Stabilization Fund</t>
  </si>
  <si>
    <t>Department of Fisheries and Oceans</t>
  </si>
  <si>
    <t>IR0482</t>
  </si>
  <si>
    <t>Not available</t>
  </si>
  <si>
    <t>IR0539</t>
  </si>
  <si>
    <t xml:space="preserve">Support for Canada's Academic Research Community </t>
  </si>
  <si>
    <t>Social Sciences and Humanities Research Council</t>
  </si>
  <si>
    <t>IR0522</t>
  </si>
  <si>
    <t xml:space="preserve">Support for the Federal Bridge Corporation Limited </t>
  </si>
  <si>
    <t>The Federal Bridge Corporation Limited</t>
  </si>
  <si>
    <t>Support for Workers in the Newfoundland and Labrador Offshore Energy Sector</t>
  </si>
  <si>
    <t>Ensuring Access to Canada Revenue Agency Call Centres</t>
  </si>
  <si>
    <t>Canada Revenue Agency Funding for COVID-19 Economic Measures</t>
  </si>
  <si>
    <t>Temporary Enhanced GST Credit</t>
  </si>
  <si>
    <t>Temporary Enhanced Canada Child Benefit</t>
  </si>
  <si>
    <t>One-Time Payment to OAS and GIS recipients</t>
  </si>
  <si>
    <t>IR0518</t>
  </si>
  <si>
    <t>Support for Persons with Disabilities ($1M in existing funding)</t>
  </si>
  <si>
    <t>Veterans Emergency Fund</t>
  </si>
  <si>
    <t xml:space="preserve">Youth Employment and Skills Development Programs </t>
  </si>
  <si>
    <t xml:space="preserve">Department of Agriculture and Agri-Food </t>
  </si>
  <si>
    <t xml:space="preserve">Department of Indigenous Services </t>
  </si>
  <si>
    <t>Department of Natural Resources</t>
  </si>
  <si>
    <t>IR0552</t>
  </si>
  <si>
    <t>Department of the Environment</t>
  </si>
  <si>
    <t>IR0557</t>
  </si>
  <si>
    <t>Natural Sciences and Engineering Research Council</t>
  </si>
  <si>
    <t>Canada Student Loans (over two years)</t>
  </si>
  <si>
    <t>Canada Student Service Grant</t>
  </si>
  <si>
    <t>Supporting the On Reserve Income Assistance Program</t>
  </si>
  <si>
    <t>Support for Children and Youth (Kids Help Phone)</t>
  </si>
  <si>
    <t>New Horizons for Seniors Program expansion</t>
  </si>
  <si>
    <t>New Horizons Seniors Grants Data</t>
  </si>
  <si>
    <t>Lower RRIF Minimum Withdrawal</t>
  </si>
  <si>
    <t>Support for Veterans' Organizations</t>
  </si>
  <si>
    <t>Department of Veterans Affairs</t>
  </si>
  <si>
    <t>IR0560</t>
  </si>
  <si>
    <t>Support for Charities and Non-Profits Serving Vulnerable People (Emergency Community Support Fund)</t>
  </si>
  <si>
    <t>Addressing Gender-Based Violence during COVID-19</t>
  </si>
  <si>
    <t>Department for Women and Gender Equality</t>
  </si>
  <si>
    <t>IR0475</t>
  </si>
  <si>
    <t>Support for women’s shelters and sexual assault centres, including for facilities in Indigenous communities</t>
  </si>
  <si>
    <t>Funding to start in 2021-22</t>
  </si>
  <si>
    <t>Protecting and Supporting Indigenous Women and Girls Fleeing Violence (first two years)</t>
  </si>
  <si>
    <t>Supporting Provincial and Territorial Job Training Efforts as Part of COVID-19 Economic Recovery</t>
  </si>
  <si>
    <t>Rapid Housing Initiative</t>
  </si>
  <si>
    <t>Emergency Funding for Safety Measures in Forest Operations</t>
  </si>
  <si>
    <t>Black Entrepreneurship Program</t>
  </si>
  <si>
    <t>Supporting Public Health Measures in Correctional Institutions</t>
  </si>
  <si>
    <t>Parks Canada Rent Relief and Revenue Replacement</t>
  </si>
  <si>
    <t>Parks Canada</t>
  </si>
  <si>
    <t>IR0492</t>
  </si>
  <si>
    <t>Support for the National Capital Commission</t>
  </si>
  <si>
    <t>Public Services and Procurement Canada Program Integrity</t>
  </si>
  <si>
    <t>Supporting the Ongoing Delivery of Key Benefits</t>
  </si>
  <si>
    <t>Improving Our Ability to Reach All Canadians</t>
  </si>
  <si>
    <t>Maintaining the Federal Government's Legal Services Capacity</t>
  </si>
  <si>
    <t>Supporting Court Operations and Access to Justice</t>
  </si>
  <si>
    <t xml:space="preserve">Support Canada Emergency Response Benefit Payment Integrity </t>
  </si>
  <si>
    <t>Funding for VIA Rail Canada Inc.</t>
  </si>
  <si>
    <t>Department of Justice</t>
  </si>
  <si>
    <t>Support for Northern Businesses - Northern Business Relief Fund (from existing resources)</t>
  </si>
  <si>
    <t>Waiving the Employment Insurance Waiting Period for People in Imposed Quarantine</t>
  </si>
  <si>
    <t>IR0548</t>
  </si>
  <si>
    <t>Destination Canada</t>
  </si>
  <si>
    <t>Supporting Domestic Travel through Destination Canada</t>
  </si>
  <si>
    <t>IR0562</t>
  </si>
  <si>
    <t>Canadian Centre for Occupational Health and Safety</t>
  </si>
  <si>
    <t>Critical Operating Requirements</t>
  </si>
  <si>
    <t>Creating Job Opportunities for Students</t>
  </si>
  <si>
    <t>Support for the CanCOVID Network</t>
  </si>
  <si>
    <t>Support to the Eureka Prorgram in Response to COVID-19</t>
  </si>
  <si>
    <t>IR0564</t>
  </si>
  <si>
    <t>Support for Business Resumption for Federally Regulated Employees</t>
  </si>
  <si>
    <t>Communications Security Establishment</t>
  </si>
  <si>
    <t>Information Technology Services, Infrastructure and Cyber Security</t>
  </si>
  <si>
    <t>Canadian Broadcasting Corporation</t>
  </si>
  <si>
    <t>Internal reallocation of resources for the COVID-19 impact to advertising revenues and operating costs</t>
  </si>
  <si>
    <t>Canadian Space Agency</t>
  </si>
  <si>
    <t>Internal reallocation of resources to support the space sector and stimulate the economy in response to COVID-19</t>
  </si>
  <si>
    <t>Establishing a multi-disciplinary network of data specialists in modelling emerging infectious diseases to support public health actions across Canada</t>
  </si>
  <si>
    <t>Securing domestic supply chain of N95 respirators</t>
  </si>
  <si>
    <t>Department of Agriculture and Agri-food Canada</t>
  </si>
  <si>
    <t>Internal reallocation of resources for food processors to implement health measures that allow them to maintain domestic food production and processing capacity</t>
  </si>
  <si>
    <t>CRA/CBSA Liquidity Support to Businesses and Individuals</t>
  </si>
  <si>
    <t>Income Tax Payment Deferral to September</t>
  </si>
  <si>
    <t>Sales Tax Remittance and Customs Duty Payments Deferral</t>
  </si>
  <si>
    <t>Deferral of payment of GST and customs duties on imports: CBSA has yet to receive payments totaling $955,790,744</t>
  </si>
  <si>
    <t>Deferral of lease payment for duty-free shop operators and customs brokers:  total amount forgivable from receivable leases is approximately $49,076</t>
  </si>
  <si>
    <t>Supporting Jobs and Safe Operations of Junior Mining Companies</t>
  </si>
  <si>
    <t xml:space="preserve">Department of Finance </t>
  </si>
  <si>
    <t>Total - Tax Liquidity Support</t>
  </si>
  <si>
    <t>Business Credit Availability Program (BCAP) (through BDC and EDC)</t>
  </si>
  <si>
    <t>Small and Medium-sized Enterprise Co-Lending</t>
  </si>
  <si>
    <t>Business Development Bank of Canada</t>
  </si>
  <si>
    <t>IR0457</t>
  </si>
  <si>
    <t>Small and Medium-sized Enterprise Guarantee program</t>
  </si>
  <si>
    <t>Export Development Canada</t>
  </si>
  <si>
    <t>IR0465</t>
  </si>
  <si>
    <t>Canada Emergency Business Account</t>
  </si>
  <si>
    <t>CEBA Data</t>
  </si>
  <si>
    <t>Financing for Mid-size Companies through BCAP</t>
  </si>
  <si>
    <t>Credit and liquidity support for the Agriculture Sector</t>
  </si>
  <si>
    <t>Farm Credit Canada Additional Lending Capacity</t>
  </si>
  <si>
    <t>Farm Credit Canada</t>
  </si>
  <si>
    <t>IR0466</t>
  </si>
  <si>
    <t>Stay of Default on Advance Payments Program</t>
  </si>
  <si>
    <t>Large Employer Emergency Financing Facility</t>
  </si>
  <si>
    <t>Canada Development Investment Corporation</t>
  </si>
  <si>
    <t>IR0479</t>
  </si>
  <si>
    <t>LEEFF Data</t>
  </si>
  <si>
    <t>Credit and liquidity support through the Bank of Canada, CMHC and commercial lenders</t>
  </si>
  <si>
    <t>CMHC Insured Mortgage Purchase Program</t>
  </si>
  <si>
    <t>31,857 mortgage-backed securities purchased, for a total of 5.8 billion</t>
  </si>
  <si>
    <t>Capital Relief (OSFI Domestic Stability Buffer)</t>
  </si>
  <si>
    <t>Business Credit Availability Program and Other Liquidity Support</t>
  </si>
  <si>
    <t>Total - Other Liquidity Support</t>
  </si>
  <si>
    <t>Tax and Customs Duty Payment Liquitidy Support</t>
  </si>
  <si>
    <t>Contribution of $9 million through United Way for local organizations (in 2019-20)</t>
  </si>
  <si>
    <t>Grant agreement with United Way Centraide Canada valued at $9M</t>
  </si>
  <si>
    <t>Enhancements to the Work-Sharing Program</t>
  </si>
  <si>
    <t>IR0483</t>
  </si>
  <si>
    <t>Work-Sharing Data</t>
  </si>
  <si>
    <t>Highly Affected Sectors Credit Availability Program</t>
  </si>
  <si>
    <t>$1,100,000 used to date</t>
  </si>
  <si>
    <t>Legislation Providing Statutory Authority</t>
  </si>
  <si>
    <t>Measures in this tracking document are organized to align with the grouping of measures in the Fall Economic Statement (FES) 2020 COVID-19 Response Plan tables (at the end of Ch. 1 and 2). Those include the following tabs:</t>
  </si>
  <si>
    <t>Department of Finance Canada, Fall Economic Statement 2020: Supporting Canadians and Fighting COVID-19</t>
  </si>
  <si>
    <t>Total - Direct Support Measures</t>
  </si>
  <si>
    <t>National Capital Commission</t>
  </si>
  <si>
    <t>VIA Rail Canada Inc.</t>
  </si>
  <si>
    <t>Correctional Service Canada</t>
  </si>
  <si>
    <t>$10 million expended</t>
  </si>
  <si>
    <t>BILL C-13 (43rd Parliament, 1st Session) An Act respecting certain measures in response to COVID-19</t>
  </si>
  <si>
    <t xml:space="preserve">BILL C-13 (43rd Parliament, 1st Session) An Act respecting certain measures in response to COVID-19 </t>
  </si>
  <si>
    <t>BILL C-13 (43rd Parliament, 1st Session) An Act respecting certain measures in response to COVID-19 and BILL C-4 (43rd Parliament, 2nd Session) An Act relating to certain measures in response to COVID-19</t>
  </si>
  <si>
    <t>BILL C-13 (43rd Parliament, 1st Session) An Act respecting certain measures in response to COVID-19and BILL C-4 (43rd Parliament, 2nd Session) An Act relating to certain measures in response to COVID-19</t>
  </si>
  <si>
    <t>BILL C-4 (43rd Parliament, 2nd Session) An Act relating to certain measures in response to COVID-19</t>
  </si>
  <si>
    <t xml:space="preserve"> </t>
  </si>
  <si>
    <t>BILL C-13 (43rd Parliament, 1st Session) An Act respecting certain measures in response to COVID-19  and BILL C-4 (43rd Parliament, 2nd Session) An Act relating to certain measures in response to COVID-19</t>
  </si>
  <si>
    <t>BILL C-9 (43rd Parliament, 2nd Session) An Act to amend the Income Tax Act (Canada Emergency Rent Subsidy and Canada Emergency Wage Subsidy)</t>
  </si>
  <si>
    <t>BILL C-20 (43rd Parliament, 1st Session) An Act respecting further COVID-19 measures</t>
  </si>
  <si>
    <t>BILL C-14 (43rd Parliament, 1st Session) A second Act respecting certain measures in response to COVID-19, BILL C-20 (43rd Parliament, 1st Session) An Act respecting further COVID-19 measures, BILL C-9 (43rd Parliament, 2nd Session) An Act to amend the Income Tax Act (Canada Emergency Rent Subsidy and Canada Emergency Wage Subsidy), BILL C-17 (43rd Parliament, 1st Session)</t>
  </si>
  <si>
    <t>Support for International Partners (includes $322.9M of International Assistance Envelope Crisis Pool and other reallocated funding)</t>
  </si>
  <si>
    <t>Interim Order No. 10 Amending the Employment Insurance Act (Employment Insurance Emergency Response Benefit)</t>
  </si>
  <si>
    <t>Interim Order No. 7 Amending the Employment Insurance Act (Employment Insurance Emergency Response Benefit)</t>
  </si>
  <si>
    <t>Certain Medical Goods Remission Order (COVID-19)</t>
  </si>
  <si>
    <t>Agricultural Marketing Payments Act</t>
  </si>
  <si>
    <t xml:space="preserve">Airport Transfer (Miscellaneous Matters) Act </t>
  </si>
  <si>
    <t>Income Tax Act</t>
  </si>
  <si>
    <t>Excise Tax Act and Customs Act</t>
  </si>
  <si>
    <t xml:space="preserve">Data provided by departments represents actual spending data as of a given date, unless otherwise specified. </t>
  </si>
  <si>
    <t>Will be sent</t>
  </si>
  <si>
    <t>Canada Student Loan Payments (Moratorium)</t>
  </si>
  <si>
    <t>CBSA has relieved $289,616,769 in duties and $14,062,640 in taxes for 11,821 importers</t>
  </si>
  <si>
    <t>Strengthening Pandemic Prepardness in Long-Term Care and Retirement Homes</t>
  </si>
  <si>
    <r>
      <t xml:space="preserve">GoC Cash Estimate 2020-21 ($Millions) </t>
    </r>
    <r>
      <rPr>
        <vertAlign val="superscript"/>
        <sz val="11"/>
        <color theme="0"/>
        <rFont val="Calibri"/>
        <family val="2"/>
        <scheme val="minor"/>
      </rPr>
      <t>1</t>
    </r>
  </si>
  <si>
    <r>
      <rPr>
        <vertAlign val="superscript"/>
        <sz val="11"/>
        <color theme="1"/>
        <rFont val="Calibri"/>
        <family val="2"/>
        <scheme val="minor"/>
      </rPr>
      <t xml:space="preserve">1 </t>
    </r>
    <r>
      <rPr>
        <sz val="11"/>
        <color theme="1"/>
        <rFont val="Calibri"/>
        <family val="2"/>
        <scheme val="minor"/>
      </rPr>
      <t>The Government has included impact values for these measures in the Fall Economic Statement 2020.</t>
    </r>
  </si>
  <si>
    <t>$4.2M transferred</t>
  </si>
  <si>
    <t>$20.1M spent, supporting over 3,200 small businesses</t>
  </si>
  <si>
    <t xml:space="preserve">$1,199,987 in a grant </t>
  </si>
  <si>
    <t>$2.4 million used</t>
  </si>
  <si>
    <t xml:space="preserve">$16,000 used </t>
  </si>
  <si>
    <t>$9,964,000 used</t>
  </si>
  <si>
    <t>*Deferred rent is repayable to the department and these amounts will be recovered over the remaning terms of the leases in question.</t>
  </si>
  <si>
    <t>Data has been requested through PBO information request. Deadline for a response has passed and information has not yet been provided.</t>
  </si>
  <si>
    <t>Department has indicated in their response to the PBO that the information on this measure is not yet available or cannot be provided.</t>
  </si>
  <si>
    <t>Not available:</t>
  </si>
  <si>
    <t>$155, 087 paid</t>
  </si>
  <si>
    <t>Surplus Food Purchase Program: $49.4M in signed agreements with 9 applicants</t>
  </si>
  <si>
    <t>Infrastructure Canada</t>
  </si>
  <si>
    <t>National Film Board</t>
  </si>
  <si>
    <t>Treasury Board of Canada Secretartiat</t>
  </si>
  <si>
    <t>IR0579</t>
  </si>
  <si>
    <t>IR0578</t>
  </si>
  <si>
    <t>IR0583</t>
  </si>
  <si>
    <t>IR0580</t>
  </si>
  <si>
    <t>IR0585</t>
  </si>
  <si>
    <t>IR0582</t>
  </si>
  <si>
    <t>Support for Health Canada and the Public Health Agency of Canada</t>
  </si>
  <si>
    <t xml:space="preserve">COVID-19 Response Fund (including $500M for Provinces and Territories, completed in 2019-20 and $50M from existing resources) </t>
  </si>
  <si>
    <t xml:space="preserve">*Sum is greater than funds received in Supplementary Estimates (A) because CIHR made additional investments from it’s a-base funding. </t>
  </si>
  <si>
    <t>Improving Ventilation in Buildings</t>
  </si>
  <si>
    <t>IR0581</t>
  </si>
  <si>
    <t>$19,999,420 alloted to 305,653 individuals through 30 organizations</t>
  </si>
  <si>
    <t>Treasury Board of Canada Secretariat, Supplementary Estimates (C), 2020-21</t>
  </si>
  <si>
    <t>Supps C</t>
  </si>
  <si>
    <t>Canada Revenue Agency Act</t>
  </si>
  <si>
    <t>Internal reallocation of resources to fund meritorious grants for COVID-19 rapid response funding opportunities</t>
  </si>
  <si>
    <t>Internal reallocation of resources to support various operating requirements such as COVID-19 pressures and various transition  initiatives</t>
  </si>
  <si>
    <t>Library and Archives of Canada</t>
  </si>
  <si>
    <t>Internal reallocation of resources to support Canada’s initial response to COVID-19</t>
  </si>
  <si>
    <t>Courts Administration Service</t>
  </si>
  <si>
    <t>Registrar of the Supreme Court of Canada</t>
  </si>
  <si>
    <t>Administration of the Canada Emergency Business Account</t>
  </si>
  <si>
    <t>Administration of the Canada Emergency Rent Subsidy</t>
  </si>
  <si>
    <t>Administration of the 10% Temporary Wage Subsidy for  Employers</t>
  </si>
  <si>
    <t>Administration of the Canada Emergency Wage Subsidy</t>
  </si>
  <si>
    <t>Critical operating requirements of the Office of the Auditor General</t>
  </si>
  <si>
    <t>Office of the Auditor General</t>
  </si>
  <si>
    <t>Communication Services</t>
  </si>
  <si>
    <t>Funding for the Government of Nunavut for increased health care costs due to the pandemic</t>
  </si>
  <si>
    <t xml:space="preserve">Supps C </t>
  </si>
  <si>
    <t>Funding for the Canada Emergency Business Account Project</t>
  </si>
  <si>
    <t>Support for the COVID-19 challenge to  Canadian industry through the Innovative Solutions Canada Program</t>
  </si>
  <si>
    <t>Support for the Federal Bridge Corporation Limited's critical operating requirements</t>
  </si>
  <si>
    <t>Spending of revenues received through the conduct of its operations</t>
  </si>
  <si>
    <t xml:space="preserve">Alternative Credit Support for Small Businesses - Regional Development Agencies (Regional Relief and Recovery Fund, including through Community Futures Network) </t>
  </si>
  <si>
    <t>IR0584</t>
  </si>
  <si>
    <t>CERS and Lockdown Support Data</t>
  </si>
  <si>
    <t>Strategic Innovation Fund</t>
  </si>
  <si>
    <t>BILL C-14 (43rd Parliament, 1st Session) A second Act respecting certain measures in response to COVID-19</t>
  </si>
  <si>
    <t xml:space="preserve">Total of $2.0 billion transferred to all 13 provinces and territories </t>
  </si>
  <si>
    <t>$320 million provided</t>
  </si>
  <si>
    <t>Data available online</t>
  </si>
  <si>
    <t>$25,153,018 used to date</t>
  </si>
  <si>
    <t>$108,455,832 spent</t>
  </si>
  <si>
    <t>Emergency Processing Fund: $65.3M disbursed on approved projects</t>
  </si>
  <si>
    <t>$39,237,083 received</t>
  </si>
  <si>
    <t>$1,720,000,000 in estimated expenditures</t>
  </si>
  <si>
    <t>$9,998,735 in estimated expenditures</t>
  </si>
  <si>
    <t>$63,738,124 in estimated expenditures</t>
  </si>
  <si>
    <t>$394,075,985 in estimated expenditures</t>
  </si>
  <si>
    <t>$12,550,284 in estimated expenditures</t>
  </si>
  <si>
    <t>$19,973,765 in estimated expenditures</t>
  </si>
  <si>
    <t>$349,698,783 in estimated expenditures</t>
  </si>
  <si>
    <t>$1,499,265,341 in estimated expenditures</t>
  </si>
  <si>
    <t>$11,262,711 in estimated expenditures</t>
  </si>
  <si>
    <t>$35,717,351 in estimated expenditures</t>
  </si>
  <si>
    <t>$62,787,208 in estimated expenditures</t>
  </si>
  <si>
    <t>$405,430,389 in estimated expenditures</t>
  </si>
  <si>
    <t>$29,654,492 in estimated expenditures</t>
  </si>
  <si>
    <t>$1,148,000 in estimated expenditures</t>
  </si>
  <si>
    <t>$863,000 in estimated expenditures</t>
  </si>
  <si>
    <t xml:space="preserve">Further support for medical research, countermeasures, and vaccines </t>
  </si>
  <si>
    <t>$32,211,469 in estimated expenditures</t>
  </si>
  <si>
    <t>Statistics Canada</t>
  </si>
  <si>
    <t>TBS Data: COVID-19 Economic Response Plan - Estimated Expenditures</t>
  </si>
  <si>
    <t>$83,311,449 in estimated expenditures</t>
  </si>
  <si>
    <t>$3,153,073 in grants</t>
  </si>
  <si>
    <t>Rent deferral: 33 tenants approved for rent deferral, representing a total of approximately $190,441 in rent*
Rent relief: 4 attestation forms approved, representing a $13,532 loss in rental revenue</t>
  </si>
  <si>
    <t>$741.2M disbursed through international assistance</t>
  </si>
  <si>
    <t>$2,206,586 transferred</t>
  </si>
  <si>
    <t>$2,049,575 transferred</t>
  </si>
  <si>
    <t>$5,927,263 transferred</t>
  </si>
  <si>
    <t>$4,808,711 transferred</t>
  </si>
  <si>
    <t>$5,338,974 transferred</t>
  </si>
  <si>
    <t>$1,112,328 transferred</t>
  </si>
  <si>
    <t>$18,200,000 transferred</t>
  </si>
  <si>
    <t>BILL C-4 (43rd Parliament, 2nd Session) An Act relating to certain measures in response to COVID-19 and BILL C-24 (43rd Parliament, 2nd Session) An Act to amend the Employment Insurance Act (additional regular benefits), the Canada Recovery Benefits Act (restriction on eligibility) and another Act in response to COVID-19</t>
  </si>
  <si>
    <t>$15,000,000 in estimated expenditures</t>
  </si>
  <si>
    <t>****This figure is an estimate of the cost of increasing Canada Student Grants by 50 per cent in loan year 2020-21.  Canada Student Loan costs associated with suspending student and spousal contributions and raising the maximum weekly loan amount from $210 per week to $350 per week are not included.</t>
  </si>
  <si>
    <t>***This figure represents payments by the Government of Canada to compensate financial institutions for the six-month moratorium for loans under the guaranteed and risk-shared regimes. Costs associated with the direct loan regime are not included.</t>
  </si>
  <si>
    <t>2020-2021</t>
  </si>
  <si>
    <t>2021-2022</t>
  </si>
  <si>
    <t>Included in 2020-21 Estimates</t>
  </si>
  <si>
    <t>Included in 2021-22 Estimates</t>
  </si>
  <si>
    <t>Mains</t>
  </si>
  <si>
    <t>Dollar Amount in 2020-21 Estimates ($Millions)</t>
  </si>
  <si>
    <t>Dollar Amount in 2021-22 Estimates ($Millions)</t>
  </si>
  <si>
    <t>Treasury Board of Canada Secretariat, Main Estimates 2021-2022</t>
  </si>
  <si>
    <t>Voted/Statutory in Estimates</t>
  </si>
  <si>
    <t>Total Supps A 2020-21 - Direct Support Measures</t>
  </si>
  <si>
    <t>Total Supps B 2020-21 - Direct Support Measures</t>
  </si>
  <si>
    <t>Total Supps C 2020-21 - Direct Support Measures</t>
  </si>
  <si>
    <t>Total Mains 2021-22 - Direct Support Measures</t>
  </si>
  <si>
    <t>Treasury Board of Canada Secretariat, COVID-19 Economic Response Plan - Estimated Expenditures submitted to the Standing Committee on Government Operations and Estimates</t>
  </si>
  <si>
    <t>Total Supps A 2020-21 - Protecting Health and Safety</t>
  </si>
  <si>
    <t>Total Supps B 2020-21 - Protecting Health and Safety</t>
  </si>
  <si>
    <t>Total Supps C 2020-21 - Protecting Health and Safety</t>
  </si>
  <si>
    <t>Total Mains 2021-22 - Protecting Health and Safety</t>
  </si>
  <si>
    <t>Total Supps C 2020-21 - Other Liquidity Support</t>
  </si>
  <si>
    <t>$940,209 in estimated expenditures</t>
  </si>
  <si>
    <t>$143,000 in estimated expenditures</t>
  </si>
  <si>
    <t>$34,380,000 in estimated expenditures</t>
  </si>
  <si>
    <t>$9,962,000 in estimated expenditures</t>
  </si>
  <si>
    <t>$262,175,718 in estimated expenditures</t>
  </si>
  <si>
    <t>$6,013,896 in estimated expenditures</t>
  </si>
  <si>
    <t>$1,821,311 in estimated expenditures</t>
  </si>
  <si>
    <t>$114,857,813 in estimated expenditures</t>
  </si>
  <si>
    <t>$292,365,906 in estimated expenditures</t>
  </si>
  <si>
    <t>BILL C-24 (43rd Parliament, 2nd Session) An Act to amend the Employment Insurance Act (additional regular benefits), the Canada Recovery Benefits Act (restriction on eligibility) and another Act in response to COVID-19</t>
  </si>
  <si>
    <r>
      <t xml:space="preserve">Bill C-14 (43rd Parliament, 2nd Session) Economic Statement Implementation Act, 2020 </t>
    </r>
    <r>
      <rPr>
        <sz val="11"/>
        <color theme="1"/>
        <rFont val="Calibri"/>
        <family val="2"/>
      </rPr>
      <t>²</t>
    </r>
  </si>
  <si>
    <t>Bill C-14 (43rd Parliament, 2nd Session) Economic Statement Implementation Act, 2020 ²</t>
  </si>
  <si>
    <r>
      <rPr>
        <sz val="11"/>
        <color theme="1"/>
        <rFont val="Calibri"/>
        <family val="2"/>
      </rPr>
      <t>²</t>
    </r>
    <r>
      <rPr>
        <sz val="7.7"/>
        <color theme="1"/>
        <rFont val="Calibri"/>
        <family val="2"/>
      </rPr>
      <t xml:space="preserve"> </t>
    </r>
    <r>
      <rPr>
        <sz val="11"/>
        <color theme="1"/>
        <rFont val="Calibri"/>
        <family val="2"/>
        <scheme val="minor"/>
      </rPr>
      <t>The Economic Statement Implementation Act, 2020 (Bill C-14) did not receive Royal Assent by March 31, 2021, the date required to authorize payments for certain measures. As a result, expenditures for these measures will be significantly lower in 2020-21, and possibly delayed completely to 2021-22, as they may only be incurred against authorities received through another means (InfoBase).</t>
    </r>
  </si>
  <si>
    <t>² The Economic Statement Implementation Act, 2020 (Bill C-14) did not receive Royal Assent by March 31, 2021, the date required to authorize payments for certain measures. As a result, expenditures for these measures will be significantly lower in 2020-21, and possibly delayed completely to 2021-22, as they may only be incurred against authorities received through another means (InfoBase).</t>
  </si>
  <si>
    <t>Amounts identified in the Estimates represent up-to spending amounts for the current fiscal year. These amounts are on a cash basis and therefore represent amounts that can enter the economy that year.</t>
  </si>
  <si>
    <t>Canada Student Financial Assistance Act</t>
  </si>
  <si>
    <t>Total of $2.88 billion transferred to all 13 provinces and territories</t>
  </si>
  <si>
    <t>$11.99 million spent</t>
  </si>
  <si>
    <t>$206,812,323 in estimated expenditures</t>
  </si>
  <si>
    <t>$31,714,992 in estimated expenditures</t>
  </si>
  <si>
    <t>$2,000,000 in estimated expenditures</t>
  </si>
  <si>
    <t>$870,443,986 in estimated expenditures</t>
  </si>
  <si>
    <t>$19,400,000 in estimated expenditures</t>
  </si>
  <si>
    <t>$36,314,012 in estimated expenditures</t>
  </si>
  <si>
    <t>$4,256,563 transferred</t>
  </si>
  <si>
    <t>$32,795,890 in estimated expenditures</t>
  </si>
  <si>
    <t>$2,322,245 in estimated expenditures</t>
  </si>
  <si>
    <t>1,132 applications approved for a total of $10.8 million, $ 9,622,456 in estimated expenditures</t>
  </si>
  <si>
    <t>$140,964,432 in estimated expenditures</t>
  </si>
  <si>
    <t xml:space="preserve">27.56M applications processed for 8.9M unique applicants, $68,022,369,106 in estimated expenditures
$277,615,730 in administration costs </t>
  </si>
  <si>
    <t xml:space="preserve">2,140,230 approved applications for 708,440 unique applicants, $2,945,786,250 in estimated expenditures
$17,624,372 in administration costs </t>
  </si>
  <si>
    <t>$899,668 in estimated expenditures</t>
  </si>
  <si>
    <t>$2,461,142,765 in estimated expenditures</t>
  </si>
  <si>
    <t>$810,304,629 in estimated expenditures</t>
  </si>
  <si>
    <t>$381,825,221 in estimated expenditures</t>
  </si>
  <si>
    <t>$2,486,172 in estimated expenditures***</t>
  </si>
  <si>
    <t>Total of $12,976,726,000 transferred to all 13 provinces and territories</t>
  </si>
  <si>
    <t>$144,823,722 in estimated expenditures</t>
  </si>
  <si>
    <t>$56,499,223 in estimated expenditures</t>
  </si>
  <si>
    <t>$46,268,915 in estimated expenditures</t>
  </si>
  <si>
    <t>$137,315,012 in estimated expenditures</t>
  </si>
  <si>
    <t>$12,123,184 in estimated expenditures</t>
  </si>
  <si>
    <t>$11,645,507 in estimated expenditures</t>
  </si>
  <si>
    <t xml:space="preserve">$4,650,000 in estimated expenditures </t>
  </si>
  <si>
    <t>$254,100 in estimated expenditures</t>
  </si>
  <si>
    <t>$15,811,249 in estimated expenditures</t>
  </si>
  <si>
    <t>$300,000 in estimated expenditures</t>
  </si>
  <si>
    <t>$105,199,498 in estimated expenditures</t>
  </si>
  <si>
    <t>$29,973,830 in estimated expenditures</t>
  </si>
  <si>
    <t>$1,027,681,401 in estimated expenditures</t>
  </si>
  <si>
    <t>$242,813,766 in estimated expenditures</t>
  </si>
  <si>
    <t>$654,511,953 in estimated expenditures**</t>
  </si>
  <si>
    <t>$228,795,440 in estimated expenditures</t>
  </si>
  <si>
    <t>$133,000,000 in estimated expenditures</t>
  </si>
  <si>
    <t>$7,820,906 in estimated expenditures</t>
  </si>
  <si>
    <t>$88,469,146 in estimated expenditures</t>
  </si>
  <si>
    <t>$93,833,152 in estimated expenditures</t>
  </si>
  <si>
    <t>$56,767,858 in estimated expenditures</t>
  </si>
  <si>
    <t>$147,662,612 in estimated expenditures</t>
  </si>
  <si>
    <t>$31,708,760 in estimated expenditures</t>
  </si>
  <si>
    <t>$16,978,406 in estimated expenditures</t>
  </si>
  <si>
    <t>$30,077,342 in estimated expenditures</t>
  </si>
  <si>
    <t>$77,379,806 in estimated expenditures</t>
  </si>
  <si>
    <t>$254,926,939 in estimated expenditures</t>
  </si>
  <si>
    <t>$11,036,936 in estimated expenditures</t>
  </si>
  <si>
    <t xml:space="preserve">Agreements with 6 provinces and territories signed for a total of $68,347,000 </t>
  </si>
  <si>
    <t>$606,142,037 in estimated expenditures</t>
  </si>
  <si>
    <t>$10,452,520 in estimated expenditures</t>
  </si>
  <si>
    <t>$5,000,000 in estimated expentures</t>
  </si>
  <si>
    <t>$242,963,387 in estimated expenditures</t>
  </si>
  <si>
    <t>$3,171,420 in estimated expenditures</t>
  </si>
  <si>
    <t>$3,026,202 in estimated expenditures</t>
  </si>
  <si>
    <t>$438,921,521 in estimated expenditures</t>
  </si>
  <si>
    <t>$4,700,000 in estimated expenditures</t>
  </si>
  <si>
    <t>$375,099,336 in estimated expenditures**</t>
  </si>
  <si>
    <t>$19,250,126 in estimated expenditures</t>
  </si>
  <si>
    <t>$8,550,507 in estimated expenditures</t>
  </si>
  <si>
    <t>$22,795,712 in estimated expenditures</t>
  </si>
  <si>
    <t>$43,468,440 in estimated expenditures</t>
  </si>
  <si>
    <t>$30,061,387 in estimated expenditures</t>
  </si>
  <si>
    <t>$5,000,000 in estimated expenditures</t>
  </si>
  <si>
    <t>$4,565,927 in estimated expenditures</t>
  </si>
  <si>
    <t>$70,163 in estimated expenditures</t>
  </si>
  <si>
    <t>$434,458,507 in estimated expenditures</t>
  </si>
  <si>
    <t>$7,000,000 in estimated expenditures</t>
  </si>
  <si>
    <t>$752,552 in estimated expenditures</t>
  </si>
  <si>
    <t>$5,755,637 in estimated expenditures</t>
  </si>
  <si>
    <t>$3,594,925 in estimated expenditures</t>
  </si>
  <si>
    <t>$90,426,025 in estimated expenditures</t>
  </si>
  <si>
    <t>$1,350,892,983 in estimated expenditures****</t>
  </si>
  <si>
    <t>$17,896,658 in estimated expenditures</t>
  </si>
  <si>
    <t>Canada Emergency Student Benefit (including administration costs)</t>
  </si>
  <si>
    <r>
      <t xml:space="preserve">GoC Cash Estimate 2021-22 ($Millions)  </t>
    </r>
    <r>
      <rPr>
        <vertAlign val="superscript"/>
        <sz val="11"/>
        <color theme="0"/>
        <rFont val="Calibri"/>
        <family val="2"/>
        <scheme val="minor"/>
      </rPr>
      <t>1</t>
    </r>
  </si>
  <si>
    <t>Treasury Board of Canada Secretariat, Supplementary Estimates (A), 2021-22</t>
  </si>
  <si>
    <t>$212.5M spent</t>
  </si>
  <si>
    <t>$72M spent</t>
  </si>
  <si>
    <t>$7.3M spent</t>
  </si>
  <si>
    <t>$11.5M spent</t>
  </si>
  <si>
    <t>$8.2M spent</t>
  </si>
  <si>
    <t>$6M spent</t>
  </si>
  <si>
    <t xml:space="preserve">$39,700,212 received </t>
  </si>
  <si>
    <t>$45.4M spent</t>
  </si>
  <si>
    <t>$95.1M spent</t>
  </si>
  <si>
    <t>$179,600,000 in estimated expenditures</t>
  </si>
  <si>
    <t>$35,782,646 in estimated expenditures</t>
  </si>
  <si>
    <t>$21,905,822 in estimated expenditures</t>
  </si>
  <si>
    <t>$99,344,807 in estimated expenditures</t>
  </si>
  <si>
    <t>$82,427,994 in estimated expenditure</t>
  </si>
  <si>
    <t>$74,042,533 in estimated expenditures</t>
  </si>
  <si>
    <t>$2,777,000 in estimated expenditures</t>
  </si>
  <si>
    <t>$31,420,749 in estimated expenditures</t>
  </si>
  <si>
    <t>17,799,732 in estimated expenditures</t>
  </si>
  <si>
    <t>$39,332,531 in estimated expenditures</t>
  </si>
  <si>
    <t>$6,708,002 in estimated expenditures</t>
  </si>
  <si>
    <t>$1,036,242 in estimated expenditures</t>
  </si>
  <si>
    <t>$5,987,097 in estimated expenditures</t>
  </si>
  <si>
    <t>$59,438 in estimated expenditures</t>
  </si>
  <si>
    <t>$4,740,000 in estimated expenditures</t>
  </si>
  <si>
    <t>Office of the Superintendent of Financial Institutions</t>
  </si>
  <si>
    <t>$60,968 in estimated expenditures</t>
  </si>
  <si>
    <t>Office of the Correctional Investigator of Canada</t>
  </si>
  <si>
    <t>$9,006 in estimated expenditures</t>
  </si>
  <si>
    <t>Total Supps A 2021-22 - Protecting Health and Safety</t>
  </si>
  <si>
    <t>3,435,510 approved applications for 444,910 unique applicants, $79.03B in subsidies paid</t>
  </si>
  <si>
    <t>17,754,940 applications approved for 1,952,090 unique applicants, $17.75B</t>
  </si>
  <si>
    <t>1,031,370 applications approved for 550,960 unique applicants, $515,685,000</t>
  </si>
  <si>
    <t>4,739,910 applications approved for 399,870 unique applicants, $2.37 billion</t>
  </si>
  <si>
    <t>940,390 applications approved for 182,590 unique applicants, $3.68B</t>
  </si>
  <si>
    <t>876,644 businesses approved for loans, 540,598 businesses approved for expansions, total of $47.3B approved in loans and expansions</t>
  </si>
  <si>
    <t>4,488 agreements approved for an estimated 136,869 employees. Total estimated dollar value of $1,549,348,274</t>
  </si>
  <si>
    <t>$4.7M in direct tenant rent relief and $8M to fund Island operations</t>
  </si>
  <si>
    <t>$2.03B in forgiveable loans supporting rent relief for 140,524 businesses that have up to 1.26M employees</t>
  </si>
  <si>
    <t>Department of Finance Canada, Budget 2021: A Recovery Plan for Jobs, Growth, and Resilience</t>
  </si>
  <si>
    <t>Canada Emergency Wage Subsidy</t>
  </si>
  <si>
    <r>
      <rPr>
        <vertAlign val="superscript"/>
        <sz val="11"/>
        <color theme="1"/>
        <rFont val="Calibri"/>
        <family val="2"/>
        <scheme val="minor"/>
      </rPr>
      <t xml:space="preserve">1 </t>
    </r>
    <r>
      <rPr>
        <sz val="11"/>
        <color theme="1"/>
        <rFont val="Calibri"/>
        <family val="2"/>
        <scheme val="minor"/>
      </rPr>
      <t>Estimates included in this column were provided by the department of Finance through the following information requests: IR0503, IR0534, IR0566 and IR0594. These are cost estimates on a cash basis for the current fiscal year. Data provided is up until Budget 2021 (19 April 2021).</t>
    </r>
  </si>
  <si>
    <t>**Includes estimated expenditures for "Enhancing Public Health Measures in Indigenous Communities" and "Indigenous Public Health Investments" in COVID-19 Economic Response Plan - Estimated Expenditures submitted by the Treasury Board Secretariat to the Standing Committee on Government Operations and Estimates.</t>
  </si>
  <si>
    <t>**Includes estimated expenditures for "Regional Relief and Recovery Fund" and "Targeted Extension of the Innovation Assistance Program" in COVID-19 Economic Response Plan - Estimated Expenditures submitted by the Treasury Board Secretariat to the Standing Committee on Government Operations and Estimates.</t>
  </si>
  <si>
    <t xml:space="preserve">Helping Health Care Systems Recover </t>
  </si>
  <si>
    <t>Canada's COVID-19 Immunization Plan</t>
  </si>
  <si>
    <t>Supporting Mental Health of Those Most Affected by COVID-19</t>
  </si>
  <si>
    <t>Safe Return to School on Reserve</t>
  </si>
  <si>
    <t>Supporting Safe Air Travel</t>
  </si>
  <si>
    <t>Extending Temporary Support for Seasonal Workers and Institutions Who Continue to be Affected by the Pandemic</t>
  </si>
  <si>
    <t>Revitalizing Tourism</t>
  </si>
  <si>
    <t>Supporting Canada's Arts, Heritage, and Cultural Workers and Institutions</t>
  </si>
  <si>
    <t>Helping Canadian TV and Film Productions Through COVID-19</t>
  </si>
  <si>
    <t>Support for the Canadian Broadcasting Corporation / Radio Canada</t>
  </si>
  <si>
    <t>Support for the Canadian Book Industry</t>
  </si>
  <si>
    <t>Enhancing Digital Access to our Heritage</t>
  </si>
  <si>
    <t>Support for Canada’s National Museums and the National Battlefields Commission</t>
  </si>
  <si>
    <t>Supporting Indigenous Economies (Renewal of Indigenous Community Business Fund)</t>
  </si>
  <si>
    <t>Supporting Indigenous Economies (First Nations Finance Authority)</t>
  </si>
  <si>
    <t>Supporting Indigenous Post-Secondary Education during COVID-19</t>
  </si>
  <si>
    <t>Addressing Financial Impacts of Atomic Energy of Canada Limited</t>
  </si>
  <si>
    <t>Total Supps A 2021-22 - Direct Support Measures</t>
  </si>
  <si>
    <t>Support for Food Banks and Local Food Organizations (of which, $25M in 2019-20) (through the Emergency Food Security Fund and Surplus Food Rescue Program)</t>
  </si>
  <si>
    <t>$90,954,090 used to date</t>
  </si>
  <si>
    <t>GoC Cash Estimate 2021-22 ($Millions) 1</t>
  </si>
  <si>
    <t>2021-22</t>
  </si>
  <si>
    <t>Federal-Provincial Fiscal Arrangements Act</t>
  </si>
  <si>
    <t>BILL C-30 (43rd Parliament, 2nd Session) Budget Implementation Act, 2021, No. 1</t>
  </si>
  <si>
    <t>Canada Recovery Benefits Act</t>
  </si>
  <si>
    <t>Supporting Indigenous Economies in the fight against COVID-19</t>
  </si>
  <si>
    <t>Additional Measures</t>
  </si>
  <si>
    <t>The final tab in this tracking document includes COVID-19 measures announcement by the Government that were not included in the FES 2020 or Budget 2021:</t>
  </si>
  <si>
    <t>Additional Health Human Resources</t>
  </si>
  <si>
    <t>Monthly Report to FINA – COVID-19 Economic Response Plan Measures</t>
  </si>
  <si>
    <t>As of April 30, Farm Credit Canada’s COVID 19 programs have lent approximately $891 million to over 1,900 customers. 4,937 customers have taken advantage of new payment deferral options on loans totaling $5.6 billion.</t>
  </si>
  <si>
    <t>Confirmed guarantees: 0
Total loan value: $0</t>
  </si>
  <si>
    <t>Defaulted: $49.7 million
Number of defaulted: 471
Remaining: $1.3 million
Number of outstanding advances: 15</t>
  </si>
  <si>
    <t>As of May 25, 6 transactions have been approved representing $7.6 billion.</t>
  </si>
  <si>
    <t>$2,464.6M spent</t>
  </si>
  <si>
    <t>$3,277M spent</t>
  </si>
  <si>
    <t>$7.2M spent</t>
  </si>
  <si>
    <t>$2,019.7M spent</t>
  </si>
  <si>
    <t>$250.4M spent</t>
  </si>
  <si>
    <t>$88.8M spent</t>
  </si>
  <si>
    <t>$9.6M spent</t>
  </si>
  <si>
    <t>$31.1M spent</t>
  </si>
  <si>
    <t>$0.9M spent</t>
  </si>
  <si>
    <t>Total - Additional Measures</t>
  </si>
  <si>
    <t>Total Supps A 2020-21 - Additional Measures</t>
  </si>
  <si>
    <t>Total Supps B 2020-21 - Additional Measures</t>
  </si>
  <si>
    <t>Total Supps C 2020-21 - Additional Measures</t>
  </si>
  <si>
    <t>Total Supps A 2021-22 - Additional Measures</t>
  </si>
  <si>
    <t>$131,582,686 in estimated expenditures</t>
  </si>
  <si>
    <t>$12,500,000 in estimated expenditures</t>
  </si>
  <si>
    <t>$26,793,592 in estimated expenditures*</t>
  </si>
  <si>
    <t>Canada's COVID-19 Emergency Response: CMHC</t>
  </si>
  <si>
    <t>Canada's COVID-19 Emergency Response: Department of Finance</t>
  </si>
  <si>
    <t>4,250,800 total applications received since September 28 th of which: 1,286,067 auto-transitioned; and 2,964,733 new applications</t>
  </si>
  <si>
    <t>As at May 7, BCAP authorized volume is $942M, based on data provided by financial institutions on an aggregate and interim basis. This covers both the SME co-lending and the mid-market offerings and represents 100% of the loan value, not just the BDC portion.</t>
  </si>
  <si>
    <t>The program was launched on February 1 and, since then, fifty one financial institutions have progressively come online. Uptake as at March 31 was $295.2M for 1,219 loans. The total of completed loans and applications in progress is 5300 as at May 25.</t>
  </si>
  <si>
    <t>Canada’s COVID-19 Emergency Response: Monthly Report to FINA – [Department of Finance / BDC / EDC / CMHC / OSFI / Bank of Canada]</t>
  </si>
  <si>
    <t>Confirmed guarantees: 1,413
Total loan value: $1.5 billion
EDC guarantee amount: $1.2 billion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</si>
</sst>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6" formatCode="&quot;$&quot;#,##0;[Red]\-&quot;$&quot;#,##0"/>
    <numFmt numFmtId="43" formatCode="_-* #,##0.00_-;\-* #,##0.00_-;_-* &quot;-&quot;??_-;_-@_-"/>
    <numFmt numFmtId="164" formatCode="&quot;$&quot;#,##0_);[Red]\(&quot;$&quot;#,##0\)"/>
    <numFmt numFmtId="165" formatCode="_(* #,##0.00_);_(* \(#,##0.00\);_(* &quot;-&quot;??_);_(@_)"/>
    <numFmt numFmtId="166" formatCode="_-* #,##0_-;\-* #,##0_-;_-* &quot;-&quot;??_-;_-@_-"/>
    <numFmt numFmtId="167" formatCode="_(* #,##0_);_(* \(#,##0\);_(* &quot;-&quot;??_);_(@_)"/>
    <numFmt numFmtId="168" formatCode="_-* #,##0.000000000_-;\-* #,##0.000000000_-;_-* &quot;-&quot;??_-;_-@_-"/>
    <numFmt numFmtId="169" formatCode="_-* #,##0.000000_-;\-* #,##0.000000_-;_-* &quot;-&quot;??_-;_-@_-"/>
    <numFmt numFmtId="170" formatCode="_(* #,##0.0_);_(* \(#,##0.0\);_(* &quot;-&quot;??_);_(@_)"/>
    <numFmt numFmtId="171" formatCode="0.0"/>
    <numFmt numFmtId="172" formatCode="_(* #,##0.000000_);_(* \(#,##0.000000\);_(* &quot;-&quot;??_);_(@_)"/>
  </numFmts>
  <fonts count="1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i/>
      <u/>
      <sz val="11"/>
      <color theme="1"/>
      <name val="Calibri"/>
      <family val="2"/>
      <scheme val="minor"/>
    </font>
    <font>
      <u/>
      <sz val="11"/>
      <color theme="10"/>
      <name val="Calibri"/>
      <family val="2"/>
      <scheme val="minor"/>
    </font>
    <font>
      <sz val="11"/>
      <name val="Calibri"/>
      <family val="2"/>
      <scheme val="minor"/>
    </font>
    <font>
      <b/>
      <sz val="14"/>
      <color theme="1"/>
      <name val="Calibri"/>
      <family val="2"/>
      <scheme val="minor"/>
    </font>
    <font>
      <b/>
      <sz val="12"/>
      <color theme="1"/>
      <name val="Calibri"/>
      <family val="2"/>
      <scheme val="minor"/>
    </font>
    <font>
      <i/>
      <sz val="11"/>
      <color theme="1"/>
      <name val="Calibri"/>
      <family val="2"/>
      <scheme val="minor"/>
    </font>
    <font>
      <i/>
      <sz val="11"/>
      <name val="Calibri"/>
      <family val="2"/>
      <scheme val="minor"/>
    </font>
    <font>
      <vertAlign val="superscript"/>
      <sz val="11"/>
      <color theme="0"/>
      <name val="Calibri"/>
      <family val="2"/>
      <scheme val="minor"/>
    </font>
    <font>
      <vertAlign val="superscript"/>
      <sz val="11"/>
      <color theme="1"/>
      <name val="Calibri"/>
      <family val="2"/>
      <scheme val="minor"/>
    </font>
    <font>
      <b/>
      <sz val="11"/>
      <name val="Calibri"/>
      <family val="2"/>
      <scheme val="minor"/>
    </font>
    <font>
      <sz val="11"/>
      <color theme="1"/>
      <name val="Calibri"/>
      <family val="2"/>
    </font>
    <font>
      <sz val="7.7"/>
      <color theme="1"/>
      <name val="Calibri"/>
      <family val="2"/>
    </font>
    <font>
      <sz val="12"/>
      <color theme="1"/>
      <name val="Calibri"/>
      <family val="2"/>
      <scheme val="minor"/>
    </font>
  </fonts>
  <fills count="6">
    <fill>
      <patternFill patternType="none"/>
    </fill>
    <fill>
      <patternFill patternType="gray125"/>
    </fill>
    <fill>
      <patternFill patternType="solid">
        <fgColor theme="4"/>
        <bgColor indexed="64"/>
      </patternFill>
    </fill>
    <fill>
      <patternFill patternType="solid">
        <fgColor theme="0" tint="-0.499984740745262"/>
        <bgColor indexed="64"/>
      </patternFill>
    </fill>
    <fill>
      <patternFill patternType="solid">
        <fgColor theme="9"/>
        <bgColor indexed="64"/>
      </patternFill>
    </fill>
    <fill>
      <patternFill patternType="solid">
        <fgColor theme="4" tint="0.59999389629810485"/>
        <bgColor indexed="64"/>
      </patternFill>
    </fill>
  </fills>
  <borders count="37">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4">
    <xf numFmtId="0" fontId="0" fillId="0" borderId="0"/>
    <xf numFmtId="165" fontId="1" fillId="0" borderId="0" applyFont="0" applyFill="0" applyBorder="0" applyAlignment="0" applyProtection="0"/>
    <xf numFmtId="0" fontId="6" fillId="0" borderId="0" applyNumberFormat="0" applyFill="0" applyBorder="0" applyAlignment="0" applyProtection="0"/>
    <xf numFmtId="43" fontId="1" fillId="0" borderId="0" applyFont="0" applyFill="0" applyBorder="0" applyAlignment="0" applyProtection="0"/>
  </cellStyleXfs>
  <cellXfs count="590">
    <xf numFmtId="0" fontId="0" fillId="0" borderId="0" xfId="0"/>
    <xf numFmtId="0" fontId="0" fillId="0" borderId="0" xfId="0" applyAlignment="1">
      <alignment wrapText="1"/>
    </xf>
    <xf numFmtId="0" fontId="5" fillId="0" borderId="0" xfId="0" applyFont="1" applyAlignment="1"/>
    <xf numFmtId="0" fontId="4" fillId="2" borderId="1" xfId="0" applyFont="1" applyFill="1" applyBorder="1" applyAlignment="1"/>
    <xf numFmtId="0" fontId="4" fillId="3" borderId="2" xfId="0" applyFont="1" applyFill="1" applyBorder="1" applyAlignment="1"/>
    <xf numFmtId="0" fontId="4" fillId="3" borderId="3" xfId="0" applyFont="1" applyFill="1" applyBorder="1" applyAlignment="1"/>
    <xf numFmtId="0" fontId="0" fillId="0" borderId="5"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6" xfId="0" applyBorder="1"/>
    <xf numFmtId="0" fontId="0" fillId="0" borderId="7" xfId="0" applyBorder="1" applyAlignment="1">
      <alignment horizontal="left" vertical="center" wrapText="1"/>
    </xf>
    <xf numFmtId="0" fontId="6" fillId="0" borderId="5" xfId="2" applyBorder="1" applyAlignment="1">
      <alignment horizontal="center" vertical="center"/>
    </xf>
    <xf numFmtId="0" fontId="6" fillId="0" borderId="7" xfId="2" applyFill="1" applyBorder="1" applyAlignment="1">
      <alignment horizontal="center" vertical="center"/>
    </xf>
    <xf numFmtId="0" fontId="8" fillId="0" borderId="0" xfId="0" applyFont="1"/>
    <xf numFmtId="0" fontId="9" fillId="0" borderId="0" xfId="0" applyFont="1"/>
    <xf numFmtId="0" fontId="2" fillId="2" borderId="0" xfId="0" applyFont="1" applyFill="1"/>
    <xf numFmtId="0" fontId="2" fillId="4" borderId="0" xfId="0" applyFont="1" applyFill="1"/>
    <xf numFmtId="0" fontId="3" fillId="0" borderId="0" xfId="0" applyFont="1" applyAlignment="1">
      <alignment horizontal="left"/>
    </xf>
    <xf numFmtId="0" fontId="9" fillId="0" borderId="0" xfId="0" applyFont="1" applyAlignment="1">
      <alignment horizontal="left"/>
    </xf>
    <xf numFmtId="0" fontId="0" fillId="0" borderId="5" xfId="0" applyBorder="1" applyAlignment="1">
      <alignment horizontal="left" vertical="center"/>
    </xf>
    <xf numFmtId="0" fontId="0" fillId="0" borderId="5" xfId="0" applyBorder="1" applyAlignment="1">
      <alignment horizontal="left" vertical="center" wrapText="1"/>
    </xf>
    <xf numFmtId="166" fontId="0" fillId="0" borderId="0" xfId="0" applyNumberFormat="1"/>
    <xf numFmtId="0" fontId="0" fillId="0" borderId="17" xfId="0" applyBorder="1"/>
    <xf numFmtId="0" fontId="0" fillId="0" borderId="18" xfId="0" applyBorder="1"/>
    <xf numFmtId="0" fontId="3" fillId="0" borderId="16" xfId="0" applyFont="1" applyBorder="1"/>
    <xf numFmtId="0" fontId="5" fillId="0" borderId="0" xfId="0" applyFont="1" applyAlignment="1">
      <alignment wrapText="1"/>
    </xf>
    <xf numFmtId="0" fontId="4" fillId="2" borderId="1" xfId="0" applyFont="1" applyFill="1" applyBorder="1" applyAlignment="1">
      <alignment wrapText="1"/>
    </xf>
    <xf numFmtId="0" fontId="4" fillId="2" borderId="2" xfId="0" applyFont="1" applyFill="1" applyBorder="1"/>
    <xf numFmtId="0" fontId="4" fillId="3" borderId="2" xfId="0" applyFont="1" applyFill="1" applyBorder="1"/>
    <xf numFmtId="0" fontId="4" fillId="3" borderId="3" xfId="0" applyFont="1" applyFill="1" applyBorder="1"/>
    <xf numFmtId="0" fontId="10" fillId="0" borderId="4" xfId="0" applyFont="1" applyBorder="1" applyAlignment="1">
      <alignment horizontal="left"/>
    </xf>
    <xf numFmtId="0" fontId="0" fillId="0" borderId="0" xfId="0" applyFill="1"/>
    <xf numFmtId="0" fontId="0" fillId="0" borderId="4" xfId="0" applyBorder="1" applyAlignment="1">
      <alignment horizontal="left" vertical="center" indent="3"/>
    </xf>
    <xf numFmtId="1" fontId="0" fillId="0" borderId="0" xfId="0" applyNumberFormat="1"/>
    <xf numFmtId="166" fontId="0" fillId="0" borderId="0" xfId="3" applyNumberFormat="1" applyFont="1"/>
    <xf numFmtId="0" fontId="3" fillId="0" borderId="18" xfId="0" applyFont="1" applyBorder="1"/>
    <xf numFmtId="0" fontId="3" fillId="0" borderId="17" xfId="0" applyFont="1" applyBorder="1"/>
    <xf numFmtId="166" fontId="3" fillId="0" borderId="17" xfId="0" applyNumberFormat="1" applyFont="1" applyBorder="1"/>
    <xf numFmtId="0" fontId="3" fillId="0" borderId="16" xfId="0" applyFont="1" applyBorder="1" applyAlignment="1">
      <alignment wrapText="1"/>
    </xf>
    <xf numFmtId="0" fontId="4" fillId="2" borderId="1" xfId="0" applyFont="1" applyFill="1" applyBorder="1"/>
    <xf numFmtId="0" fontId="5" fillId="0" borderId="0" xfId="0" applyFont="1"/>
    <xf numFmtId="0" fontId="11" fillId="0" borderId="14" xfId="0" applyFont="1" applyBorder="1"/>
    <xf numFmtId="0" fontId="4" fillId="0" borderId="9" xfId="0" applyFont="1" applyBorder="1"/>
    <xf numFmtId="0" fontId="4" fillId="0" borderId="10" xfId="0" applyFont="1" applyBorder="1"/>
    <xf numFmtId="0" fontId="0" fillId="0" borderId="4" xfId="0" applyBorder="1" applyAlignment="1">
      <alignment horizontal="left" indent="3"/>
    </xf>
    <xf numFmtId="15" fontId="0" fillId="0" borderId="6" xfId="3" applyNumberFormat="1" applyFont="1" applyFill="1" applyBorder="1" applyAlignment="1">
      <alignment horizontal="center" vertical="center"/>
    </xf>
    <xf numFmtId="17" fontId="0" fillId="0" borderId="6" xfId="3" applyNumberFormat="1" applyFont="1" applyFill="1" applyBorder="1" applyAlignment="1">
      <alignment horizontal="center" vertical="center"/>
    </xf>
    <xf numFmtId="0" fontId="0" fillId="0" borderId="13" xfId="0" applyBorder="1" applyAlignment="1">
      <alignment vertical="center"/>
    </xf>
    <xf numFmtId="0" fontId="0" fillId="0" borderId="8" xfId="0" applyBorder="1"/>
    <xf numFmtId="0" fontId="10" fillId="0" borderId="4" xfId="0" applyFont="1" applyBorder="1"/>
    <xf numFmtId="0" fontId="0" fillId="0" borderId="7" xfId="0" applyBorder="1"/>
    <xf numFmtId="0" fontId="0" fillId="0" borderId="0" xfId="0" applyFill="1" applyBorder="1" applyAlignment="1"/>
    <xf numFmtId="0" fontId="0" fillId="0" borderId="0" xfId="0"/>
    <xf numFmtId="0" fontId="0" fillId="0" borderId="5" xfId="0" applyBorder="1"/>
    <xf numFmtId="0" fontId="0" fillId="0" borderId="0" xfId="0" applyAlignment="1"/>
    <xf numFmtId="0" fontId="0" fillId="0" borderId="5" xfId="0" applyFill="1"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xf>
    <xf numFmtId="0" fontId="7" fillId="0" borderId="4" xfId="0" applyFont="1" applyFill="1" applyBorder="1" applyAlignment="1">
      <alignment horizontal="left" vertical="center" wrapText="1"/>
    </xf>
    <xf numFmtId="0" fontId="3" fillId="0" borderId="16" xfId="0" applyFont="1" applyBorder="1" applyAlignment="1">
      <alignment horizontal="left"/>
    </xf>
    <xf numFmtId="0" fontId="3" fillId="0" borderId="19" xfId="0" applyFont="1" applyBorder="1"/>
    <xf numFmtId="0" fontId="0" fillId="0" borderId="20" xfId="0" applyBorder="1"/>
    <xf numFmtId="166" fontId="3" fillId="0" borderId="20" xfId="0" applyNumberFormat="1" applyFont="1" applyBorder="1"/>
    <xf numFmtId="0" fontId="0" fillId="0" borderId="21" xfId="0" applyBorder="1"/>
    <xf numFmtId="167" fontId="0" fillId="0" borderId="17" xfId="1" applyNumberFormat="1" applyFont="1" applyBorder="1"/>
    <xf numFmtId="166" fontId="3" fillId="0" borderId="17" xfId="3" applyNumberFormat="1" applyFont="1" applyFill="1" applyBorder="1"/>
    <xf numFmtId="0" fontId="0" fillId="0" borderId="5" xfId="0" applyBorder="1" applyAlignment="1">
      <alignment horizontal="center" vertical="center"/>
    </xf>
    <xf numFmtId="0" fontId="0" fillId="0" borderId="5" xfId="0" applyBorder="1" applyAlignment="1">
      <alignment horizontal="left" vertical="center" wrapText="1"/>
    </xf>
    <xf numFmtId="0" fontId="0" fillId="0" borderId="7" xfId="0" applyBorder="1" applyAlignment="1">
      <alignment horizontal="left" vertical="center"/>
    </xf>
    <xf numFmtId="0" fontId="0" fillId="0" borderId="11" xfId="0" applyBorder="1" applyAlignment="1">
      <alignment horizontal="center" vertical="center"/>
    </xf>
    <xf numFmtId="0" fontId="4" fillId="2" borderId="24" xfId="0" applyFont="1" applyFill="1" applyBorder="1" applyAlignment="1"/>
    <xf numFmtId="0" fontId="3" fillId="0" borderId="28" xfId="0" applyFont="1" applyBorder="1"/>
    <xf numFmtId="0" fontId="11" fillId="0" borderId="26" xfId="0" applyFont="1" applyBorder="1"/>
    <xf numFmtId="0" fontId="10" fillId="0" borderId="23" xfId="0" applyFont="1" applyBorder="1"/>
    <xf numFmtId="0" fontId="10" fillId="0" borderId="23" xfId="0" applyFont="1" applyBorder="1" applyAlignment="1">
      <alignment horizontal="left"/>
    </xf>
    <xf numFmtId="0" fontId="3" fillId="0" borderId="28" xfId="0" applyFont="1" applyBorder="1" applyAlignment="1">
      <alignment wrapText="1"/>
    </xf>
    <xf numFmtId="0" fontId="0" fillId="0" borderId="23" xfId="0" applyFill="1" applyBorder="1" applyAlignment="1">
      <alignment horizontal="center" vertical="center" wrapText="1"/>
    </xf>
    <xf numFmtId="0" fontId="0" fillId="0" borderId="23" xfId="0" applyBorder="1" applyAlignment="1">
      <alignment horizontal="center" vertical="center"/>
    </xf>
    <xf numFmtId="3" fontId="7" fillId="0" borderId="23" xfId="0" applyNumberFormat="1" applyFont="1" applyFill="1" applyBorder="1" applyAlignment="1">
      <alignment horizontal="center" vertical="center" wrapText="1"/>
    </xf>
    <xf numFmtId="0" fontId="0" fillId="0" borderId="25" xfId="0" applyBorder="1" applyAlignment="1">
      <alignment horizontal="center" vertical="center"/>
    </xf>
    <xf numFmtId="3" fontId="0" fillId="0" borderId="23" xfId="0" applyNumberFormat="1" applyBorder="1" applyAlignment="1">
      <alignment horizontal="center" vertical="center"/>
    </xf>
    <xf numFmtId="3" fontId="3" fillId="0" borderId="28" xfId="0" applyNumberFormat="1" applyFont="1" applyBorder="1"/>
    <xf numFmtId="0" fontId="0" fillId="0" borderId="0" xfId="0" applyFont="1" applyFill="1" applyBorder="1"/>
    <xf numFmtId="0" fontId="3" fillId="0" borderId="0" xfId="0" applyFont="1" applyBorder="1"/>
    <xf numFmtId="0" fontId="0" fillId="0" borderId="0" xfId="0" applyBorder="1"/>
    <xf numFmtId="166" fontId="3" fillId="0" borderId="0" xfId="0" applyNumberFormat="1" applyFont="1" applyBorder="1"/>
    <xf numFmtId="3" fontId="0" fillId="0" borderId="23" xfId="0" applyNumberFormat="1" applyFill="1" applyBorder="1" applyAlignment="1">
      <alignment horizontal="center" vertical="center" wrapText="1"/>
    </xf>
    <xf numFmtId="0" fontId="0" fillId="0" borderId="7" xfId="0" applyBorder="1" applyAlignment="1">
      <alignment horizontal="center" vertical="center"/>
    </xf>
    <xf numFmtId="168" fontId="0" fillId="0" borderId="0" xfId="0" applyNumberFormat="1"/>
    <xf numFmtId="0" fontId="0" fillId="0" borderId="5" xfId="0" applyFont="1" applyFill="1" applyBorder="1" applyAlignment="1">
      <alignment horizontal="center" vertical="center" wrapText="1"/>
    </xf>
    <xf numFmtId="0" fontId="0" fillId="0" borderId="5" xfId="0" applyFill="1" applyBorder="1"/>
    <xf numFmtId="0" fontId="0" fillId="0" borderId="25" xfId="0" applyFill="1" applyBorder="1" applyAlignment="1">
      <alignment horizontal="center" vertical="center" wrapText="1"/>
    </xf>
    <xf numFmtId="0" fontId="0" fillId="0" borderId="5" xfId="0" applyFill="1" applyBorder="1" applyAlignment="1">
      <alignment wrapText="1"/>
    </xf>
    <xf numFmtId="0" fontId="10" fillId="0" borderId="23" xfId="0" applyFont="1" applyFill="1" applyBorder="1" applyAlignment="1">
      <alignment horizontal="center" vertical="center" wrapText="1"/>
    </xf>
    <xf numFmtId="0" fontId="0" fillId="0" borderId="6" xfId="0" applyFill="1" applyBorder="1"/>
    <xf numFmtId="0" fontId="0" fillId="0" borderId="23" xfId="0" applyFill="1" applyBorder="1" applyAlignment="1">
      <alignment horizontal="left" vertical="center" wrapText="1"/>
    </xf>
    <xf numFmtId="0" fontId="0" fillId="0" borderId="23" xfId="0" applyFill="1" applyBorder="1" applyAlignment="1">
      <alignment horizontal="left" vertical="center"/>
    </xf>
    <xf numFmtId="164" fontId="0" fillId="0" borderId="5" xfId="0" applyNumberFormat="1" applyFill="1" applyBorder="1" applyAlignment="1">
      <alignment vertical="center"/>
    </xf>
    <xf numFmtId="167" fontId="0" fillId="0" borderId="0" xfId="1" applyNumberFormat="1" applyFont="1"/>
    <xf numFmtId="167" fontId="0" fillId="0" borderId="0" xfId="0" applyNumberFormat="1"/>
    <xf numFmtId="169" fontId="0" fillId="0" borderId="0" xfId="0" applyNumberFormat="1"/>
    <xf numFmtId="0" fontId="6" fillId="0" borderId="5" xfId="2" applyFill="1" applyBorder="1" applyAlignment="1">
      <alignment horizontal="center" vertical="center"/>
    </xf>
    <xf numFmtId="0" fontId="0" fillId="0" borderId="5" xfId="0" applyFill="1" applyBorder="1" applyAlignment="1">
      <alignment horizontal="center" vertical="center" wrapText="1"/>
    </xf>
    <xf numFmtId="0" fontId="0" fillId="0" borderId="5" xfId="0" applyFill="1" applyBorder="1" applyAlignment="1">
      <alignment horizontal="center" vertical="center"/>
    </xf>
    <xf numFmtId="0" fontId="0" fillId="0" borderId="7" xfId="0" applyBorder="1" applyAlignment="1">
      <alignment horizontal="center" vertical="center"/>
    </xf>
    <xf numFmtId="0" fontId="6" fillId="0" borderId="5" xfId="2" applyBorder="1" applyAlignment="1">
      <alignment horizontal="center" vertical="center"/>
    </xf>
    <xf numFmtId="0" fontId="0" fillId="0" borderId="0" xfId="0" applyFill="1" applyBorder="1" applyAlignment="1">
      <alignment horizontal="center" vertical="center" wrapText="1"/>
    </xf>
    <xf numFmtId="0" fontId="0" fillId="0" borderId="0" xfId="0" applyBorder="1" applyAlignment="1">
      <alignment horizontal="center" vertical="center"/>
    </xf>
    <xf numFmtId="167" fontId="0" fillId="0" borderId="5" xfId="1" applyNumberFormat="1" applyFont="1" applyFill="1" applyBorder="1" applyAlignment="1">
      <alignment horizontal="right" vertical="center"/>
    </xf>
    <xf numFmtId="167" fontId="0" fillId="0" borderId="5" xfId="1" applyNumberFormat="1" applyFont="1" applyBorder="1" applyAlignment="1">
      <alignment horizontal="right" vertical="center"/>
    </xf>
    <xf numFmtId="167" fontId="0" fillId="0" borderId="5" xfId="1" applyNumberFormat="1" applyFont="1" applyBorder="1"/>
    <xf numFmtId="167" fontId="0" fillId="0" borderId="5" xfId="1" applyNumberFormat="1" applyFont="1" applyFill="1" applyBorder="1"/>
    <xf numFmtId="167" fontId="0" fillId="0" borderId="5" xfId="1" applyNumberFormat="1" applyFont="1" applyFill="1" applyBorder="1" applyAlignment="1">
      <alignment vertical="center"/>
    </xf>
    <xf numFmtId="167" fontId="1" fillId="0" borderId="5" xfId="1" applyNumberFormat="1" applyFill="1" applyBorder="1" applyAlignment="1">
      <alignment horizontal="right" vertical="center"/>
    </xf>
    <xf numFmtId="167" fontId="0" fillId="0" borderId="0" xfId="1" applyNumberFormat="1" applyFont="1" applyBorder="1"/>
    <xf numFmtId="0" fontId="3" fillId="0" borderId="16" xfId="0" applyFont="1" applyBorder="1" applyAlignment="1">
      <alignment horizontal="left" wrapText="1"/>
    </xf>
    <xf numFmtId="166" fontId="3" fillId="0" borderId="17" xfId="3" applyNumberFormat="1" applyFont="1" applyBorder="1" applyAlignment="1">
      <alignment horizontal="right" vertical="center"/>
    </xf>
    <xf numFmtId="166" fontId="3" fillId="0" borderId="17" xfId="3" applyNumberFormat="1" applyFont="1" applyBorder="1" applyAlignment="1">
      <alignment horizontal="center" vertical="center"/>
    </xf>
    <xf numFmtId="166" fontId="3" fillId="0" borderId="18" xfId="3" applyNumberFormat="1" applyFont="1" applyBorder="1" applyAlignment="1">
      <alignment horizontal="center" vertical="center"/>
    </xf>
    <xf numFmtId="166" fontId="1" fillId="0" borderId="5" xfId="1" applyNumberFormat="1" applyFont="1" applyFill="1" applyBorder="1" applyAlignment="1">
      <alignment horizontal="center" vertical="center"/>
    </xf>
    <xf numFmtId="0" fontId="6" fillId="0" borderId="5" xfId="2" applyFont="1" applyFill="1" applyBorder="1" applyAlignment="1">
      <alignment horizontal="center" vertical="center"/>
    </xf>
    <xf numFmtId="0" fontId="0" fillId="0" borderId="5" xfId="0" applyBorder="1" applyAlignment="1">
      <alignment horizontal="right" vertical="center"/>
    </xf>
    <xf numFmtId="170" fontId="0" fillId="0" borderId="5" xfId="1" applyNumberFormat="1" applyFont="1" applyFill="1" applyBorder="1" applyAlignment="1">
      <alignment horizontal="right" vertical="center"/>
    </xf>
    <xf numFmtId="170" fontId="0" fillId="0" borderId="11" xfId="1" applyNumberFormat="1" applyFont="1" applyFill="1" applyBorder="1" applyAlignment="1">
      <alignment horizontal="right" vertical="center"/>
    </xf>
    <xf numFmtId="165" fontId="0" fillId="0" borderId="5" xfId="1" applyNumberFormat="1" applyFont="1" applyFill="1" applyBorder="1" applyAlignment="1">
      <alignment horizontal="right" vertical="center"/>
    </xf>
    <xf numFmtId="0" fontId="0" fillId="0" borderId="5" xfId="0" applyFill="1" applyBorder="1" applyAlignment="1">
      <alignment horizontal="center" vertical="center" wrapText="1"/>
    </xf>
    <xf numFmtId="0" fontId="0" fillId="0" borderId="7" xfId="0" applyFill="1" applyBorder="1" applyAlignment="1">
      <alignment horizontal="center" vertical="center" wrapText="1"/>
    </xf>
    <xf numFmtId="0" fontId="0" fillId="0" borderId="7" xfId="0" applyBorder="1" applyAlignment="1">
      <alignment horizontal="center" vertical="center"/>
    </xf>
    <xf numFmtId="0" fontId="0" fillId="0" borderId="13" xfId="0" applyBorder="1" applyAlignment="1">
      <alignment horizontal="left" vertical="center"/>
    </xf>
    <xf numFmtId="164" fontId="0" fillId="0" borderId="5" xfId="0" applyNumberFormat="1" applyFill="1" applyBorder="1"/>
    <xf numFmtId="0" fontId="7" fillId="0" borderId="5" xfId="2" applyFont="1" applyFill="1" applyBorder="1" applyAlignment="1">
      <alignment horizontal="center" vertical="center"/>
    </xf>
    <xf numFmtId="17" fontId="0" fillId="0" borderId="6" xfId="0" applyNumberFormat="1" applyFill="1" applyBorder="1" applyAlignment="1">
      <alignment horizontal="center" vertical="center"/>
    </xf>
    <xf numFmtId="0" fontId="0" fillId="0" borderId="7" xfId="0" applyFill="1" applyBorder="1" applyAlignment="1">
      <alignment vertical="center"/>
    </xf>
    <xf numFmtId="0" fontId="0" fillId="0" borderId="11" xfId="0" applyFill="1" applyBorder="1" applyAlignment="1">
      <alignment vertical="center"/>
    </xf>
    <xf numFmtId="0" fontId="0" fillId="0" borderId="9" xfId="0" applyFill="1" applyBorder="1" applyAlignment="1">
      <alignment vertical="center"/>
    </xf>
    <xf numFmtId="0" fontId="0" fillId="0" borderId="5" xfId="0" applyFill="1" applyBorder="1" applyAlignment="1">
      <alignment vertical="center" wrapText="1"/>
    </xf>
    <xf numFmtId="15" fontId="0" fillId="0" borderId="6" xfId="0" applyNumberFormat="1" applyFill="1" applyBorder="1" applyAlignment="1">
      <alignment vertical="center"/>
    </xf>
    <xf numFmtId="15" fontId="0" fillId="0" borderId="6" xfId="0" applyNumberFormat="1" applyFill="1" applyBorder="1" applyAlignment="1">
      <alignment horizontal="center" vertical="center"/>
    </xf>
    <xf numFmtId="0" fontId="6" fillId="0" borderId="5" xfId="2" applyFill="1" applyBorder="1" applyAlignment="1">
      <alignment horizontal="center" vertical="center"/>
    </xf>
    <xf numFmtId="170" fontId="0" fillId="0" borderId="5" xfId="1" applyNumberFormat="1" applyFont="1" applyFill="1" applyBorder="1" applyAlignment="1">
      <alignment vertical="center"/>
    </xf>
    <xf numFmtId="0" fontId="3" fillId="0" borderId="16" xfId="0" applyFont="1" applyFill="1" applyBorder="1"/>
    <xf numFmtId="0" fontId="3" fillId="0" borderId="27" xfId="0" applyFont="1" applyBorder="1"/>
    <xf numFmtId="0" fontId="10" fillId="0" borderId="4" xfId="0" applyFont="1" applyFill="1" applyBorder="1" applyAlignment="1">
      <alignment horizontal="left" vertical="center" wrapText="1" indent="1"/>
    </xf>
    <xf numFmtId="0" fontId="0" fillId="0" borderId="0" xfId="0" applyFont="1"/>
    <xf numFmtId="0" fontId="7" fillId="0" borderId="5" xfId="0" applyFont="1" applyFill="1" applyBorder="1" applyAlignment="1">
      <alignment horizontal="center" vertical="center" wrapText="1"/>
    </xf>
    <xf numFmtId="0" fontId="6" fillId="0" borderId="5" xfId="2" applyFill="1" applyBorder="1" applyAlignment="1">
      <alignment vertical="center" wrapText="1"/>
    </xf>
    <xf numFmtId="0" fontId="6" fillId="0" borderId="5" xfId="2" applyFill="1" applyBorder="1" applyAlignment="1">
      <alignment vertical="center"/>
    </xf>
    <xf numFmtId="0" fontId="4" fillId="2" borderId="2" xfId="0" applyFont="1" applyFill="1" applyBorder="1" applyAlignment="1"/>
    <xf numFmtId="167" fontId="0" fillId="0" borderId="11" xfId="1" applyNumberFormat="1" applyFont="1" applyFill="1" applyBorder="1" applyAlignment="1">
      <alignment horizontal="right" vertical="center"/>
    </xf>
    <xf numFmtId="1" fontId="0" fillId="0" borderId="5" xfId="0" applyNumberFormat="1" applyFill="1" applyBorder="1" applyAlignment="1">
      <alignment horizontal="right" vertical="center"/>
    </xf>
    <xf numFmtId="3" fontId="0" fillId="0" borderId="5" xfId="0" applyNumberFormat="1" applyFill="1" applyBorder="1" applyAlignment="1">
      <alignment horizontal="left" vertical="center"/>
    </xf>
    <xf numFmtId="167" fontId="0" fillId="0" borderId="7" xfId="1" applyNumberFormat="1" applyFont="1" applyFill="1" applyBorder="1" applyAlignment="1">
      <alignment vertical="center"/>
    </xf>
    <xf numFmtId="0" fontId="0" fillId="0" borderId="0" xfId="0" applyFill="1" applyBorder="1" applyAlignment="1">
      <alignment horizontal="left" vertical="center"/>
    </xf>
    <xf numFmtId="0" fontId="7" fillId="0" borderId="9" xfId="2" applyFont="1" applyFill="1" applyBorder="1" applyAlignment="1">
      <alignment horizontal="center" vertical="center"/>
    </xf>
    <xf numFmtId="166" fontId="0" fillId="0" borderId="11" xfId="1" applyNumberFormat="1" applyFont="1" applyFill="1" applyBorder="1" applyAlignment="1">
      <alignment horizontal="center" vertical="center" wrapText="1"/>
    </xf>
    <xf numFmtId="166" fontId="7" fillId="0" borderId="11" xfId="2" applyNumberFormat="1" applyFont="1" applyFill="1" applyBorder="1" applyAlignment="1">
      <alignment horizontal="center" vertical="center"/>
    </xf>
    <xf numFmtId="166" fontId="0" fillId="0" borderId="7" xfId="1" applyNumberFormat="1" applyFont="1" applyFill="1" applyBorder="1" applyAlignment="1">
      <alignment horizontal="center" vertical="center" wrapText="1"/>
    </xf>
    <xf numFmtId="166" fontId="7" fillId="0" borderId="7" xfId="2" applyNumberFormat="1" applyFont="1" applyFill="1" applyBorder="1" applyAlignment="1">
      <alignment horizontal="center" vertical="center"/>
    </xf>
    <xf numFmtId="167" fontId="3" fillId="0" borderId="28" xfId="1" applyNumberFormat="1" applyFont="1" applyBorder="1"/>
    <xf numFmtId="167" fontId="0" fillId="0" borderId="7" xfId="1" applyNumberFormat="1" applyFont="1" applyFill="1" applyBorder="1" applyAlignment="1">
      <alignment horizontal="center" vertical="center"/>
    </xf>
    <xf numFmtId="167" fontId="0" fillId="0" borderId="9" xfId="1" applyNumberFormat="1" applyFont="1" applyFill="1" applyBorder="1" applyAlignment="1">
      <alignment horizontal="center" vertical="center"/>
    </xf>
    <xf numFmtId="167" fontId="0" fillId="0" borderId="11" xfId="1" applyNumberFormat="1" applyFont="1" applyFill="1" applyBorder="1" applyAlignment="1">
      <alignment horizontal="center" vertical="center"/>
    </xf>
    <xf numFmtId="0" fontId="0" fillId="0" borderId="7" xfId="0" applyFill="1" applyBorder="1" applyAlignment="1">
      <alignment horizontal="center" vertical="center" wrapText="1"/>
    </xf>
    <xf numFmtId="0" fontId="0" fillId="0" borderId="11" xfId="0" applyFill="1" applyBorder="1" applyAlignment="1">
      <alignment horizontal="center" vertical="center" wrapText="1"/>
    </xf>
    <xf numFmtId="0" fontId="0" fillId="0" borderId="7" xfId="0" applyFill="1" applyBorder="1" applyAlignment="1">
      <alignment horizontal="center" vertical="center"/>
    </xf>
    <xf numFmtId="0" fontId="0" fillId="0" borderId="11" xfId="0" applyFill="1" applyBorder="1" applyAlignment="1">
      <alignment horizontal="center" vertical="center"/>
    </xf>
    <xf numFmtId="0" fontId="0" fillId="0" borderId="9" xfId="0" applyFill="1" applyBorder="1" applyAlignment="1">
      <alignment horizontal="center" vertical="center"/>
    </xf>
    <xf numFmtId="0" fontId="6" fillId="0" borderId="9" xfId="2" applyFill="1" applyBorder="1" applyAlignment="1">
      <alignment horizontal="center" vertical="center"/>
    </xf>
    <xf numFmtId="166" fontId="6" fillId="0" borderId="5" xfId="2" applyNumberFormat="1" applyFill="1" applyBorder="1" applyAlignment="1">
      <alignment horizontal="center" vertical="center" wrapText="1"/>
    </xf>
    <xf numFmtId="166" fontId="0" fillId="0" borderId="7" xfId="0" applyNumberFormat="1" applyFill="1" applyBorder="1" applyAlignment="1">
      <alignment horizontal="center" vertical="center"/>
    </xf>
    <xf numFmtId="166" fontId="6" fillId="0" borderId="7" xfId="2" applyNumberFormat="1" applyFill="1" applyBorder="1" applyAlignment="1">
      <alignment horizontal="center" vertical="center"/>
    </xf>
    <xf numFmtId="166" fontId="0" fillId="0" borderId="7" xfId="1" applyNumberFormat="1" applyFont="1" applyFill="1" applyBorder="1" applyAlignment="1">
      <alignment horizontal="center" vertical="center"/>
    </xf>
    <xf numFmtId="166" fontId="0" fillId="0" borderId="9" xfId="1" applyNumberFormat="1" applyFont="1" applyFill="1" applyBorder="1" applyAlignment="1">
      <alignment horizontal="center" vertical="center"/>
    </xf>
    <xf numFmtId="15" fontId="0" fillId="0" borderId="8" xfId="0" applyNumberFormat="1" applyFill="1" applyBorder="1" applyAlignment="1">
      <alignment horizontal="center" vertical="center"/>
    </xf>
    <xf numFmtId="15" fontId="0" fillId="0" borderId="10" xfId="0" applyNumberFormat="1" applyFill="1" applyBorder="1" applyAlignment="1">
      <alignment horizontal="center" vertical="center"/>
    </xf>
    <xf numFmtId="0" fontId="0" fillId="0" borderId="9" xfId="0" applyFill="1" applyBorder="1" applyAlignment="1">
      <alignment horizontal="left" vertical="center"/>
    </xf>
    <xf numFmtId="166" fontId="6" fillId="0" borderId="5" xfId="2" applyNumberFormat="1" applyFill="1" applyBorder="1" applyAlignment="1">
      <alignment horizontal="center" vertical="center"/>
    </xf>
    <xf numFmtId="166" fontId="0" fillId="0" borderId="5" xfId="1" applyNumberFormat="1" applyFont="1" applyFill="1" applyBorder="1" applyAlignment="1">
      <alignment horizontal="left" vertical="center" wrapText="1"/>
    </xf>
    <xf numFmtId="166" fontId="0" fillId="0" borderId="11" xfId="1" applyNumberFormat="1" applyFont="1" applyFill="1" applyBorder="1" applyAlignment="1">
      <alignment horizontal="center" vertical="center"/>
    </xf>
    <xf numFmtId="15" fontId="0" fillId="0" borderId="6" xfId="1" applyNumberFormat="1" applyFont="1" applyFill="1" applyBorder="1" applyAlignment="1">
      <alignment horizontal="center" vertical="center"/>
    </xf>
    <xf numFmtId="0" fontId="0" fillId="0" borderId="5" xfId="0" applyFill="1" applyBorder="1" applyAlignment="1">
      <alignment horizontal="center" vertical="center"/>
    </xf>
    <xf numFmtId="0" fontId="6" fillId="0" borderId="5" xfId="2" applyFill="1" applyBorder="1" applyAlignment="1">
      <alignment horizontal="center" vertical="center"/>
    </xf>
    <xf numFmtId="15" fontId="0" fillId="0" borderId="8" xfId="1" applyNumberFormat="1" applyFont="1" applyFill="1" applyBorder="1" applyAlignment="1">
      <alignment horizontal="center" vertical="center"/>
    </xf>
    <xf numFmtId="166" fontId="0" fillId="0" borderId="7" xfId="1" applyNumberFormat="1" applyFont="1" applyFill="1" applyBorder="1" applyAlignment="1">
      <alignment horizontal="left" vertical="center"/>
    </xf>
    <xf numFmtId="166" fontId="0" fillId="0" borderId="11" xfId="1" applyNumberFormat="1" applyFont="1" applyFill="1" applyBorder="1" applyAlignment="1">
      <alignment horizontal="left" vertical="center"/>
    </xf>
    <xf numFmtId="166" fontId="0" fillId="0" borderId="5" xfId="0" applyNumberFormat="1" applyFill="1" applyBorder="1" applyAlignment="1">
      <alignment horizontal="left" vertical="center" wrapText="1"/>
    </xf>
    <xf numFmtId="0" fontId="6" fillId="0" borderId="5" xfId="2" applyFill="1" applyBorder="1" applyAlignment="1">
      <alignment horizontal="center"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xf>
    <xf numFmtId="15" fontId="0" fillId="0" borderId="6" xfId="0" applyNumberFormat="1" applyFill="1" applyBorder="1" applyAlignment="1">
      <alignment horizontal="center" vertical="center"/>
    </xf>
    <xf numFmtId="0" fontId="0" fillId="0" borderId="6" xfId="0" applyFill="1" applyBorder="1" applyAlignment="1">
      <alignment horizontal="center" vertical="center"/>
    </xf>
    <xf numFmtId="166" fontId="0" fillId="0" borderId="5" xfId="1" applyNumberFormat="1" applyFont="1" applyFill="1" applyBorder="1" applyAlignment="1">
      <alignment horizontal="center" vertical="center"/>
    </xf>
    <xf numFmtId="167" fontId="0" fillId="0" borderId="7" xfId="1" applyNumberFormat="1" applyFont="1" applyFill="1" applyBorder="1" applyAlignment="1">
      <alignment horizontal="right" vertical="center"/>
    </xf>
    <xf numFmtId="15" fontId="0" fillId="0" borderId="12" xfId="0" applyNumberFormat="1" applyFill="1" applyBorder="1" applyAlignment="1">
      <alignment horizontal="center" vertical="center"/>
    </xf>
    <xf numFmtId="166" fontId="0" fillId="0" borderId="5" xfId="0" applyNumberFormat="1" applyFill="1" applyBorder="1" applyAlignment="1">
      <alignment horizontal="center" vertical="center"/>
    </xf>
    <xf numFmtId="166" fontId="0" fillId="0" borderId="5" xfId="0" applyNumberFormat="1" applyFill="1" applyBorder="1" applyAlignment="1">
      <alignment horizontal="left" vertical="center"/>
    </xf>
    <xf numFmtId="166" fontId="0" fillId="0" borderId="5" xfId="1" applyNumberFormat="1" applyFont="1" applyFill="1" applyBorder="1" applyAlignment="1">
      <alignment horizontal="center" vertical="center" wrapText="1"/>
    </xf>
    <xf numFmtId="166" fontId="0" fillId="0" borderId="7" xfId="0" applyNumberFormat="1" applyFill="1" applyBorder="1" applyAlignment="1">
      <alignment horizontal="left" vertical="center"/>
    </xf>
    <xf numFmtId="0" fontId="0" fillId="0" borderId="5" xfId="0" applyFill="1" applyBorder="1" applyAlignment="1">
      <alignment horizontal="center" vertical="center" wrapText="1"/>
    </xf>
    <xf numFmtId="0" fontId="7" fillId="0" borderId="9" xfId="0" applyFont="1" applyFill="1" applyBorder="1" applyAlignment="1">
      <alignment horizontal="center" vertical="center" wrapText="1"/>
    </xf>
    <xf numFmtId="166" fontId="0" fillId="0" borderId="5" xfId="1" applyNumberFormat="1" applyFont="1" applyFill="1" applyBorder="1" applyAlignment="1">
      <alignment horizontal="left" vertical="center"/>
    </xf>
    <xf numFmtId="0" fontId="0" fillId="0" borderId="5" xfId="0" applyBorder="1" applyAlignment="1">
      <alignment horizontal="center" vertical="center"/>
    </xf>
    <xf numFmtId="0" fontId="7" fillId="0" borderId="5" xfId="2" applyFont="1" applyFill="1" applyBorder="1" applyAlignment="1">
      <alignment horizontal="center" vertical="center" wrapText="1"/>
    </xf>
    <xf numFmtId="167" fontId="0" fillId="0" borderId="5" xfId="1" applyNumberFormat="1" applyFont="1" applyFill="1" applyBorder="1" applyAlignment="1">
      <alignment horizontal="center" vertical="center"/>
    </xf>
    <xf numFmtId="0" fontId="7" fillId="0" borderId="7" xfId="2" applyFont="1" applyFill="1" applyBorder="1" applyAlignment="1">
      <alignment horizontal="center" vertical="center"/>
    </xf>
    <xf numFmtId="166" fontId="3" fillId="0" borderId="17" xfId="0" applyNumberFormat="1" applyFont="1" applyBorder="1" applyAlignment="1">
      <alignment horizontal="right"/>
    </xf>
    <xf numFmtId="0" fontId="3" fillId="0" borderId="20" xfId="0" applyFont="1" applyBorder="1"/>
    <xf numFmtId="166" fontId="3" fillId="0" borderId="20" xfId="0" applyNumberFormat="1" applyFont="1" applyBorder="1" applyAlignment="1">
      <alignment horizontal="right"/>
    </xf>
    <xf numFmtId="0" fontId="3" fillId="0" borderId="19" xfId="0" applyFont="1" applyFill="1" applyBorder="1"/>
    <xf numFmtId="0" fontId="3" fillId="0" borderId="20" xfId="0" applyFont="1" applyBorder="1" applyAlignment="1">
      <alignment horizontal="right"/>
    </xf>
    <xf numFmtId="0" fontId="3" fillId="0" borderId="17" xfId="0" applyFont="1" applyBorder="1" applyAlignment="1">
      <alignment horizontal="right"/>
    </xf>
    <xf numFmtId="0" fontId="0" fillId="0" borderId="7" xfId="0" applyFill="1" applyBorder="1" applyAlignment="1">
      <alignment horizontal="center" vertical="center" wrapText="1"/>
    </xf>
    <xf numFmtId="0" fontId="0" fillId="0" borderId="11" xfId="0" applyFill="1" applyBorder="1" applyAlignment="1">
      <alignment horizontal="center" vertical="center" wrapText="1"/>
    </xf>
    <xf numFmtId="0" fontId="0" fillId="0" borderId="9" xfId="0" applyFill="1" applyBorder="1" applyAlignment="1">
      <alignment horizontal="center" vertical="center" wrapText="1"/>
    </xf>
    <xf numFmtId="0" fontId="0" fillId="0" borderId="5" xfId="0" applyFill="1" applyBorder="1" applyAlignment="1">
      <alignment horizontal="center" vertical="center" wrapText="1"/>
    </xf>
    <xf numFmtId="0" fontId="0" fillId="0" borderId="7" xfId="0" applyFill="1" applyBorder="1" applyAlignment="1">
      <alignment horizontal="center" vertical="center"/>
    </xf>
    <xf numFmtId="0" fontId="0" fillId="0" borderId="11" xfId="0" applyFill="1" applyBorder="1" applyAlignment="1">
      <alignment horizontal="center" vertical="center"/>
    </xf>
    <xf numFmtId="0" fontId="0" fillId="0" borderId="9" xfId="0" applyFill="1" applyBorder="1" applyAlignment="1">
      <alignment horizontal="center" vertical="center"/>
    </xf>
    <xf numFmtId="167" fontId="0" fillId="0" borderId="7" xfId="1" applyNumberFormat="1" applyFont="1" applyFill="1" applyBorder="1" applyAlignment="1">
      <alignment horizontal="center" vertical="center"/>
    </xf>
    <xf numFmtId="15" fontId="0" fillId="0" borderId="8" xfId="0" applyNumberFormat="1" applyFill="1" applyBorder="1" applyAlignment="1">
      <alignment horizontal="center" vertical="center"/>
    </xf>
    <xf numFmtId="0" fontId="0" fillId="0" borderId="13" xfId="0" applyFill="1" applyBorder="1" applyAlignment="1">
      <alignment horizontal="left" vertical="center" wrapText="1"/>
    </xf>
    <xf numFmtId="15" fontId="0" fillId="0" borderId="10" xfId="0" applyNumberFormat="1" applyFill="1" applyBorder="1" applyAlignment="1">
      <alignment horizontal="center" vertical="center"/>
    </xf>
    <xf numFmtId="0" fontId="0" fillId="0" borderId="5" xfId="0" applyFill="1" applyBorder="1" applyAlignment="1">
      <alignment horizontal="center" vertical="center"/>
    </xf>
    <xf numFmtId="0" fontId="6" fillId="0" borderId="5" xfId="2" applyFill="1" applyBorder="1" applyAlignment="1">
      <alignment horizontal="center" vertical="center"/>
    </xf>
    <xf numFmtId="0" fontId="0" fillId="0" borderId="5" xfId="0" applyFill="1" applyBorder="1" applyAlignment="1">
      <alignment horizontal="left" vertical="center" wrapText="1"/>
    </xf>
    <xf numFmtId="0" fontId="6" fillId="0" borderId="7" xfId="2" applyFill="1" applyBorder="1" applyAlignment="1">
      <alignment horizontal="center" vertical="center" wrapText="1"/>
    </xf>
    <xf numFmtId="0" fontId="0" fillId="0" borderId="7" xfId="0" applyFill="1" applyBorder="1" applyAlignment="1">
      <alignment horizontal="left" vertical="center" wrapText="1"/>
    </xf>
    <xf numFmtId="15" fontId="0" fillId="0" borderId="6" xfId="0" applyNumberFormat="1" applyFill="1" applyBorder="1" applyAlignment="1">
      <alignment horizontal="center" vertical="center"/>
    </xf>
    <xf numFmtId="0" fontId="0" fillId="0" borderId="6" xfId="0" applyFill="1" applyBorder="1" applyAlignment="1">
      <alignment horizontal="center" vertical="center"/>
    </xf>
    <xf numFmtId="166" fontId="6" fillId="0" borderId="5" xfId="2" applyNumberFormat="1" applyFill="1" applyBorder="1" applyAlignment="1">
      <alignment horizontal="center" vertical="center"/>
    </xf>
    <xf numFmtId="0" fontId="6" fillId="0" borderId="7" xfId="2" applyFill="1" applyBorder="1" applyAlignment="1">
      <alignment horizontal="center" vertical="center"/>
    </xf>
    <xf numFmtId="0" fontId="6" fillId="0" borderId="5" xfId="2" applyFill="1" applyBorder="1" applyAlignment="1">
      <alignment horizontal="center" vertical="center" wrapText="1"/>
    </xf>
    <xf numFmtId="0" fontId="0" fillId="0" borderId="9" xfId="0" applyFill="1" applyBorder="1" applyAlignment="1">
      <alignment horizontal="left" vertical="center"/>
    </xf>
    <xf numFmtId="0" fontId="0" fillId="0" borderId="4" xfId="0" applyFill="1" applyBorder="1" applyAlignment="1">
      <alignment horizontal="left" vertical="center" wrapText="1"/>
    </xf>
    <xf numFmtId="0" fontId="0" fillId="0" borderId="5" xfId="0" applyFill="1" applyBorder="1" applyAlignment="1">
      <alignment horizontal="left" vertical="center"/>
    </xf>
    <xf numFmtId="15" fontId="0" fillId="0" borderId="6" xfId="0" applyNumberFormat="1" applyFill="1" applyBorder="1" applyAlignment="1">
      <alignment horizontal="center" vertical="center" wrapText="1"/>
    </xf>
    <xf numFmtId="164" fontId="0" fillId="0" borderId="5" xfId="0" applyNumberFormat="1" applyFill="1" applyBorder="1" applyAlignment="1">
      <alignment horizontal="left" vertical="center"/>
    </xf>
    <xf numFmtId="0" fontId="0" fillId="0" borderId="0" xfId="0" applyFill="1" applyBorder="1" applyAlignment="1">
      <alignment horizontal="center" vertical="center"/>
    </xf>
    <xf numFmtId="0" fontId="0" fillId="0" borderId="5" xfId="0" applyBorder="1" applyAlignment="1">
      <alignment horizontal="center" vertical="center"/>
    </xf>
    <xf numFmtId="167" fontId="0" fillId="0" borderId="5" xfId="1" applyNumberFormat="1" applyFont="1" applyFill="1" applyBorder="1" applyAlignment="1">
      <alignment horizontal="center" vertical="center"/>
    </xf>
    <xf numFmtId="0" fontId="0" fillId="0" borderId="5" xfId="0" applyFill="1" applyBorder="1" applyAlignment="1">
      <alignment vertical="center"/>
    </xf>
    <xf numFmtId="0" fontId="7" fillId="0" borderId="5" xfId="0" applyFont="1" applyFill="1" applyBorder="1" applyAlignment="1">
      <alignment horizontal="center" vertical="center"/>
    </xf>
    <xf numFmtId="17" fontId="0" fillId="0" borderId="8" xfId="0" applyNumberFormat="1" applyFill="1" applyBorder="1" applyAlignment="1">
      <alignment horizontal="center" vertical="center"/>
    </xf>
    <xf numFmtId="0" fontId="17" fillId="0" borderId="0" xfId="0" applyFont="1" applyAlignment="1">
      <alignment horizontal="left"/>
    </xf>
    <xf numFmtId="3" fontId="0" fillId="0" borderId="5" xfId="0" applyNumberFormat="1" applyFill="1" applyBorder="1" applyAlignment="1">
      <alignment horizontal="center" vertical="center" wrapText="1"/>
    </xf>
    <xf numFmtId="0" fontId="0" fillId="0" borderId="5" xfId="0" applyFill="1" applyBorder="1" applyAlignment="1">
      <alignment horizontal="center" vertical="center"/>
    </xf>
    <xf numFmtId="166" fontId="0" fillId="0" borderId="5" xfId="1" applyNumberFormat="1" applyFont="1" applyFill="1" applyBorder="1" applyAlignment="1">
      <alignment horizontal="center" vertical="center"/>
    </xf>
    <xf numFmtId="166" fontId="0" fillId="0" borderId="5" xfId="1" applyNumberFormat="1" applyFont="1" applyFill="1" applyBorder="1" applyAlignment="1">
      <alignment horizontal="center" vertical="center" wrapText="1"/>
    </xf>
    <xf numFmtId="0" fontId="0" fillId="0" borderId="7" xfId="0" applyBorder="1" applyAlignment="1">
      <alignment horizontal="center" vertical="center"/>
    </xf>
    <xf numFmtId="166" fontId="0" fillId="0" borderId="5" xfId="1" applyNumberFormat="1" applyFont="1" applyFill="1" applyBorder="1" applyAlignment="1">
      <alignment horizontal="right" vertical="center" wrapText="1"/>
    </xf>
    <xf numFmtId="167" fontId="0" fillId="0" borderId="7" xfId="1" applyNumberFormat="1" applyFont="1" applyFill="1" applyBorder="1" applyAlignment="1">
      <alignment horizontal="center" vertical="center"/>
    </xf>
    <xf numFmtId="167" fontId="0" fillId="0" borderId="9" xfId="1" applyNumberFormat="1" applyFont="1" applyFill="1" applyBorder="1" applyAlignment="1">
      <alignment horizontal="center" vertical="center"/>
    </xf>
    <xf numFmtId="167" fontId="0" fillId="0" borderId="11" xfId="1" applyNumberFormat="1" applyFont="1" applyFill="1" applyBorder="1" applyAlignment="1">
      <alignment horizontal="center" vertical="center"/>
    </xf>
    <xf numFmtId="0" fontId="0" fillId="0" borderId="7" xfId="0" applyFill="1" applyBorder="1" applyAlignment="1">
      <alignment horizontal="center" vertical="center" wrapText="1"/>
    </xf>
    <xf numFmtId="0" fontId="0" fillId="0" borderId="11" xfId="0" applyFill="1" applyBorder="1" applyAlignment="1">
      <alignment horizontal="center" vertical="center" wrapText="1"/>
    </xf>
    <xf numFmtId="0" fontId="0" fillId="0" borderId="9" xfId="0" applyFill="1" applyBorder="1" applyAlignment="1">
      <alignment horizontal="center" vertical="center" wrapText="1"/>
    </xf>
    <xf numFmtId="0" fontId="0" fillId="0" borderId="4" xfId="0" applyFill="1" applyBorder="1" applyAlignment="1">
      <alignment horizontal="left" vertical="center" wrapText="1"/>
    </xf>
    <xf numFmtId="0" fontId="0" fillId="0" borderId="7" xfId="0" applyFill="1" applyBorder="1" applyAlignment="1">
      <alignment horizontal="center" vertical="center"/>
    </xf>
    <xf numFmtId="0" fontId="0" fillId="0" borderId="11" xfId="0" applyFill="1" applyBorder="1" applyAlignment="1">
      <alignment horizontal="center" vertical="center"/>
    </xf>
    <xf numFmtId="0" fontId="0" fillId="0" borderId="9" xfId="0" applyFill="1" applyBorder="1" applyAlignment="1">
      <alignment horizontal="center" vertical="center"/>
    </xf>
    <xf numFmtId="0" fontId="0" fillId="0" borderId="7" xfId="0" applyFont="1" applyFill="1" applyBorder="1" applyAlignment="1">
      <alignment horizontal="center" vertical="center" wrapText="1"/>
    </xf>
    <xf numFmtId="0" fontId="0" fillId="0" borderId="11" xfId="0" applyFont="1" applyFill="1" applyBorder="1" applyAlignment="1">
      <alignment horizontal="center" vertical="center" wrapText="1"/>
    </xf>
    <xf numFmtId="1" fontId="0" fillId="0" borderId="9" xfId="0" applyNumberFormat="1" applyFill="1" applyBorder="1" applyAlignment="1">
      <alignment horizontal="right" vertical="center"/>
    </xf>
    <xf numFmtId="166" fontId="6" fillId="0" borderId="5" xfId="2" applyNumberFormat="1" applyFill="1" applyBorder="1" applyAlignment="1">
      <alignment horizontal="center" vertical="center" wrapText="1"/>
    </xf>
    <xf numFmtId="166" fontId="0" fillId="0" borderId="7" xfId="1" applyNumberFormat="1" applyFont="1" applyFill="1" applyBorder="1" applyAlignment="1">
      <alignment horizontal="center" vertical="center"/>
    </xf>
    <xf numFmtId="166" fontId="0" fillId="0" borderId="9" xfId="1" applyNumberFormat="1" applyFont="1" applyFill="1" applyBorder="1" applyAlignment="1">
      <alignment horizontal="center" vertical="center"/>
    </xf>
    <xf numFmtId="167" fontId="0" fillId="0" borderId="7" xfId="1" applyNumberFormat="1" applyFont="1" applyFill="1" applyBorder="1" applyAlignment="1">
      <alignment horizontal="right" vertical="center"/>
    </xf>
    <xf numFmtId="166" fontId="0" fillId="0" borderId="11" xfId="1" applyNumberFormat="1" applyFont="1" applyFill="1" applyBorder="1" applyAlignment="1">
      <alignment horizontal="center" vertical="center"/>
    </xf>
    <xf numFmtId="166" fontId="0" fillId="0" borderId="9" xfId="1" applyNumberFormat="1" applyFont="1" applyFill="1" applyBorder="1" applyAlignment="1">
      <alignment horizontal="left" vertical="center"/>
    </xf>
    <xf numFmtId="0" fontId="0" fillId="0" borderId="5" xfId="0" applyFill="1" applyBorder="1" applyAlignment="1">
      <alignment horizontal="center" vertical="center"/>
    </xf>
    <xf numFmtId="166" fontId="6" fillId="0" borderId="5" xfId="2" applyNumberFormat="1" applyFill="1" applyBorder="1" applyAlignment="1">
      <alignment horizontal="center" vertical="center"/>
    </xf>
    <xf numFmtId="0" fontId="0" fillId="0" borderId="6" xfId="0" applyFill="1" applyBorder="1" applyAlignment="1">
      <alignment horizontal="center" vertical="center"/>
    </xf>
    <xf numFmtId="166" fontId="0" fillId="0" borderId="5" xfId="1" applyNumberFormat="1" applyFont="1" applyFill="1" applyBorder="1" applyAlignment="1">
      <alignment horizontal="center" vertical="center"/>
    </xf>
    <xf numFmtId="0" fontId="0" fillId="0" borderId="5" xfId="0" applyFill="1" applyBorder="1" applyAlignment="1">
      <alignment horizontal="center" vertical="center" wrapText="1"/>
    </xf>
    <xf numFmtId="0" fontId="0" fillId="0" borderId="5" xfId="0" applyFill="1" applyBorder="1" applyAlignment="1">
      <alignment horizontal="left" vertical="center"/>
    </xf>
    <xf numFmtId="0" fontId="0" fillId="0" borderId="10" xfId="0" applyFill="1" applyBorder="1" applyAlignment="1">
      <alignment horizontal="center" vertical="center"/>
    </xf>
    <xf numFmtId="0" fontId="7" fillId="0" borderId="9" xfId="0" applyFont="1" applyFill="1" applyBorder="1" applyAlignment="1">
      <alignment horizontal="center" vertical="center" wrapText="1"/>
    </xf>
    <xf numFmtId="166" fontId="7" fillId="0" borderId="9" xfId="1" applyNumberFormat="1" applyFont="1" applyFill="1" applyBorder="1" applyAlignment="1">
      <alignment horizontal="center" vertical="center" wrapText="1"/>
    </xf>
    <xf numFmtId="166" fontId="7" fillId="0" borderId="9" xfId="2" applyNumberFormat="1" applyFont="1" applyFill="1" applyBorder="1" applyAlignment="1">
      <alignment horizontal="center" vertical="center" wrapText="1"/>
    </xf>
    <xf numFmtId="0" fontId="0" fillId="0" borderId="5" xfId="0" applyBorder="1" applyAlignment="1">
      <alignment horizontal="center" vertical="center"/>
    </xf>
    <xf numFmtId="170" fontId="0" fillId="0" borderId="9" xfId="1" applyNumberFormat="1" applyFont="1" applyFill="1" applyBorder="1" applyAlignment="1">
      <alignment horizontal="center" vertical="center"/>
    </xf>
    <xf numFmtId="167" fontId="0" fillId="0" borderId="5" xfId="1" applyNumberFormat="1" applyFont="1" applyFill="1" applyBorder="1" applyAlignment="1">
      <alignment horizontal="center" vertical="center"/>
    </xf>
    <xf numFmtId="0" fontId="7" fillId="0" borderId="5" xfId="2" applyFont="1" applyFill="1" applyBorder="1" applyAlignment="1">
      <alignment horizontal="center" vertical="center" wrapText="1"/>
    </xf>
    <xf numFmtId="0" fontId="0" fillId="0" borderId="6" xfId="0" applyBorder="1" applyAlignment="1">
      <alignment horizontal="center" vertical="center"/>
    </xf>
    <xf numFmtId="167" fontId="0" fillId="0" borderId="11" xfId="1" applyNumberFormat="1" applyFont="1" applyFill="1" applyBorder="1" applyAlignment="1">
      <alignment horizontal="center" vertical="center" wrapText="1"/>
    </xf>
    <xf numFmtId="3" fontId="0" fillId="0" borderId="23" xfId="0" applyNumberFormat="1" applyBorder="1" applyAlignment="1">
      <alignment horizontal="center" vertical="center" wrapText="1"/>
    </xf>
    <xf numFmtId="0" fontId="0" fillId="0" borderId="5" xfId="0" applyFill="1" applyBorder="1" applyAlignment="1">
      <alignment horizontal="center" vertical="center" wrapText="1"/>
    </xf>
    <xf numFmtId="0" fontId="0" fillId="0" borderId="5" xfId="0" applyFill="1"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1" fontId="0" fillId="0" borderId="0" xfId="0" applyNumberFormat="1" applyAlignment="1">
      <alignment vertical="center"/>
    </xf>
    <xf numFmtId="167" fontId="0" fillId="0" borderId="5" xfId="1" applyNumberFormat="1" applyFont="1" applyFill="1" applyBorder="1" applyAlignment="1">
      <alignment horizontal="center" vertical="center" wrapText="1"/>
    </xf>
    <xf numFmtId="172" fontId="0" fillId="0" borderId="0" xfId="1" applyNumberFormat="1" applyFont="1"/>
    <xf numFmtId="165" fontId="0" fillId="0" borderId="5" xfId="1" applyNumberFormat="1" applyFont="1" applyFill="1" applyBorder="1" applyAlignment="1">
      <alignment vertical="center"/>
    </xf>
    <xf numFmtId="171" fontId="0" fillId="0" borderId="0" xfId="0" applyNumberFormat="1" applyAlignment="1">
      <alignment vertical="center"/>
    </xf>
    <xf numFmtId="167" fontId="0" fillId="0" borderId="7" xfId="1" applyNumberFormat="1" applyFont="1" applyFill="1" applyBorder="1" applyAlignment="1">
      <alignment horizontal="center" vertical="center"/>
    </xf>
    <xf numFmtId="167" fontId="0" fillId="0" borderId="9" xfId="1" applyNumberFormat="1" applyFont="1" applyFill="1" applyBorder="1" applyAlignment="1">
      <alignment horizontal="center" vertical="center"/>
    </xf>
    <xf numFmtId="0" fontId="0" fillId="0" borderId="7" xfId="0" applyFill="1" applyBorder="1" applyAlignment="1">
      <alignment horizontal="center" vertical="center"/>
    </xf>
    <xf numFmtId="0" fontId="0" fillId="0" borderId="9" xfId="0" applyFill="1" applyBorder="1" applyAlignment="1">
      <alignment horizontal="center" vertical="center"/>
    </xf>
    <xf numFmtId="0" fontId="0" fillId="0" borderId="7" xfId="0" applyFill="1" applyBorder="1" applyAlignment="1">
      <alignment horizontal="center" vertical="center" wrapText="1"/>
    </xf>
    <xf numFmtId="0" fontId="0" fillId="0" borderId="9" xfId="0" applyFill="1" applyBorder="1" applyAlignment="1">
      <alignment horizontal="center" vertical="center" wrapText="1"/>
    </xf>
    <xf numFmtId="167" fontId="0" fillId="0" borderId="7" xfId="1" applyNumberFormat="1" applyFont="1" applyFill="1" applyBorder="1" applyAlignment="1">
      <alignment horizontal="right" vertical="center"/>
    </xf>
    <xf numFmtId="167" fontId="0" fillId="0" borderId="5" xfId="1" applyNumberFormat="1" applyFont="1" applyFill="1" applyBorder="1" applyAlignment="1">
      <alignment horizontal="right" vertical="center"/>
    </xf>
    <xf numFmtId="0" fontId="0" fillId="0" borderId="5" xfId="0" applyFill="1" applyBorder="1" applyAlignment="1">
      <alignment horizontal="center" vertical="center"/>
    </xf>
    <xf numFmtId="0" fontId="6" fillId="0" borderId="5" xfId="2" applyFill="1" applyBorder="1" applyAlignment="1">
      <alignment horizontal="center" vertical="center"/>
    </xf>
    <xf numFmtId="15" fontId="0" fillId="0" borderId="6" xfId="0" applyNumberFormat="1" applyFill="1" applyBorder="1" applyAlignment="1">
      <alignment horizontal="center" vertical="center"/>
    </xf>
    <xf numFmtId="0" fontId="0" fillId="0" borderId="5" xfId="0" applyFill="1" applyBorder="1" applyAlignment="1">
      <alignment horizontal="center" vertical="center" wrapText="1"/>
    </xf>
    <xf numFmtId="0" fontId="7" fillId="0" borderId="9" xfId="0" applyFont="1" applyFill="1" applyBorder="1" applyAlignment="1">
      <alignment horizontal="center" vertical="center" wrapText="1"/>
    </xf>
    <xf numFmtId="167" fontId="0" fillId="0" borderId="5" xfId="1" applyNumberFormat="1" applyFont="1" applyFill="1" applyBorder="1" applyAlignment="1">
      <alignment horizontal="center" vertical="center"/>
    </xf>
    <xf numFmtId="167" fontId="0" fillId="0" borderId="5" xfId="1" applyNumberFormat="1" applyFont="1" applyFill="1" applyBorder="1" applyAlignment="1">
      <alignment vertical="center"/>
    </xf>
    <xf numFmtId="0" fontId="7" fillId="0" borderId="5" xfId="2" applyFont="1" applyFill="1" applyBorder="1" applyAlignment="1">
      <alignment horizontal="center" vertical="center" wrapText="1"/>
    </xf>
    <xf numFmtId="0" fontId="0" fillId="0" borderId="5" xfId="0" applyFill="1" applyBorder="1" applyAlignment="1">
      <alignment vertical="center"/>
    </xf>
    <xf numFmtId="166" fontId="6" fillId="0" borderId="5" xfId="2" applyNumberFormat="1" applyFill="1" applyBorder="1" applyAlignment="1">
      <alignment horizontal="center" vertical="center"/>
    </xf>
    <xf numFmtId="0" fontId="0" fillId="0" borderId="5" xfId="0" applyFill="1" applyBorder="1" applyAlignment="1">
      <alignment horizontal="center" vertical="center"/>
    </xf>
    <xf numFmtId="0" fontId="6" fillId="0" borderId="5" xfId="2" applyFill="1" applyBorder="1" applyAlignment="1">
      <alignment horizontal="center" vertical="center"/>
    </xf>
    <xf numFmtId="0" fontId="0" fillId="0" borderId="5" xfId="0" applyFill="1" applyBorder="1" applyAlignment="1">
      <alignment horizontal="center" vertical="center" wrapText="1"/>
    </xf>
    <xf numFmtId="167" fontId="0" fillId="0" borderId="5" xfId="1" applyNumberFormat="1" applyFont="1" applyFill="1" applyBorder="1" applyAlignment="1">
      <alignment horizontal="right" vertical="center"/>
    </xf>
    <xf numFmtId="167" fontId="0" fillId="0" borderId="5" xfId="1" applyNumberFormat="1" applyFont="1" applyFill="1" applyBorder="1" applyAlignment="1">
      <alignment horizontal="center" vertical="center"/>
    </xf>
    <xf numFmtId="0" fontId="7" fillId="0" borderId="5" xfId="2" applyFont="1" applyFill="1" applyBorder="1" applyAlignment="1">
      <alignment horizontal="center" vertical="center" wrapText="1"/>
    </xf>
    <xf numFmtId="0" fontId="0" fillId="0" borderId="11" xfId="0" applyBorder="1"/>
    <xf numFmtId="167" fontId="0" fillId="0" borderId="11" xfId="1" applyNumberFormat="1" applyFont="1" applyBorder="1" applyAlignment="1">
      <alignment horizontal="right" vertical="center"/>
    </xf>
    <xf numFmtId="167" fontId="0" fillId="0" borderId="5" xfId="1" applyNumberFormat="1" applyFont="1" applyFill="1" applyBorder="1" applyAlignment="1">
      <alignment horizontal="right" vertical="center"/>
    </xf>
    <xf numFmtId="0" fontId="0" fillId="0" borderId="5" xfId="0" applyFill="1" applyBorder="1" applyAlignment="1">
      <alignment horizontal="center" vertical="center"/>
    </xf>
    <xf numFmtId="0" fontId="0" fillId="0" borderId="5" xfId="0" applyFill="1" applyBorder="1" applyAlignment="1">
      <alignment horizontal="center" vertical="center" wrapText="1"/>
    </xf>
    <xf numFmtId="167" fontId="0" fillId="0" borderId="5" xfId="1" applyNumberFormat="1" applyFont="1" applyFill="1" applyBorder="1" applyAlignment="1">
      <alignment vertical="center"/>
    </xf>
    <xf numFmtId="0" fontId="0" fillId="0" borderId="5" xfId="0" applyBorder="1" applyAlignment="1">
      <alignment horizontal="center"/>
    </xf>
    <xf numFmtId="0" fontId="0" fillId="0" borderId="7" xfId="0" applyBorder="1" applyAlignment="1">
      <alignment horizontal="center"/>
    </xf>
    <xf numFmtId="1" fontId="0" fillId="0" borderId="5" xfId="0" applyNumberFormat="1" applyBorder="1"/>
    <xf numFmtId="0" fontId="0" fillId="0" borderId="5" xfId="0" applyBorder="1" applyAlignment="1">
      <alignment horizontal="center" vertical="center"/>
    </xf>
    <xf numFmtId="15" fontId="0" fillId="0" borderId="6" xfId="0" applyNumberFormat="1" applyFill="1" applyBorder="1" applyAlignment="1">
      <alignment horizontal="center" vertical="center"/>
    </xf>
    <xf numFmtId="0" fontId="0" fillId="0" borderId="6" xfId="0" applyFill="1" applyBorder="1" applyAlignment="1">
      <alignment horizontal="center" vertical="center"/>
    </xf>
    <xf numFmtId="0" fontId="0" fillId="0" borderId="5" xfId="0" applyFill="1" applyBorder="1" applyAlignment="1">
      <alignment horizontal="left" vertical="center" wrapText="1"/>
    </xf>
    <xf numFmtId="0" fontId="6" fillId="0" borderId="5" xfId="2" applyBorder="1" applyAlignment="1">
      <alignment horizontal="center" vertical="center"/>
    </xf>
    <xf numFmtId="166" fontId="3" fillId="0" borderId="20" xfId="0" applyNumberFormat="1" applyFont="1" applyBorder="1" applyAlignment="1">
      <alignment vertical="center"/>
    </xf>
    <xf numFmtId="0" fontId="6" fillId="0" borderId="5" xfId="2" applyBorder="1" applyAlignment="1">
      <alignment horizontal="center" vertical="center" wrapText="1"/>
    </xf>
    <xf numFmtId="0" fontId="0" fillId="0" borderId="7" xfId="0" applyFill="1" applyBorder="1" applyAlignment="1">
      <alignment horizontal="center" vertical="center"/>
    </xf>
    <xf numFmtId="0" fontId="6" fillId="0" borderId="7" xfId="2" applyFill="1" applyBorder="1" applyAlignment="1">
      <alignment horizontal="center" vertical="center"/>
    </xf>
    <xf numFmtId="166" fontId="6" fillId="0" borderId="7" xfId="2" applyNumberFormat="1" applyFill="1" applyBorder="1" applyAlignment="1">
      <alignment horizontal="center" vertical="center"/>
    </xf>
    <xf numFmtId="0" fontId="0" fillId="0" borderId="13" xfId="0" applyFill="1" applyBorder="1" applyAlignment="1">
      <alignment horizontal="left" vertical="center" wrapText="1"/>
    </xf>
    <xf numFmtId="0" fontId="0" fillId="0" borderId="7" xfId="0" applyFill="1" applyBorder="1" applyAlignment="1">
      <alignment horizontal="center" vertical="center" wrapText="1"/>
    </xf>
    <xf numFmtId="0" fontId="0" fillId="0" borderId="4" xfId="0" applyFill="1" applyBorder="1" applyAlignment="1">
      <alignment horizontal="left" vertical="center" wrapText="1"/>
    </xf>
    <xf numFmtId="0" fontId="0" fillId="0" borderId="5" xfId="0" applyBorder="1" applyAlignment="1">
      <alignment horizontal="center" vertical="center"/>
    </xf>
    <xf numFmtId="167" fontId="0" fillId="0" borderId="7" xfId="1" applyNumberFormat="1" applyFont="1" applyFill="1" applyBorder="1" applyAlignment="1">
      <alignment horizontal="right" vertical="center"/>
    </xf>
    <xf numFmtId="0" fontId="6" fillId="0" borderId="5" xfId="2" applyFill="1" applyBorder="1" applyAlignment="1">
      <alignment horizontal="center" vertical="center"/>
    </xf>
    <xf numFmtId="166" fontId="6" fillId="0" borderId="5" xfId="2" applyNumberFormat="1" applyFill="1" applyBorder="1" applyAlignment="1">
      <alignment horizontal="center" vertical="center"/>
    </xf>
    <xf numFmtId="0" fontId="0" fillId="0" borderId="7" xfId="0" applyFill="1" applyBorder="1" applyAlignment="1">
      <alignment horizontal="left" vertical="center"/>
    </xf>
    <xf numFmtId="0" fontId="0" fillId="0" borderId="5" xfId="0" applyFill="1" applyBorder="1" applyAlignment="1">
      <alignment horizontal="center" vertical="center"/>
    </xf>
    <xf numFmtId="0" fontId="0" fillId="0" borderId="5" xfId="0" applyFill="1" applyBorder="1" applyAlignment="1">
      <alignment horizontal="center" vertical="center" wrapText="1"/>
    </xf>
    <xf numFmtId="0" fontId="0" fillId="0" borderId="5" xfId="0" applyFill="1" applyBorder="1" applyAlignment="1">
      <alignment horizontal="left" vertical="center" wrapText="1"/>
    </xf>
    <xf numFmtId="0" fontId="0" fillId="0" borderId="7" xfId="0" applyFill="1" applyBorder="1" applyAlignment="1">
      <alignment horizontal="left" vertical="center" wrapText="1"/>
    </xf>
    <xf numFmtId="15" fontId="0" fillId="0" borderId="6" xfId="0" applyNumberFormat="1" applyFill="1" applyBorder="1" applyAlignment="1">
      <alignment horizontal="center" vertical="center"/>
    </xf>
    <xf numFmtId="0" fontId="0" fillId="0" borderId="6" xfId="0" applyFill="1" applyBorder="1" applyAlignment="1">
      <alignment horizontal="center" vertical="center"/>
    </xf>
    <xf numFmtId="0" fontId="6" fillId="0" borderId="5" xfId="2" applyFill="1" applyBorder="1" applyAlignment="1">
      <alignment horizontal="center" vertical="center" wrapText="1"/>
    </xf>
    <xf numFmtId="0" fontId="0" fillId="0" borderId="5" xfId="0" applyFill="1" applyBorder="1" applyAlignment="1">
      <alignment horizontal="left" vertical="center"/>
    </xf>
    <xf numFmtId="0" fontId="0" fillId="0" borderId="8" xfId="0" applyFill="1" applyBorder="1" applyAlignment="1">
      <alignment horizontal="center" vertical="center"/>
    </xf>
    <xf numFmtId="167" fontId="0" fillId="0" borderId="5" xfId="1" applyNumberFormat="1" applyFont="1" applyFill="1" applyBorder="1" applyAlignment="1">
      <alignment horizontal="right" vertical="center"/>
    </xf>
    <xf numFmtId="0" fontId="0" fillId="0" borderId="7" xfId="0" applyBorder="1" applyAlignment="1">
      <alignment horizontal="center" vertical="center"/>
    </xf>
    <xf numFmtId="0" fontId="7" fillId="0" borderId="5" xfId="0" applyFont="1" applyFill="1" applyBorder="1" applyAlignment="1">
      <alignment horizontal="center" vertical="center"/>
    </xf>
    <xf numFmtId="17" fontId="0" fillId="0" borderId="8" xfId="0" applyNumberFormat="1" applyFill="1" applyBorder="1" applyAlignment="1">
      <alignment horizontal="center" vertical="center"/>
    </xf>
    <xf numFmtId="0" fontId="0" fillId="0" borderId="4" xfId="0" applyFill="1" applyBorder="1" applyAlignment="1">
      <alignment horizontal="left" vertical="center"/>
    </xf>
    <xf numFmtId="15" fontId="0" fillId="0" borderId="6" xfId="0" applyNumberFormat="1" applyFill="1" applyBorder="1" applyAlignment="1">
      <alignment horizontal="center" vertical="center"/>
    </xf>
    <xf numFmtId="0" fontId="3" fillId="0" borderId="0" xfId="0" applyFont="1" applyFill="1" applyBorder="1" applyAlignment="1">
      <alignment wrapText="1"/>
    </xf>
    <xf numFmtId="0" fontId="3" fillId="0" borderId="19" xfId="0" applyFont="1" applyBorder="1" applyAlignment="1">
      <alignment wrapText="1"/>
    </xf>
    <xf numFmtId="0" fontId="3" fillId="0" borderId="27" xfId="0" applyFont="1" applyBorder="1" applyAlignment="1">
      <alignment wrapText="1"/>
    </xf>
    <xf numFmtId="0" fontId="3" fillId="0" borderId="21" xfId="0" applyFont="1" applyBorder="1"/>
    <xf numFmtId="0" fontId="3" fillId="0" borderId="16" xfId="0" applyFont="1" applyFill="1" applyBorder="1" applyAlignment="1">
      <alignment wrapText="1"/>
    </xf>
    <xf numFmtId="1" fontId="0" fillId="0" borderId="17" xfId="0" applyNumberFormat="1" applyBorder="1"/>
    <xf numFmtId="166" fontId="3" fillId="0" borderId="17" xfId="3" applyNumberFormat="1" applyFont="1" applyBorder="1"/>
    <xf numFmtId="166" fontId="3" fillId="0" borderId="17" xfId="3" applyNumberFormat="1" applyFont="1" applyBorder="1" applyAlignment="1">
      <alignment horizontal="right"/>
    </xf>
    <xf numFmtId="15" fontId="7" fillId="0" borderId="6" xfId="0" applyNumberFormat="1" applyFont="1" applyFill="1" applyBorder="1" applyAlignment="1">
      <alignment horizontal="center" vertical="center"/>
    </xf>
    <xf numFmtId="0" fontId="7" fillId="0" borderId="5" xfId="0" applyFont="1" applyFill="1" applyBorder="1" applyAlignment="1">
      <alignment horizontal="left" vertical="center" wrapText="1"/>
    </xf>
    <xf numFmtId="166" fontId="0" fillId="0" borderId="5" xfId="1" applyNumberFormat="1" applyFont="1" applyFill="1" applyBorder="1" applyAlignment="1">
      <alignment horizontal="center" vertical="center"/>
    </xf>
    <xf numFmtId="0" fontId="0" fillId="0" borderId="7" xfId="0" applyFill="1" applyBorder="1" applyAlignment="1">
      <alignment horizontal="left" vertical="center"/>
    </xf>
    <xf numFmtId="0" fontId="0" fillId="0" borderId="11" xfId="0" applyFill="1" applyBorder="1" applyAlignment="1">
      <alignment horizontal="left" vertical="center"/>
    </xf>
    <xf numFmtId="0" fontId="0" fillId="0" borderId="9" xfId="0" applyFill="1" applyBorder="1" applyAlignment="1">
      <alignment horizontal="left" vertical="center"/>
    </xf>
    <xf numFmtId="15" fontId="0" fillId="0" borderId="8" xfId="0" applyNumberFormat="1" applyFill="1" applyBorder="1" applyAlignment="1">
      <alignment horizontal="center" vertical="center"/>
    </xf>
    <xf numFmtId="15" fontId="0" fillId="0" borderId="12" xfId="0" applyNumberFormat="1" applyFill="1" applyBorder="1" applyAlignment="1">
      <alignment horizontal="center" vertical="center"/>
    </xf>
    <xf numFmtId="15" fontId="0" fillId="0" borderId="10" xfId="0" applyNumberFormat="1" applyFill="1" applyBorder="1" applyAlignment="1">
      <alignment horizontal="center" vertical="center"/>
    </xf>
    <xf numFmtId="0" fontId="0" fillId="0" borderId="7" xfId="0" applyFill="1" applyBorder="1" applyAlignment="1">
      <alignment horizontal="center" vertical="center"/>
    </xf>
    <xf numFmtId="0" fontId="0" fillId="0" borderId="11" xfId="0" applyFill="1" applyBorder="1" applyAlignment="1">
      <alignment horizontal="center" vertical="center"/>
    </xf>
    <xf numFmtId="0" fontId="0" fillId="0" borderId="9" xfId="0" applyFill="1" applyBorder="1" applyAlignment="1">
      <alignment horizontal="center" vertical="center"/>
    </xf>
    <xf numFmtId="166" fontId="6" fillId="0" borderId="5" xfId="2" applyNumberFormat="1" applyFill="1" applyBorder="1" applyAlignment="1">
      <alignment horizontal="center" vertical="center"/>
    </xf>
    <xf numFmtId="166" fontId="6" fillId="0" borderId="7" xfId="2" applyNumberFormat="1" applyFill="1" applyBorder="1" applyAlignment="1">
      <alignment horizontal="center" vertical="center" wrapText="1"/>
    </xf>
    <xf numFmtId="166" fontId="6" fillId="0" borderId="9" xfId="2" applyNumberFormat="1" applyFill="1" applyBorder="1" applyAlignment="1">
      <alignment horizontal="center" vertical="center" wrapText="1"/>
    </xf>
    <xf numFmtId="0" fontId="0" fillId="0" borderId="7" xfId="0" applyFill="1" applyBorder="1" applyAlignment="1">
      <alignment horizontal="center" vertical="center" wrapText="1"/>
    </xf>
    <xf numFmtId="0" fontId="0" fillId="0" borderId="9" xfId="0" applyFill="1" applyBorder="1" applyAlignment="1">
      <alignment horizontal="center" vertical="center" wrapText="1"/>
    </xf>
    <xf numFmtId="0" fontId="6" fillId="0" borderId="7" xfId="2" applyFill="1" applyBorder="1" applyAlignment="1">
      <alignment horizontal="center" vertical="center" wrapText="1"/>
    </xf>
    <xf numFmtId="0" fontId="6" fillId="0" borderId="11" xfId="2" applyFill="1" applyBorder="1" applyAlignment="1">
      <alignment horizontal="center" vertical="center" wrapText="1"/>
    </xf>
    <xf numFmtId="0" fontId="6" fillId="0" borderId="9" xfId="2" applyFill="1" applyBorder="1" applyAlignment="1">
      <alignment horizontal="center" vertical="center" wrapText="1"/>
    </xf>
    <xf numFmtId="0" fontId="6" fillId="0" borderId="7" xfId="2" applyFill="1" applyBorder="1" applyAlignment="1">
      <alignment horizontal="center" vertical="center"/>
    </xf>
    <xf numFmtId="0" fontId="6" fillId="0" borderId="11" xfId="2" applyFill="1" applyBorder="1" applyAlignment="1">
      <alignment horizontal="center" vertical="center"/>
    </xf>
    <xf numFmtId="0" fontId="6" fillId="0" borderId="9" xfId="2" applyFill="1" applyBorder="1" applyAlignment="1">
      <alignment horizontal="center" vertical="center"/>
    </xf>
    <xf numFmtId="0" fontId="6" fillId="0" borderId="5" xfId="2" applyFill="1" applyBorder="1" applyAlignment="1">
      <alignment horizontal="center" vertical="center" wrapText="1"/>
    </xf>
    <xf numFmtId="167" fontId="0" fillId="0" borderId="7" xfId="1" applyNumberFormat="1" applyFont="1" applyFill="1" applyBorder="1" applyAlignment="1">
      <alignment horizontal="center" vertical="center"/>
    </xf>
    <xf numFmtId="167" fontId="0" fillId="0" borderId="11" xfId="1" applyNumberFormat="1" applyFont="1" applyFill="1" applyBorder="1" applyAlignment="1">
      <alignment horizontal="center" vertical="center"/>
    </xf>
    <xf numFmtId="167" fontId="0" fillId="0" borderId="9" xfId="1" applyNumberFormat="1" applyFont="1" applyFill="1" applyBorder="1" applyAlignment="1">
      <alignment horizontal="center" vertical="center"/>
    </xf>
    <xf numFmtId="3" fontId="0" fillId="0" borderId="7" xfId="0" applyNumberFormat="1" applyFill="1" applyBorder="1" applyAlignment="1">
      <alignment horizontal="center" vertical="center" wrapText="1"/>
    </xf>
    <xf numFmtId="3" fontId="0" fillId="0" borderId="11" xfId="0" applyNumberFormat="1" applyFill="1" applyBorder="1" applyAlignment="1">
      <alignment horizontal="center" vertical="center" wrapText="1"/>
    </xf>
    <xf numFmtId="3" fontId="0" fillId="0" borderId="9" xfId="0" applyNumberFormat="1" applyFill="1" applyBorder="1" applyAlignment="1">
      <alignment horizontal="center" vertical="center" wrapText="1"/>
    </xf>
    <xf numFmtId="166" fontId="0" fillId="0" borderId="7" xfId="1" applyNumberFormat="1" applyFont="1" applyFill="1" applyBorder="1" applyAlignment="1">
      <alignment horizontal="center" vertical="center"/>
    </xf>
    <xf numFmtId="166" fontId="0" fillId="0" borderId="9" xfId="1" applyNumberFormat="1" applyFont="1" applyFill="1" applyBorder="1" applyAlignment="1">
      <alignment horizontal="center" vertical="center"/>
    </xf>
    <xf numFmtId="167" fontId="0" fillId="0" borderId="7" xfId="1" applyNumberFormat="1" applyFont="1" applyFill="1" applyBorder="1" applyAlignment="1">
      <alignment horizontal="right" vertical="center"/>
    </xf>
    <xf numFmtId="167" fontId="0" fillId="0" borderId="9" xfId="1" applyNumberFormat="1" applyFont="1" applyFill="1" applyBorder="1" applyAlignment="1">
      <alignment horizontal="right" vertical="center"/>
    </xf>
    <xf numFmtId="166" fontId="6" fillId="0" borderId="7" xfId="2" applyNumberFormat="1" applyFill="1" applyBorder="1" applyAlignment="1">
      <alignment horizontal="center" vertical="center"/>
    </xf>
    <xf numFmtId="166" fontId="6" fillId="0" borderId="11" xfId="2" applyNumberFormat="1" applyFill="1" applyBorder="1" applyAlignment="1">
      <alignment horizontal="center" vertical="center"/>
    </xf>
    <xf numFmtId="166" fontId="6" fillId="0" borderId="9" xfId="2" applyNumberFormat="1" applyFill="1" applyBorder="1" applyAlignment="1">
      <alignment horizontal="center" vertical="center"/>
    </xf>
    <xf numFmtId="166" fontId="0" fillId="0" borderId="7" xfId="0" applyNumberFormat="1" applyFill="1" applyBorder="1" applyAlignment="1">
      <alignment horizontal="center" vertical="center"/>
    </xf>
    <xf numFmtId="166" fontId="0" fillId="0" borderId="11" xfId="0" applyNumberFormat="1" applyFill="1" applyBorder="1" applyAlignment="1">
      <alignment horizontal="center" vertical="center"/>
    </xf>
    <xf numFmtId="166" fontId="0" fillId="0" borderId="9" xfId="0" applyNumberFormat="1" applyFill="1" applyBorder="1" applyAlignment="1">
      <alignment horizontal="center" vertical="center"/>
    </xf>
    <xf numFmtId="166" fontId="0" fillId="0" borderId="11" xfId="1" applyNumberFormat="1" applyFont="1" applyFill="1" applyBorder="1" applyAlignment="1">
      <alignment horizontal="center" vertical="center"/>
    </xf>
    <xf numFmtId="0" fontId="0" fillId="0" borderId="11" xfId="0" applyFill="1" applyBorder="1" applyAlignment="1">
      <alignment horizontal="center" vertical="center" wrapText="1"/>
    </xf>
    <xf numFmtId="1" fontId="0" fillId="0" borderId="7" xfId="0" applyNumberFormat="1" applyFill="1" applyBorder="1" applyAlignment="1">
      <alignment horizontal="right" vertical="center"/>
    </xf>
    <xf numFmtId="1" fontId="0" fillId="0" borderId="11" xfId="0" applyNumberFormat="1" applyFill="1" applyBorder="1" applyAlignment="1">
      <alignment horizontal="right" vertical="center"/>
    </xf>
    <xf numFmtId="1" fontId="0" fillId="0" borderId="9" xfId="0" applyNumberFormat="1" applyFill="1" applyBorder="1" applyAlignment="1">
      <alignment horizontal="right" vertical="center"/>
    </xf>
    <xf numFmtId="0" fontId="0" fillId="0" borderId="5" xfId="0" applyFill="1" applyBorder="1" applyAlignment="1">
      <alignment horizontal="center" vertical="center"/>
    </xf>
    <xf numFmtId="167" fontId="0" fillId="0" borderId="5" xfId="1" applyNumberFormat="1" applyFont="1" applyFill="1" applyBorder="1" applyAlignment="1">
      <alignment horizontal="right" vertical="center"/>
    </xf>
    <xf numFmtId="0" fontId="0" fillId="0" borderId="7" xfId="0" applyFont="1" applyFill="1" applyBorder="1" applyAlignment="1">
      <alignment horizontal="center" vertical="center" wrapText="1"/>
    </xf>
    <xf numFmtId="0" fontId="0" fillId="0" borderId="11"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0" fillId="0" borderId="13" xfId="0" applyFill="1" applyBorder="1" applyAlignment="1">
      <alignment horizontal="left" vertical="center" wrapText="1"/>
    </xf>
    <xf numFmtId="0" fontId="0" fillId="0" borderId="15" xfId="0" applyFill="1" applyBorder="1" applyAlignment="1">
      <alignment horizontal="left" vertical="center" wrapText="1"/>
    </xf>
    <xf numFmtId="0" fontId="0" fillId="0" borderId="14" xfId="0" applyFill="1" applyBorder="1" applyAlignment="1">
      <alignment horizontal="left" vertical="center" wrapText="1"/>
    </xf>
    <xf numFmtId="167" fontId="0" fillId="0" borderId="7" xfId="1" applyNumberFormat="1" applyFont="1" applyFill="1" applyBorder="1" applyAlignment="1">
      <alignment horizontal="center" vertical="center" wrapText="1"/>
    </xf>
    <xf numFmtId="167" fontId="0" fillId="0" borderId="9" xfId="1" applyNumberFormat="1" applyFont="1" applyFill="1" applyBorder="1" applyAlignment="1">
      <alignment horizontal="center" vertical="center" wrapText="1"/>
    </xf>
    <xf numFmtId="166" fontId="0" fillId="0" borderId="7" xfId="1" applyNumberFormat="1" applyFont="1" applyFill="1" applyBorder="1" applyAlignment="1">
      <alignment horizontal="center" vertical="center" wrapText="1"/>
    </xf>
    <xf numFmtId="166" fontId="0" fillId="0" borderId="11" xfId="1" applyNumberFormat="1" applyFont="1" applyFill="1" applyBorder="1" applyAlignment="1">
      <alignment horizontal="center" vertical="center" wrapText="1"/>
    </xf>
    <xf numFmtId="166" fontId="0" fillId="0" borderId="9" xfId="1" applyNumberFormat="1" applyFont="1" applyFill="1" applyBorder="1" applyAlignment="1">
      <alignment horizontal="center" vertical="center" wrapText="1"/>
    </xf>
    <xf numFmtId="0" fontId="0" fillId="0" borderId="4" xfId="0" applyFill="1" applyBorder="1" applyAlignment="1">
      <alignment horizontal="left" vertical="center" wrapText="1"/>
    </xf>
    <xf numFmtId="1" fontId="0" fillId="0" borderId="7" xfId="0" applyNumberFormat="1" applyFill="1" applyBorder="1" applyAlignment="1">
      <alignment horizontal="center" vertical="center" wrapText="1"/>
    </xf>
    <xf numFmtId="1" fontId="0" fillId="0" borderId="11" xfId="0" applyNumberFormat="1" applyFill="1" applyBorder="1" applyAlignment="1">
      <alignment horizontal="center" vertical="center" wrapText="1"/>
    </xf>
    <xf numFmtId="1" fontId="0" fillId="0" borderId="9" xfId="0" applyNumberFormat="1" applyFill="1" applyBorder="1" applyAlignment="1">
      <alignment horizontal="center" vertical="center" wrapText="1"/>
    </xf>
    <xf numFmtId="166" fontId="6" fillId="0" borderId="11" xfId="2" applyNumberFormat="1" applyFill="1" applyBorder="1" applyAlignment="1">
      <alignment horizontal="center" vertical="center" wrapText="1"/>
    </xf>
    <xf numFmtId="166" fontId="0" fillId="0" borderId="7" xfId="1" applyNumberFormat="1" applyFont="1" applyFill="1" applyBorder="1" applyAlignment="1">
      <alignment horizontal="left" vertical="center" wrapText="1"/>
    </xf>
    <xf numFmtId="166" fontId="0" fillId="0" borderId="11" xfId="1" applyNumberFormat="1" applyFont="1" applyFill="1" applyBorder="1" applyAlignment="1">
      <alignment horizontal="left" vertical="center" wrapText="1"/>
    </xf>
    <xf numFmtId="166" fontId="0" fillId="0" borderId="9" xfId="1" applyNumberFormat="1" applyFont="1" applyFill="1" applyBorder="1" applyAlignment="1">
      <alignment horizontal="left" vertical="center" wrapText="1"/>
    </xf>
    <xf numFmtId="0" fontId="6" fillId="0" borderId="5" xfId="2" applyFill="1" applyBorder="1" applyAlignment="1">
      <alignment horizontal="center" vertical="center"/>
    </xf>
    <xf numFmtId="0" fontId="0" fillId="0" borderId="5" xfId="0" applyFill="1" applyBorder="1" applyAlignment="1">
      <alignment horizontal="left" vertical="center" wrapText="1"/>
    </xf>
    <xf numFmtId="167" fontId="0" fillId="0" borderId="11" xfId="1" applyNumberFormat="1" applyFont="1" applyFill="1" applyBorder="1" applyAlignment="1">
      <alignment horizontal="center" vertical="center" wrapText="1"/>
    </xf>
    <xf numFmtId="0" fontId="0" fillId="0" borderId="5" xfId="0" applyFont="1" applyFill="1" applyBorder="1" applyAlignment="1">
      <alignment horizontal="center" vertical="center" wrapText="1"/>
    </xf>
    <xf numFmtId="166" fontId="0" fillId="0" borderId="7" xfId="1" applyNumberFormat="1" applyFont="1" applyFill="1" applyBorder="1" applyAlignment="1">
      <alignment horizontal="left" vertical="center"/>
    </xf>
    <xf numFmtId="166" fontId="0" fillId="0" borderId="11" xfId="1" applyNumberFormat="1" applyFont="1" applyFill="1" applyBorder="1" applyAlignment="1">
      <alignment horizontal="left" vertical="center"/>
    </xf>
    <xf numFmtId="166" fontId="0" fillId="0" borderId="9" xfId="1" applyNumberFormat="1" applyFont="1" applyFill="1" applyBorder="1" applyAlignment="1">
      <alignment horizontal="left" vertical="center"/>
    </xf>
    <xf numFmtId="166" fontId="0" fillId="0" borderId="5" xfId="0" applyNumberFormat="1" applyFill="1" applyBorder="1" applyAlignment="1">
      <alignment horizontal="left" vertical="center" wrapText="1"/>
    </xf>
    <xf numFmtId="170" fontId="0" fillId="0" borderId="7" xfId="1" applyNumberFormat="1" applyFont="1" applyFill="1" applyBorder="1" applyAlignment="1">
      <alignment horizontal="right" vertical="center"/>
    </xf>
    <xf numFmtId="170" fontId="0" fillId="0" borderId="9" xfId="1" applyNumberFormat="1" applyFont="1" applyFill="1" applyBorder="1" applyAlignment="1">
      <alignment horizontal="right" vertical="center"/>
    </xf>
    <xf numFmtId="0" fontId="7" fillId="0" borderId="13" xfId="0" applyFont="1" applyFill="1" applyBorder="1" applyAlignment="1">
      <alignment horizontal="left" vertical="center" wrapText="1"/>
    </xf>
    <xf numFmtId="0" fontId="7" fillId="0" borderId="15" xfId="0" applyFont="1" applyFill="1" applyBorder="1" applyAlignment="1">
      <alignment horizontal="left" vertical="center" wrapText="1"/>
    </xf>
    <xf numFmtId="0" fontId="7" fillId="0" borderId="14" xfId="0" applyFont="1" applyFill="1" applyBorder="1" applyAlignment="1">
      <alignment horizontal="left" vertical="center" wrapText="1"/>
    </xf>
    <xf numFmtId="166" fontId="0" fillId="0" borderId="5" xfId="1" applyNumberFormat="1" applyFont="1" applyFill="1" applyBorder="1" applyAlignment="1">
      <alignment horizontal="center" vertical="center" wrapText="1"/>
    </xf>
    <xf numFmtId="166" fontId="0" fillId="0" borderId="5" xfId="0" applyNumberFormat="1" applyFill="1" applyBorder="1" applyAlignment="1">
      <alignment horizontal="left" vertical="center"/>
    </xf>
    <xf numFmtId="166" fontId="0" fillId="0" borderId="5" xfId="0" applyNumberFormat="1" applyFill="1" applyBorder="1" applyAlignment="1">
      <alignment horizontal="center" vertical="center"/>
    </xf>
    <xf numFmtId="15" fontId="0" fillId="0" borderId="6" xfId="0" applyNumberFormat="1" applyFill="1" applyBorder="1" applyAlignment="1">
      <alignment horizontal="center" vertical="center"/>
    </xf>
    <xf numFmtId="170" fontId="0" fillId="0" borderId="7" xfId="1" applyNumberFormat="1" applyFont="1" applyFill="1" applyBorder="1" applyAlignment="1">
      <alignment horizontal="center" vertical="center"/>
    </xf>
    <xf numFmtId="170" fontId="0" fillId="0" borderId="9" xfId="1" applyNumberFormat="1" applyFont="1" applyFill="1" applyBorder="1" applyAlignment="1">
      <alignment horizontal="center" vertical="center"/>
    </xf>
    <xf numFmtId="15" fontId="0" fillId="0" borderId="6" xfId="1" applyNumberFormat="1" applyFont="1" applyFill="1" applyBorder="1" applyAlignment="1">
      <alignment horizontal="center" vertical="center"/>
    </xf>
    <xf numFmtId="0" fontId="0" fillId="0" borderId="6" xfId="1" applyNumberFormat="1" applyFont="1" applyFill="1" applyBorder="1" applyAlignment="1">
      <alignment horizontal="center" vertical="center"/>
    </xf>
    <xf numFmtId="166" fontId="0" fillId="0" borderId="7" xfId="0" applyNumberFormat="1" applyFill="1" applyBorder="1" applyAlignment="1">
      <alignment horizontal="left" vertical="center"/>
    </xf>
    <xf numFmtId="166" fontId="0" fillId="0" borderId="11" xfId="0" applyNumberFormat="1" applyFill="1" applyBorder="1" applyAlignment="1">
      <alignment horizontal="left" vertical="center"/>
    </xf>
    <xf numFmtId="166" fontId="0" fillId="0" borderId="9" xfId="0" applyNumberFormat="1" applyFill="1" applyBorder="1" applyAlignment="1">
      <alignment horizontal="left" vertical="center"/>
    </xf>
    <xf numFmtId="0" fontId="0" fillId="0" borderId="8" xfId="0" applyFill="1" applyBorder="1" applyAlignment="1">
      <alignment horizontal="center" vertical="center"/>
    </xf>
    <xf numFmtId="0" fontId="0" fillId="0" borderId="10" xfId="0" applyFill="1" applyBorder="1" applyAlignment="1">
      <alignment horizontal="center" vertical="center"/>
    </xf>
    <xf numFmtId="15" fontId="0" fillId="0" borderId="8" xfId="1" applyNumberFormat="1" applyFont="1" applyFill="1" applyBorder="1" applyAlignment="1">
      <alignment horizontal="center" vertical="center"/>
    </xf>
    <xf numFmtId="15" fontId="0" fillId="0" borderId="12" xfId="1" applyNumberFormat="1" applyFont="1" applyFill="1" applyBorder="1" applyAlignment="1">
      <alignment horizontal="center" vertical="center"/>
    </xf>
    <xf numFmtId="15" fontId="0" fillId="0" borderId="10" xfId="1" applyNumberFormat="1" applyFont="1" applyFill="1" applyBorder="1" applyAlignment="1">
      <alignment horizontal="center" vertical="center"/>
    </xf>
    <xf numFmtId="0" fontId="0" fillId="0" borderId="32" xfId="0" applyBorder="1" applyAlignment="1">
      <alignment horizontal="center" vertical="center"/>
    </xf>
    <xf numFmtId="0" fontId="0" fillId="0" borderId="34" xfId="0" applyBorder="1" applyAlignment="1">
      <alignment horizontal="center" vertical="center"/>
    </xf>
    <xf numFmtId="0" fontId="0" fillId="0" borderId="5" xfId="0" applyBorder="1" applyAlignment="1">
      <alignment horizontal="center" vertical="center"/>
    </xf>
    <xf numFmtId="0" fontId="0" fillId="0" borderId="5" xfId="0" applyFill="1" applyBorder="1" applyAlignment="1">
      <alignment horizontal="center" vertical="center" wrapText="1"/>
    </xf>
    <xf numFmtId="0" fontId="0" fillId="0" borderId="6" xfId="0" applyFill="1" applyBorder="1" applyAlignment="1">
      <alignment horizontal="center" vertical="center"/>
    </xf>
    <xf numFmtId="0" fontId="0" fillId="0" borderId="5" xfId="0" applyFill="1" applyBorder="1" applyAlignment="1">
      <alignment horizontal="left" vertical="center"/>
    </xf>
    <xf numFmtId="166" fontId="0" fillId="0" borderId="7" xfId="0" applyNumberFormat="1" applyFill="1" applyBorder="1" applyAlignment="1">
      <alignment horizontal="left" vertical="center" wrapText="1"/>
    </xf>
    <xf numFmtId="166" fontId="0" fillId="0" borderId="11" xfId="0" applyNumberFormat="1" applyFill="1" applyBorder="1" applyAlignment="1">
      <alignment horizontal="left" vertical="center" wrapText="1"/>
    </xf>
    <xf numFmtId="166" fontId="0" fillId="0" borderId="9" xfId="0" applyNumberFormat="1" applyFill="1" applyBorder="1" applyAlignment="1">
      <alignment horizontal="left" vertical="center" wrapText="1"/>
    </xf>
    <xf numFmtId="166" fontId="0" fillId="0" borderId="5" xfId="1" applyNumberFormat="1" applyFont="1" applyFill="1" applyBorder="1" applyAlignment="1">
      <alignment horizontal="left" vertical="center"/>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9" xfId="0" applyFill="1" applyBorder="1" applyAlignment="1">
      <alignment horizontal="left" vertical="center" wrapText="1"/>
    </xf>
    <xf numFmtId="0" fontId="14" fillId="5" borderId="31" xfId="0" applyFont="1" applyFill="1" applyBorder="1" applyAlignment="1">
      <alignment horizontal="center"/>
    </xf>
    <xf numFmtId="0" fontId="14" fillId="5" borderId="29" xfId="0" applyFont="1" applyFill="1" applyBorder="1" applyAlignment="1">
      <alignment horizontal="center"/>
    </xf>
    <xf numFmtId="0" fontId="14" fillId="5" borderId="30" xfId="0" applyFont="1" applyFill="1" applyBorder="1" applyAlignment="1">
      <alignment horizontal="center"/>
    </xf>
    <xf numFmtId="1" fontId="7" fillId="0" borderId="7" xfId="0" applyNumberFormat="1" applyFont="1" applyFill="1" applyBorder="1" applyAlignment="1">
      <alignment horizontal="center" vertical="center" wrapText="1"/>
    </xf>
    <xf numFmtId="1" fontId="7" fillId="0" borderId="11" xfId="0" applyNumberFormat="1" applyFont="1" applyFill="1" applyBorder="1" applyAlignment="1">
      <alignment horizontal="center" vertical="center" wrapText="1"/>
    </xf>
    <xf numFmtId="1" fontId="7" fillId="0" borderId="9" xfId="0" applyNumberFormat="1" applyFont="1" applyFill="1" applyBorder="1" applyAlignment="1">
      <alignment horizontal="center" vertical="center" wrapText="1"/>
    </xf>
    <xf numFmtId="0" fontId="7" fillId="0" borderId="7"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9" xfId="0" applyFont="1" applyFill="1" applyBorder="1" applyAlignment="1">
      <alignment horizontal="center" vertical="center" wrapText="1"/>
    </xf>
    <xf numFmtId="0" fontId="7" fillId="0" borderId="7" xfId="2" applyFont="1" applyFill="1" applyBorder="1" applyAlignment="1">
      <alignment horizontal="center" vertical="center" wrapText="1"/>
    </xf>
    <xf numFmtId="0" fontId="7" fillId="0" borderId="11" xfId="2" applyFont="1" applyFill="1" applyBorder="1" applyAlignment="1">
      <alignment horizontal="center" vertical="center" wrapText="1"/>
    </xf>
    <xf numFmtId="0" fontId="7" fillId="0" borderId="9" xfId="2" applyFont="1" applyFill="1" applyBorder="1" applyAlignment="1">
      <alignment horizontal="center" vertical="center" wrapText="1"/>
    </xf>
    <xf numFmtId="167" fontId="0" fillId="0" borderId="7" xfId="1" applyNumberFormat="1" applyFont="1" applyFill="1" applyBorder="1" applyAlignment="1">
      <alignment vertical="center"/>
    </xf>
    <xf numFmtId="167" fontId="0" fillId="0" borderId="9" xfId="1" applyNumberFormat="1" applyFont="1" applyFill="1" applyBorder="1" applyAlignment="1">
      <alignment vertical="center"/>
    </xf>
    <xf numFmtId="167" fontId="0" fillId="0" borderId="5" xfId="1" applyNumberFormat="1" applyFont="1" applyFill="1" applyBorder="1" applyAlignment="1">
      <alignment vertical="center"/>
    </xf>
    <xf numFmtId="166" fontId="6" fillId="0" borderId="5" xfId="2" applyNumberFormat="1" applyFill="1" applyBorder="1" applyAlignment="1">
      <alignment horizontal="center" vertical="center" wrapText="1"/>
    </xf>
    <xf numFmtId="166" fontId="7" fillId="0" borderId="7" xfId="1" applyNumberFormat="1" applyFont="1" applyFill="1" applyBorder="1" applyAlignment="1">
      <alignment horizontal="center" vertical="center" wrapText="1"/>
    </xf>
    <xf numFmtId="166" fontId="7" fillId="0" borderId="9" xfId="1" applyNumberFormat="1" applyFont="1" applyFill="1" applyBorder="1" applyAlignment="1">
      <alignment horizontal="center" vertical="center" wrapText="1"/>
    </xf>
    <xf numFmtId="166" fontId="7" fillId="0" borderId="7" xfId="2" applyNumberFormat="1" applyFont="1" applyFill="1" applyBorder="1" applyAlignment="1">
      <alignment horizontal="center" vertical="center" wrapText="1"/>
    </xf>
    <xf numFmtId="166" fontId="7" fillId="0" borderId="9" xfId="2" applyNumberFormat="1" applyFont="1" applyFill="1" applyBorder="1" applyAlignment="1">
      <alignment horizontal="center" vertical="center" wrapText="1"/>
    </xf>
    <xf numFmtId="166" fontId="0" fillId="0" borderId="5" xfId="1" applyNumberFormat="1" applyFont="1" applyFill="1" applyBorder="1" applyAlignment="1">
      <alignment horizontal="left" vertical="center" wrapText="1"/>
    </xf>
    <xf numFmtId="0" fontId="0" fillId="0" borderId="12" xfId="0" applyFill="1" applyBorder="1" applyAlignment="1">
      <alignment horizontal="center" vertical="center"/>
    </xf>
    <xf numFmtId="0" fontId="6" fillId="0" borderId="35" xfId="2" applyFill="1" applyBorder="1" applyAlignment="1">
      <alignment horizontal="center" vertical="center"/>
    </xf>
    <xf numFmtId="0" fontId="0" fillId="0" borderId="35" xfId="0" applyFill="1" applyBorder="1" applyAlignment="1">
      <alignment horizontal="center" vertical="center"/>
    </xf>
    <xf numFmtId="166" fontId="6" fillId="0" borderId="35" xfId="2" applyNumberFormat="1" applyFill="1" applyBorder="1" applyAlignment="1">
      <alignment horizontal="center" vertical="center"/>
    </xf>
    <xf numFmtId="15" fontId="0" fillId="0" borderId="36" xfId="0" applyNumberFormat="1" applyFill="1" applyBorder="1" applyAlignment="1">
      <alignment horizontal="center" vertical="center"/>
    </xf>
    <xf numFmtId="167" fontId="0" fillId="0" borderId="5" xfId="1" applyNumberFormat="1" applyFont="1" applyFill="1" applyBorder="1" applyAlignment="1">
      <alignment horizontal="center" vertical="center"/>
    </xf>
    <xf numFmtId="3" fontId="0" fillId="0" borderId="7" xfId="0" applyNumberFormat="1" applyFill="1" applyBorder="1" applyAlignment="1">
      <alignment horizontal="left" vertical="center"/>
    </xf>
    <xf numFmtId="3" fontId="0" fillId="0" borderId="9" xfId="0" applyNumberFormat="1" applyFill="1" applyBorder="1" applyAlignment="1">
      <alignment horizontal="left" vertical="center"/>
    </xf>
    <xf numFmtId="166" fontId="0" fillId="0" borderId="7" xfId="1" applyNumberFormat="1" applyFont="1" applyFill="1" applyBorder="1" applyAlignment="1">
      <alignment horizontal="right" vertical="center" wrapText="1"/>
    </xf>
    <xf numFmtId="166" fontId="0" fillId="0" borderId="9" xfId="1" applyNumberFormat="1" applyFont="1" applyFill="1" applyBorder="1" applyAlignment="1">
      <alignment horizontal="right" vertical="center" wrapText="1"/>
    </xf>
    <xf numFmtId="166" fontId="0" fillId="0" borderId="35" xfId="1" applyNumberFormat="1" applyFont="1" applyFill="1" applyBorder="1" applyAlignment="1">
      <alignment horizontal="center" vertical="center" wrapText="1"/>
    </xf>
    <xf numFmtId="0" fontId="0" fillId="0" borderId="32" xfId="0" applyFill="1" applyBorder="1" applyAlignment="1">
      <alignment horizontal="center" vertical="center"/>
    </xf>
    <xf numFmtId="0" fontId="0" fillId="0" borderId="34" xfId="0" applyFill="1" applyBorder="1" applyAlignment="1">
      <alignment horizontal="center" vertical="center"/>
    </xf>
    <xf numFmtId="167" fontId="0" fillId="0" borderId="11" xfId="1" applyNumberFormat="1" applyFont="1" applyFill="1" applyBorder="1" applyAlignment="1">
      <alignment horizontal="right" vertical="center"/>
    </xf>
    <xf numFmtId="167" fontId="0" fillId="0" borderId="5" xfId="1" applyNumberFormat="1" applyFont="1" applyFill="1" applyBorder="1" applyAlignment="1">
      <alignment horizontal="center" vertical="center" wrapText="1"/>
    </xf>
    <xf numFmtId="167" fontId="0" fillId="0" borderId="7" xfId="1" applyNumberFormat="1" applyFont="1" applyFill="1" applyBorder="1" applyAlignment="1">
      <alignment horizontal="center"/>
    </xf>
    <xf numFmtId="167" fontId="0" fillId="0" borderId="11" xfId="1" applyNumberFormat="1" applyFont="1" applyFill="1" applyBorder="1" applyAlignment="1">
      <alignment horizontal="center"/>
    </xf>
    <xf numFmtId="167" fontId="0" fillId="0" borderId="9" xfId="1" applyNumberFormat="1" applyFont="1" applyFill="1" applyBorder="1" applyAlignment="1">
      <alignment horizontal="center"/>
    </xf>
    <xf numFmtId="167" fontId="0" fillId="0" borderId="32" xfId="1" applyNumberFormat="1" applyFont="1" applyFill="1" applyBorder="1" applyAlignment="1">
      <alignment horizontal="center" vertical="center"/>
    </xf>
    <xf numFmtId="167" fontId="0" fillId="0" borderId="33" xfId="1" applyNumberFormat="1" applyFont="1" applyFill="1" applyBorder="1" applyAlignment="1">
      <alignment horizontal="center" vertical="center"/>
    </xf>
    <xf numFmtId="167" fontId="0" fillId="0" borderId="34" xfId="1" applyNumberFormat="1" applyFont="1" applyFill="1" applyBorder="1" applyAlignment="1">
      <alignment horizontal="center" vertical="center"/>
    </xf>
    <xf numFmtId="167" fontId="0" fillId="0" borderId="11" xfId="1" applyNumberFormat="1" applyFont="1" applyFill="1" applyBorder="1" applyAlignment="1">
      <alignment vertical="center"/>
    </xf>
    <xf numFmtId="3" fontId="7" fillId="0" borderId="7" xfId="0" applyNumberFormat="1" applyFont="1" applyFill="1" applyBorder="1" applyAlignment="1">
      <alignment horizontal="center" vertical="center" wrapText="1"/>
    </xf>
    <xf numFmtId="3" fontId="7" fillId="0" borderId="9" xfId="0" applyNumberFormat="1" applyFont="1" applyFill="1" applyBorder="1" applyAlignment="1">
      <alignment horizontal="center" vertical="center" wrapText="1"/>
    </xf>
    <xf numFmtId="0" fontId="7" fillId="0" borderId="5" xfId="2" applyFont="1" applyFill="1" applyBorder="1" applyAlignment="1">
      <alignment horizontal="left" vertical="center" wrapText="1"/>
    </xf>
    <xf numFmtId="0" fontId="0" fillId="0" borderId="5" xfId="0" applyBorder="1" applyAlignment="1">
      <alignment horizontal="left" vertical="center"/>
    </xf>
    <xf numFmtId="170" fontId="0" fillId="0" borderId="11" xfId="1" applyNumberFormat="1" applyFont="1" applyFill="1" applyBorder="1" applyAlignment="1">
      <alignment horizontal="right" vertical="center"/>
    </xf>
    <xf numFmtId="15" fontId="0" fillId="0" borderId="8" xfId="0" applyNumberFormat="1" applyFill="1" applyBorder="1" applyAlignment="1">
      <alignment horizontal="center" vertical="center" wrapText="1"/>
    </xf>
    <xf numFmtId="15" fontId="0" fillId="0" borderId="12" xfId="0" applyNumberFormat="1" applyFill="1" applyBorder="1" applyAlignment="1">
      <alignment horizontal="center" vertical="center" wrapText="1"/>
    </xf>
    <xf numFmtId="15" fontId="0" fillId="0" borderId="10" xfId="0" applyNumberFormat="1" applyFill="1" applyBorder="1" applyAlignment="1">
      <alignment horizontal="center" vertical="center" wrapText="1"/>
    </xf>
    <xf numFmtId="0" fontId="0" fillId="0" borderId="10" xfId="0" applyFill="1" applyBorder="1" applyAlignment="1">
      <alignment horizontal="center" vertical="center" wrapText="1"/>
    </xf>
    <xf numFmtId="0" fontId="7" fillId="0" borderId="5" xfId="2" applyFont="1" applyFill="1" applyBorder="1" applyAlignment="1">
      <alignment horizontal="center" vertical="center" wrapText="1"/>
    </xf>
    <xf numFmtId="6" fontId="0" fillId="0" borderId="5" xfId="0" applyNumberFormat="1" applyFill="1" applyBorder="1" applyAlignment="1">
      <alignment vertical="center"/>
    </xf>
    <xf numFmtId="0" fontId="0" fillId="0" borderId="5" xfId="0" applyFill="1" applyBorder="1" applyAlignment="1">
      <alignment vertical="center"/>
    </xf>
    <xf numFmtId="0" fontId="0" fillId="0" borderId="0" xfId="0" applyFill="1" applyBorder="1" applyAlignment="1">
      <alignment horizontal="center" vertical="center"/>
    </xf>
    <xf numFmtId="165" fontId="0" fillId="0" borderId="7" xfId="1" applyNumberFormat="1" applyFont="1" applyFill="1" applyBorder="1" applyAlignment="1">
      <alignment horizontal="center" vertical="center"/>
    </xf>
    <xf numFmtId="165" fontId="0" fillId="0" borderId="9" xfId="1" applyNumberFormat="1" applyFont="1" applyFill="1" applyBorder="1" applyAlignment="1">
      <alignment horizontal="center" vertical="center"/>
    </xf>
    <xf numFmtId="0" fontId="0" fillId="0" borderId="6" xfId="0" applyBorder="1" applyAlignment="1">
      <alignment horizontal="center" vertical="center"/>
    </xf>
    <xf numFmtId="15" fontId="7" fillId="0" borderId="6" xfId="2" applyNumberFormat="1" applyFont="1" applyFill="1" applyBorder="1" applyAlignment="1">
      <alignment horizontal="center" vertical="center" wrapText="1"/>
    </xf>
    <xf numFmtId="0" fontId="7" fillId="0" borderId="6" xfId="2" applyFont="1" applyFill="1" applyBorder="1" applyAlignment="1">
      <alignment horizontal="center" vertical="center" wrapText="1"/>
    </xf>
    <xf numFmtId="15" fontId="0" fillId="0" borderId="6" xfId="0" applyNumberFormat="1" applyBorder="1" applyAlignment="1">
      <alignment horizontal="center" vertical="center"/>
    </xf>
    <xf numFmtId="0" fontId="0" fillId="0" borderId="12" xfId="0" applyFill="1" applyBorder="1" applyAlignment="1">
      <alignment horizontal="center" vertical="center" wrapText="1"/>
    </xf>
    <xf numFmtId="15" fontId="7" fillId="0" borderId="8" xfId="2" applyNumberFormat="1" applyFont="1" applyFill="1" applyBorder="1" applyAlignment="1">
      <alignment horizontal="center" vertical="center"/>
    </xf>
    <xf numFmtId="15" fontId="7" fillId="0" borderId="12" xfId="2" applyNumberFormat="1" applyFont="1" applyFill="1" applyBorder="1" applyAlignment="1">
      <alignment horizontal="center" vertical="center"/>
    </xf>
    <xf numFmtId="15" fontId="7" fillId="0" borderId="10" xfId="2" applyNumberFormat="1" applyFont="1" applyFill="1" applyBorder="1" applyAlignment="1">
      <alignment horizontal="center" vertical="center"/>
    </xf>
    <xf numFmtId="0" fontId="7" fillId="0" borderId="7" xfId="2" applyFont="1" applyFill="1" applyBorder="1" applyAlignment="1">
      <alignment horizontal="left" vertical="center" wrapText="1"/>
    </xf>
    <xf numFmtId="0" fontId="7" fillId="0" borderId="11" xfId="2" applyFont="1" applyFill="1" applyBorder="1" applyAlignment="1">
      <alignment horizontal="left" vertical="center" wrapText="1"/>
    </xf>
    <xf numFmtId="0" fontId="7" fillId="0" borderId="9" xfId="2" applyFont="1" applyFill="1" applyBorder="1" applyAlignment="1">
      <alignment horizontal="left" vertical="center" wrapText="1"/>
    </xf>
    <xf numFmtId="15" fontId="0" fillId="0" borderId="6" xfId="0" applyNumberFormat="1" applyFill="1" applyBorder="1" applyAlignment="1">
      <alignment horizontal="center" vertical="center" wrapText="1"/>
    </xf>
    <xf numFmtId="0" fontId="0" fillId="0" borderId="6" xfId="0" applyFill="1" applyBorder="1" applyAlignment="1">
      <alignment horizontal="center" vertical="center" wrapText="1"/>
    </xf>
    <xf numFmtId="164" fontId="0" fillId="0" borderId="5" xfId="0" applyNumberFormat="1" applyFill="1" applyBorder="1" applyAlignment="1">
      <alignment horizontal="left" vertical="center"/>
    </xf>
    <xf numFmtId="166" fontId="0" fillId="0" borderId="13" xfId="1" applyNumberFormat="1" applyFont="1" applyFill="1" applyBorder="1" applyAlignment="1">
      <alignment horizontal="left" vertical="center" wrapText="1"/>
    </xf>
    <xf numFmtId="166" fontId="0" fillId="0" borderId="15" xfId="1" applyNumberFormat="1" applyFont="1" applyFill="1" applyBorder="1" applyAlignment="1">
      <alignment horizontal="left" vertical="center" wrapText="1"/>
    </xf>
    <xf numFmtId="166" fontId="0" fillId="0" borderId="14" xfId="1" applyNumberFormat="1" applyFont="1" applyFill="1" applyBorder="1" applyAlignment="1">
      <alignment horizontal="left" vertical="center" wrapText="1"/>
    </xf>
    <xf numFmtId="167" fontId="1" fillId="0" borderId="7" xfId="1" applyNumberFormat="1" applyFill="1" applyBorder="1" applyAlignment="1">
      <alignment horizontal="center" vertical="center"/>
    </xf>
    <xf numFmtId="167" fontId="1" fillId="0" borderId="9" xfId="1" applyNumberFormat="1" applyFill="1" applyBorder="1" applyAlignment="1">
      <alignment horizontal="center" vertical="center"/>
    </xf>
    <xf numFmtId="0" fontId="14" fillId="5" borderId="16" xfId="0" applyFont="1" applyFill="1" applyBorder="1" applyAlignment="1">
      <alignment horizontal="center"/>
    </xf>
    <xf numFmtId="0" fontId="14" fillId="5" borderId="17" xfId="0" applyFont="1" applyFill="1" applyBorder="1" applyAlignment="1">
      <alignment horizontal="center"/>
    </xf>
    <xf numFmtId="0" fontId="6" fillId="0" borderId="7" xfId="2" applyBorder="1" applyAlignment="1">
      <alignment horizontal="center" vertical="center"/>
    </xf>
    <xf numFmtId="0" fontId="6" fillId="0" borderId="9" xfId="2"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left" vertical="center" indent="3"/>
    </xf>
    <xf numFmtId="0" fontId="0" fillId="0" borderId="14" xfId="0" applyBorder="1" applyAlignment="1">
      <alignment horizontal="left" vertical="center" indent="3"/>
    </xf>
    <xf numFmtId="0" fontId="0" fillId="0" borderId="13" xfId="0" applyBorder="1" applyAlignment="1">
      <alignment horizontal="left" vertical="center"/>
    </xf>
    <xf numFmtId="0" fontId="0" fillId="0" borderId="14" xfId="0" applyBorder="1" applyAlignment="1">
      <alignment horizontal="left" vertical="center"/>
    </xf>
    <xf numFmtId="0" fontId="0" fillId="0" borderId="7" xfId="0" applyBorder="1" applyAlignment="1">
      <alignment horizontal="center" vertical="center" wrapText="1"/>
    </xf>
    <xf numFmtId="0" fontId="0" fillId="0" borderId="9" xfId="0" applyBorder="1" applyAlignment="1">
      <alignment horizontal="center" vertical="center" wrapText="1"/>
    </xf>
    <xf numFmtId="15" fontId="0" fillId="0" borderId="8" xfId="0" applyNumberFormat="1" applyBorder="1" applyAlignment="1">
      <alignment horizontal="center" vertical="center"/>
    </xf>
    <xf numFmtId="15" fontId="0" fillId="0" borderId="10" xfId="0" applyNumberFormat="1" applyBorder="1" applyAlignment="1">
      <alignment horizontal="center" vertical="center"/>
    </xf>
    <xf numFmtId="0" fontId="0" fillId="0" borderId="7" xfId="0" applyBorder="1" applyAlignment="1">
      <alignment horizontal="right" vertical="center"/>
    </xf>
    <xf numFmtId="0" fontId="0" fillId="0" borderId="9" xfId="0" applyBorder="1" applyAlignment="1">
      <alignment horizontal="right" vertical="center"/>
    </xf>
    <xf numFmtId="0" fontId="6" fillId="0" borderId="5" xfId="2" applyBorder="1" applyAlignment="1">
      <alignment horizontal="center" vertical="center"/>
    </xf>
    <xf numFmtId="0" fontId="6" fillId="0" borderId="22" xfId="2" applyBorder="1" applyAlignment="1">
      <alignment horizontal="center" vertical="center"/>
    </xf>
    <xf numFmtId="3" fontId="0" fillId="0" borderId="5" xfId="0" applyNumberFormat="1" applyBorder="1" applyAlignment="1">
      <alignment horizontal="left" vertical="center" wrapText="1"/>
    </xf>
    <xf numFmtId="3" fontId="0" fillId="0" borderId="23" xfId="0" applyNumberFormat="1" applyBorder="1" applyAlignment="1">
      <alignment horizontal="left" vertical="center" wrapText="1"/>
    </xf>
    <xf numFmtId="0" fontId="6" fillId="0" borderId="7" xfId="2" applyBorder="1" applyAlignment="1">
      <alignment horizontal="center" vertical="center" wrapText="1"/>
    </xf>
    <xf numFmtId="0" fontId="6" fillId="0" borderId="9" xfId="2" applyBorder="1" applyAlignment="1">
      <alignment horizontal="center" vertical="center" wrapText="1"/>
    </xf>
    <xf numFmtId="0" fontId="0" fillId="0" borderId="7" xfId="0" applyBorder="1" applyAlignment="1">
      <alignment horizontal="left" vertical="center" wrapText="1"/>
    </xf>
    <xf numFmtId="0" fontId="0" fillId="0" borderId="9" xfId="0" applyBorder="1" applyAlignment="1">
      <alignment horizontal="left" vertical="center" wrapText="1"/>
    </xf>
    <xf numFmtId="15" fontId="0" fillId="0" borderId="8" xfId="0" applyNumberFormat="1" applyBorder="1" applyAlignment="1">
      <alignment horizontal="left" vertical="center"/>
    </xf>
    <xf numFmtId="15" fontId="0" fillId="0" borderId="10" xfId="0" applyNumberFormat="1" applyBorder="1" applyAlignment="1">
      <alignment horizontal="left" vertical="center"/>
    </xf>
    <xf numFmtId="0" fontId="14" fillId="5" borderId="28" xfId="0" applyFont="1" applyFill="1" applyBorder="1" applyAlignment="1">
      <alignment horizontal="center"/>
    </xf>
    <xf numFmtId="0" fontId="0" fillId="0" borderId="5" xfId="0" applyFill="1" applyBorder="1" applyAlignment="1">
      <alignment horizontal="center"/>
    </xf>
    <xf numFmtId="0" fontId="0" fillId="0" borderId="6" xfId="0" applyFill="1" applyBorder="1" applyAlignment="1">
      <alignment horizontal="center"/>
    </xf>
    <xf numFmtId="0" fontId="0" fillId="0" borderId="4" xfId="0" applyFill="1" applyBorder="1" applyAlignment="1">
      <alignment horizontal="left" vertical="center"/>
    </xf>
    <xf numFmtId="0" fontId="7" fillId="0" borderId="5" xfId="0" applyFont="1" applyFill="1" applyBorder="1" applyAlignment="1">
      <alignment horizontal="center" vertical="center"/>
    </xf>
    <xf numFmtId="0" fontId="7" fillId="0" borderId="6" xfId="0" applyFont="1" applyFill="1" applyBorder="1" applyAlignment="1">
      <alignment horizontal="center" vertical="center"/>
    </xf>
    <xf numFmtId="166" fontId="6" fillId="0" borderId="8" xfId="2" applyNumberFormat="1" applyFill="1" applyBorder="1" applyAlignment="1">
      <alignment horizontal="center" vertical="center"/>
    </xf>
    <xf numFmtId="166" fontId="6" fillId="0" borderId="10" xfId="2" applyNumberFormat="1" applyFill="1" applyBorder="1" applyAlignment="1">
      <alignment horizontal="center" vertical="center"/>
    </xf>
    <xf numFmtId="17" fontId="0" fillId="0" borderId="8" xfId="0" applyNumberFormat="1" applyFill="1" applyBorder="1" applyAlignment="1">
      <alignment horizontal="center" vertical="center"/>
    </xf>
    <xf numFmtId="17" fontId="0" fillId="0" borderId="10" xfId="0" applyNumberFormat="1" applyFill="1" applyBorder="1" applyAlignment="1">
      <alignment horizontal="center" vertical="center"/>
    </xf>
  </cellXfs>
  <cellStyles count="4">
    <cellStyle name="Comma" xfId="1" builtinId="3"/>
    <cellStyle name="Comma 2" xfId="3" xr:uid="{FC6503B0-409E-42E7-B3F9-3A05CAFBA5A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www.pbo-dpb.gc.ca/web/default/files/Documents/Info%20Requests/2020/IR0456_AAFC_COVID-19_Allocations_request_e_signed.pdf" TargetMode="External"/><Relationship Id="rId117" Type="http://schemas.openxmlformats.org/officeDocument/2006/relationships/hyperlink" Target="https://www.pbo-dpb.gc.ca/web/default/files/Documents/Info%20Requests/2020/IR0526_NRCCan_COVID19_update_2_request_e.pdf" TargetMode="External"/><Relationship Id="rId21" Type="http://schemas.openxmlformats.org/officeDocument/2006/relationships/hyperlink" Target="https://www.pbo-dpb.gc.ca/web/default/files/Documents/Info%20Requests/2020/IR0490_ISED_COVID-19_Measures_request_e.pdf" TargetMode="External"/><Relationship Id="rId42" Type="http://schemas.openxmlformats.org/officeDocument/2006/relationships/hyperlink" Target="https://www.pbo-dpb.gc.ca/web/default/files/Documents/Info%20Requests/2020/IR0530_CIHR_granting_COVID-19_request_e.pdf" TargetMode="External"/><Relationship Id="rId47" Type="http://schemas.openxmlformats.org/officeDocument/2006/relationships/hyperlink" Target="https://www.pbo-dpb.gc.ca/web/default/files/Documents/Info%20Requests/2020/IR0477_GAC_Foreign_Affairs_data_repatriation_Canadians_ltr_e.pdf" TargetMode="External"/><Relationship Id="rId63" Type="http://schemas.openxmlformats.org/officeDocument/2006/relationships/hyperlink" Target="https://www.pbo-dpb.gc.ca/web/default/files/Documents/Info%20Requests/2020/IR0549_ESDC_COVID-19_Measures_Q_request_e.pdf" TargetMode="External"/><Relationship Id="rId68" Type="http://schemas.openxmlformats.org/officeDocument/2006/relationships/hyperlink" Target="https://www.pbo-dpb.gc.ca/web/default/files/Documents/Info%20Requests/2020/IR0528_PHAC_COVID19_update_request_e.pdf" TargetMode="External"/><Relationship Id="rId84" Type="http://schemas.openxmlformats.org/officeDocument/2006/relationships/hyperlink" Target="https://www.ourcommons.ca/DocumentViewer/en/43-2/OGGO/related-document/11193033" TargetMode="External"/><Relationship Id="rId89" Type="http://schemas.openxmlformats.org/officeDocument/2006/relationships/hyperlink" Target="https://www.ourcommons.ca/DocumentViewer/en/43-2/OGGO/related-document/11193033" TargetMode="External"/><Relationship Id="rId112" Type="http://schemas.openxmlformats.org/officeDocument/2006/relationships/hyperlink" Target="https://www.ourcommons.ca/DocumentViewer/en/43-2/OGGO/related-document/11193033" TargetMode="External"/><Relationship Id="rId16" Type="http://schemas.openxmlformats.org/officeDocument/2006/relationships/hyperlink" Target="https://www.pbo-dpb.gc.ca/web/default/files/Documents/Info%20Requests/2020/IR0491_ISED_COVID-19_Measures_request_e.pdf" TargetMode="External"/><Relationship Id="rId107" Type="http://schemas.openxmlformats.org/officeDocument/2006/relationships/hyperlink" Target="https://www.ourcommons.ca/DocumentViewer/en/43-2/OGGO/related-document/11193033" TargetMode="External"/><Relationship Id="rId11" Type="http://schemas.openxmlformats.org/officeDocument/2006/relationships/hyperlink" Target="https://www.pbo-dpb.gc.ca/web/default/files/Documents/Info%20Requests/2020/IR0470_ISC_COVID-19_Measures_request_e_signed.pdf" TargetMode="External"/><Relationship Id="rId32" Type="http://schemas.openxmlformats.org/officeDocument/2006/relationships/hyperlink" Target="https://www.pbo-dpb.gc.ca/web/default/files/Documents/Info%20Requests/2020/IR0529_PSEP_COVID19_update_request_e.pdf" TargetMode="External"/><Relationship Id="rId37" Type="http://schemas.openxmlformats.org/officeDocument/2006/relationships/hyperlink" Target="https://www.pbo-dpb.gc.ca/web/default/files/Documents/Info%20Requests/2020/IR0476_GAC_ID_COVID-19_Measures_request_e_signed.pdf" TargetMode="External"/><Relationship Id="rId53" Type="http://schemas.openxmlformats.org/officeDocument/2006/relationships/hyperlink" Target="https://www.pbo-dpb.gc.ca/web/default/files/Documents/Info%20Requests/2020/IR0524_ISED_COVID19_update_2_request_e.pdf" TargetMode="External"/><Relationship Id="rId58" Type="http://schemas.openxmlformats.org/officeDocument/2006/relationships/hyperlink" Target="https://www.pbo-dpb.gc.ca/web/default/files/Documents/Info%20Requests/2020/IR0523_ISC_COVID19_update_2_request_e.pdf" TargetMode="External"/><Relationship Id="rId74" Type="http://schemas.openxmlformats.org/officeDocument/2006/relationships/hyperlink" Target="https://www.ourcommons.ca/DocumentViewer/en/43-2/OGGO/related-document/11193033" TargetMode="External"/><Relationship Id="rId79" Type="http://schemas.openxmlformats.org/officeDocument/2006/relationships/hyperlink" Target="https://www.ourcommons.ca/DocumentViewer/en/43-2/OGGO/related-document/11193033" TargetMode="External"/><Relationship Id="rId102" Type="http://schemas.openxmlformats.org/officeDocument/2006/relationships/hyperlink" Target="https://www.ourcommons.ca/DocumentViewer/en/43-2/OGGO/related-document/11193033" TargetMode="External"/><Relationship Id="rId123" Type="http://schemas.openxmlformats.org/officeDocument/2006/relationships/hyperlink" Target="https://www.ourcommons.ca/DocumentViewer/en/43-2/OGGO/related-document/11193033" TargetMode="External"/><Relationship Id="rId128" Type="http://schemas.openxmlformats.org/officeDocument/2006/relationships/printerSettings" Target="../printerSettings/printerSettings2.bin"/><Relationship Id="rId5" Type="http://schemas.openxmlformats.org/officeDocument/2006/relationships/hyperlink" Target="https://www.pbo-dpb.gc.ca/web/default/files/Documents/Info%20Requests/2020/IR0550_FIN_COVID-19_Support_request_e.pdf" TargetMode="External"/><Relationship Id="rId90" Type="http://schemas.openxmlformats.org/officeDocument/2006/relationships/hyperlink" Target="https://www.ourcommons.ca/DocumentViewer/en/43-2/OGGO/related-document/11193033" TargetMode="External"/><Relationship Id="rId95" Type="http://schemas.openxmlformats.org/officeDocument/2006/relationships/hyperlink" Target="https://www.ourcommons.ca/DocumentViewer/en/43-2/OGGO/related-document/11193033" TargetMode="External"/><Relationship Id="rId19" Type="http://schemas.openxmlformats.org/officeDocument/2006/relationships/hyperlink" Target="https://www.pbo-dpb.gc.ca/web/default/files/Documents/Info%20Requests/2020/IR0528_PHAC_COVID19_update_request_e.pdf" TargetMode="External"/><Relationship Id="rId14" Type="http://schemas.openxmlformats.org/officeDocument/2006/relationships/hyperlink" Target="https://www.pbo-dpb.gc.ca/web/default/files/Documents/Info%20Requests/2020/IR0528_PHAC_COVID19_update_request_e.pdf" TargetMode="External"/><Relationship Id="rId22" Type="http://schemas.openxmlformats.org/officeDocument/2006/relationships/hyperlink" Target="https://www.pbo-dpb.gc.ca/web/default/files/Documents/Info%20Requests/2020/IR0526_NRCCan_COVID19_update_2_request_e.pdf" TargetMode="External"/><Relationship Id="rId27" Type="http://schemas.openxmlformats.org/officeDocument/2006/relationships/hyperlink" Target="https://www.pbo-dpb.gc.ca/web/default/files/Documents/Info%20Requests/2020/IR0456_AAFC_COVID-19_Allocations_request_e_signed.pdf" TargetMode="External"/><Relationship Id="rId30" Type="http://schemas.openxmlformats.org/officeDocument/2006/relationships/hyperlink" Target="https://www.pbo-dpb.gc.ca/web/default/files/Documents/Info%20Requests/2020/IR0549_ESDC_COVID-19_Measures_Q_request_e.pdf" TargetMode="External"/><Relationship Id="rId35" Type="http://schemas.openxmlformats.org/officeDocument/2006/relationships/hyperlink" Target="https://www.pbo-dpb.gc.ca/web/default/files/Documents/Info%20Requests/2020/IR0561_SSC_COVID-19_Measures_request_e.pdf" TargetMode="External"/><Relationship Id="rId43" Type="http://schemas.openxmlformats.org/officeDocument/2006/relationships/hyperlink" Target="https://www.pbo-dpb.gc.ca/web/default/files/Documents/Info%20Requests/2020/IR0523_ISC_COVID19_update_2_request_e.pdf" TargetMode="External"/><Relationship Id="rId48" Type="http://schemas.openxmlformats.org/officeDocument/2006/relationships/hyperlink" Target="https://www.pbo-dpb.gc.ca/web/default/files/Documents/Info%20Requests/2020/IR0528_PHAC_COVID19_update_request_e.pdf" TargetMode="External"/><Relationship Id="rId56" Type="http://schemas.openxmlformats.org/officeDocument/2006/relationships/hyperlink" Target="https://www.pbo-dpb.gc.ca/web/default/files/Documents/Info%20Requests/2020/IR0551_HC_COVID-19_Measures_request_e.pdf" TargetMode="External"/><Relationship Id="rId64" Type="http://schemas.openxmlformats.org/officeDocument/2006/relationships/hyperlink" Target="https://www.pbo-dpb.gc.ca/web/default/files/Documents/Info%20Requests/2020/IR0468_HC_COVID-19_Measures_request_e_signed.pdf" TargetMode="External"/><Relationship Id="rId69" Type="http://schemas.openxmlformats.org/officeDocument/2006/relationships/hyperlink" Target="https://www.ourcommons.ca/DocumentViewer/en/43-2/OGGO/related-document/11193033" TargetMode="External"/><Relationship Id="rId77" Type="http://schemas.openxmlformats.org/officeDocument/2006/relationships/hyperlink" Target="https://www.ourcommons.ca/content/Committee/432/OGGO/WebDoc/WD11193033/432_OGGO_Mar10-Motion/TreasuryBoardSecretariat-e.pdf" TargetMode="External"/><Relationship Id="rId100" Type="http://schemas.openxmlformats.org/officeDocument/2006/relationships/hyperlink" Target="https://www.ourcommons.ca/DocumentViewer/en/43-2/OGGO/related-document/11193033" TargetMode="External"/><Relationship Id="rId105" Type="http://schemas.openxmlformats.org/officeDocument/2006/relationships/hyperlink" Target="https://www.ourcommons.ca/DocumentViewer/en/43-2/OGGO/related-document/11193033" TargetMode="External"/><Relationship Id="rId113" Type="http://schemas.openxmlformats.org/officeDocument/2006/relationships/hyperlink" Target="https://www.ourcommons.ca/DocumentViewer/en/43-2/OGGO/related-document/11193033" TargetMode="External"/><Relationship Id="rId118" Type="http://schemas.openxmlformats.org/officeDocument/2006/relationships/hyperlink" Target="https://www.pbo-dpb.gc.ca/web/default/files/Documents/Info%20Requests/2020/IR0523_ISC_COVID19_update_2_request_e.pdf" TargetMode="External"/><Relationship Id="rId126" Type="http://schemas.openxmlformats.org/officeDocument/2006/relationships/hyperlink" Target="https://www.ourcommons.ca/DocumentViewer/en/43-2/OGGO/related-document/11193033" TargetMode="External"/><Relationship Id="rId8" Type="http://schemas.openxmlformats.org/officeDocument/2006/relationships/hyperlink" Target="https://www.pbo-dpb.gc.ca/web/default/files/Documents/Info%20Requests/2020/IR0462_CIRNAC_COVID-19_Measures_request_e_signed.pdf" TargetMode="External"/><Relationship Id="rId51" Type="http://schemas.openxmlformats.org/officeDocument/2006/relationships/hyperlink" Target="https://www.pbo-dpb.gc.ca/web/default/files/Documents/Info%20Requests/2020/IR0528_PHAC_COVID19_update_request_e.pdf" TargetMode="External"/><Relationship Id="rId72" Type="http://schemas.openxmlformats.org/officeDocument/2006/relationships/hyperlink" Target="https://www.ourcommons.ca/DocumentViewer/en/43-2/OGGO/related-document/11193033" TargetMode="External"/><Relationship Id="rId80" Type="http://schemas.openxmlformats.org/officeDocument/2006/relationships/hyperlink" Target="https://www.ourcommons.ca/DocumentViewer/en/43-2/OGGO/related-document/11193033" TargetMode="External"/><Relationship Id="rId85" Type="http://schemas.openxmlformats.org/officeDocument/2006/relationships/hyperlink" Target="https://www.ourcommons.ca/DocumentViewer/en/43-2/OGGO/related-document/11193033" TargetMode="External"/><Relationship Id="rId93" Type="http://schemas.openxmlformats.org/officeDocument/2006/relationships/hyperlink" Target="https://www.ourcommons.ca/DocumentViewer/en/43-2/OGGO/related-document/11193033" TargetMode="External"/><Relationship Id="rId98" Type="http://schemas.openxmlformats.org/officeDocument/2006/relationships/hyperlink" Target="https://www.pbo-dpb.gc.ca/web/default/files/Documents/Info%20Requests/2020/IR0522_ISEDC_Granting_Councils_COVID19_request_e.pdf" TargetMode="External"/><Relationship Id="rId121" Type="http://schemas.openxmlformats.org/officeDocument/2006/relationships/hyperlink" Target="https://www.pbo-dpb.gc.ca/web/default/files/Documents/Info%20Requests/2020/IR0523_ISC_COVID19_update_2_request_e.pdf" TargetMode="External"/><Relationship Id="rId3" Type="http://schemas.openxmlformats.org/officeDocument/2006/relationships/hyperlink" Target="https://www.pbo-dpb.gc.ca/web/default/files/Documents/Info%20Requests/2020/IR0530_CIHR_granting_COVID-19_request_e.pdf" TargetMode="External"/><Relationship Id="rId12" Type="http://schemas.openxmlformats.org/officeDocument/2006/relationships/hyperlink" Target="https://www.pbo-dpb.gc.ca/web/default/files/Documents/Info%20Requests/2020/IR0470_ISC_COVID-19_Measures_request_e_signed.pdf" TargetMode="External"/><Relationship Id="rId17" Type="http://schemas.openxmlformats.org/officeDocument/2006/relationships/hyperlink" Target="https://www.pbo-dpb.gc.ca/web/default/files/Documents/Info%20Requests/2020/IR0478_CIHR_COVID-19_ltr_e.pdf" TargetMode="External"/><Relationship Id="rId25" Type="http://schemas.openxmlformats.org/officeDocument/2006/relationships/hyperlink" Target="https://www.pbo-dpb.gc.ca/web/default/files/Documents/Info%20Requests/2020/IR0475_WAGE_COVID-19_Measures_request_e_signed.pdf" TargetMode="External"/><Relationship Id="rId33" Type="http://schemas.openxmlformats.org/officeDocument/2006/relationships/hyperlink" Target="https://www.pbo-dpb.gc.ca/web/default/files/Documents/Info%20Requests/2020/IR0529_PSEP_COVID19_update_request_e.pdf" TargetMode="External"/><Relationship Id="rId38" Type="http://schemas.openxmlformats.org/officeDocument/2006/relationships/hyperlink" Target="https://www.pbo-dpb.gc.ca/web/default/files/Documents/Info%20Requests/2020/IR0530_CIHR_granting_COVID-19_request_e.pdf" TargetMode="External"/><Relationship Id="rId46" Type="http://schemas.openxmlformats.org/officeDocument/2006/relationships/hyperlink" Target="https://www.pbo-dpb.gc.ca/web/default/files/Documents/Info%20Requests/2020/IR0467_GAC_FA_COVID-19_Measures_request_e_signed.pdf" TargetMode="External"/><Relationship Id="rId59" Type="http://schemas.openxmlformats.org/officeDocument/2006/relationships/hyperlink" Target="https://www.pbo-dpb.gc.ca/web/default/files/Documents/Info%20Requests/2020/IR0528_PHAC_COVID19_update_request_e.pdf" TargetMode="External"/><Relationship Id="rId67" Type="http://schemas.openxmlformats.org/officeDocument/2006/relationships/hyperlink" Target="https://www.pbo-dpb.gc.ca/web/default/files/Documents/Info%20Requests/2020/IR0526_NRCCan_COVID19_update_2_request_e.pdf" TargetMode="External"/><Relationship Id="rId103" Type="http://schemas.openxmlformats.org/officeDocument/2006/relationships/hyperlink" Target="https://www.ourcommons.ca/DocumentViewer/en/43-2/OGGO/related-document/11193033" TargetMode="External"/><Relationship Id="rId108" Type="http://schemas.openxmlformats.org/officeDocument/2006/relationships/hyperlink" Target="https://www.ourcommons.ca/DocumentViewer/en/43-2/OGGO/related-document/11193033" TargetMode="External"/><Relationship Id="rId116" Type="http://schemas.openxmlformats.org/officeDocument/2006/relationships/hyperlink" Target="https://www.ourcommons.ca/DocumentViewer/en/43-2/OGGO/related-document/11193033" TargetMode="External"/><Relationship Id="rId124" Type="http://schemas.openxmlformats.org/officeDocument/2006/relationships/hyperlink" Target="https://www.ourcommons.ca/content/Committee/432/OGGO/WebDoc/WD11193033/432_OGGO_Mar10-Motion/TreasuryBoardSecretariat-e.pdf" TargetMode="External"/><Relationship Id="rId20" Type="http://schemas.openxmlformats.org/officeDocument/2006/relationships/hyperlink" Target="https://www.pbo-dpb.gc.ca/web/default/files/Documents/Info%20Requests/2020/IR0490_ISED_COVID-19_Measures_request_e.pdf" TargetMode="External"/><Relationship Id="rId41" Type="http://schemas.openxmlformats.org/officeDocument/2006/relationships/hyperlink" Target="https://www.pbo-dpb.gc.ca/web/default/files/Documents/Info%20Requests/2020/IR0471_ISED_COVID-19_Measures_request_e_signed.pdf" TargetMode="External"/><Relationship Id="rId54" Type="http://schemas.openxmlformats.org/officeDocument/2006/relationships/hyperlink" Target="http://gazette.gc.ca/rp-pr/p2/2020/2020-05-27/html/sor-dors101-eng.html" TargetMode="External"/><Relationship Id="rId62" Type="http://schemas.openxmlformats.org/officeDocument/2006/relationships/hyperlink" Target="https://www.pbo-dpb.gc.ca/web/default/files/Documents/Info%20Requests/2020/IR0528_PHAC_COVID19_update_request_e.pdf" TargetMode="External"/><Relationship Id="rId70" Type="http://schemas.openxmlformats.org/officeDocument/2006/relationships/hyperlink" Target="https://www.ourcommons.ca/DocumentViewer/en/43-2/OGGO/related-document/11193033" TargetMode="External"/><Relationship Id="rId75" Type="http://schemas.openxmlformats.org/officeDocument/2006/relationships/hyperlink" Target="https://www.ourcommons.ca/DocumentViewer/en/43-2/OGGO/related-document/11193033" TargetMode="External"/><Relationship Id="rId83" Type="http://schemas.openxmlformats.org/officeDocument/2006/relationships/hyperlink" Target="https://www.ourcommons.ca/DocumentViewer/en/43-2/OGGO/related-document/11193033" TargetMode="External"/><Relationship Id="rId88" Type="http://schemas.openxmlformats.org/officeDocument/2006/relationships/hyperlink" Target="https://www.ourcommons.ca/DocumentViewer/en/43-2/OGGO/related-document/11193033" TargetMode="External"/><Relationship Id="rId91" Type="http://schemas.openxmlformats.org/officeDocument/2006/relationships/hyperlink" Target="https://www.ourcommons.ca/DocumentViewer/en/43-2/OGGO/related-document/11193033" TargetMode="External"/><Relationship Id="rId96" Type="http://schemas.openxmlformats.org/officeDocument/2006/relationships/hyperlink" Target="https://www.ourcommons.ca/DocumentViewer/en/43-2/OGGO/related-document/11193033" TargetMode="External"/><Relationship Id="rId111" Type="http://schemas.openxmlformats.org/officeDocument/2006/relationships/hyperlink" Target="https://www.ourcommons.ca/DocumentViewer/en/43-2/OGGO/related-document/11193033" TargetMode="External"/><Relationship Id="rId1" Type="http://schemas.openxmlformats.org/officeDocument/2006/relationships/hyperlink" Target="https://www.pbo-dpb.gc.ca/web/default/files/Documents/Info%20Requests/2020/IR0528_PHAC_COVID19_update_request_e.pdf" TargetMode="External"/><Relationship Id="rId6" Type="http://schemas.openxmlformats.org/officeDocument/2006/relationships/hyperlink" Target="https://www.pbo-dpb.gc.ca/web/default/files/Documents/Info%20Requests/2020/IR0559_PSPC_COVID-19_Safety_request_e.pdf" TargetMode="External"/><Relationship Id="rId15" Type="http://schemas.openxmlformats.org/officeDocument/2006/relationships/hyperlink" Target="https://www.pbo-dpb.gc.ca/web/default/files/Documents/Info%20Requests/2020/IR0549_ESDC_COVID-19_Measures_Q_request_e.pdf" TargetMode="External"/><Relationship Id="rId23" Type="http://schemas.openxmlformats.org/officeDocument/2006/relationships/hyperlink" Target="https://www.pbo-dpb.gc.ca/web/default/files/Documents/Info%20Requests/2020/IR0468_HC_COVID-19_Measures_request_e_signed.pdf" TargetMode="External"/><Relationship Id="rId28" Type="http://schemas.openxmlformats.org/officeDocument/2006/relationships/hyperlink" Target="https://www.pbo-dpb.gc.ca/web/default/files/Documents/Info%20Requests/2020/IR0456_AAFC_COVID-19_Allocations_request_e_signed.pdf" TargetMode="External"/><Relationship Id="rId36" Type="http://schemas.openxmlformats.org/officeDocument/2006/relationships/hyperlink" Target="https://www.pbo-dpb.gc.ca/web/default/files/Documents/Info%20Requests/2020/IR0523_ISC_COVID19_update_2_request_e.pdf" TargetMode="External"/><Relationship Id="rId49" Type="http://schemas.openxmlformats.org/officeDocument/2006/relationships/hyperlink" Target="https://www.pbo-dpb.gc.ca/web/default/files/Documents/Info%20Requests/2020/IR0528_PHAC_COVID19_update_request_e.pdf" TargetMode="External"/><Relationship Id="rId57" Type="http://schemas.openxmlformats.org/officeDocument/2006/relationships/hyperlink" Target="https://www.pbo-dpb.gc.ca/web/default/files/Documents/Info%20Requests/2020/IR0456_AAFC_COVID-19_Allocations_request_e_signed.pdf" TargetMode="External"/><Relationship Id="rId106" Type="http://schemas.openxmlformats.org/officeDocument/2006/relationships/hyperlink" Target="https://www.ourcommons.ca/DocumentViewer/en/43-2/OGGO/related-document/11193033" TargetMode="External"/><Relationship Id="rId114" Type="http://schemas.openxmlformats.org/officeDocument/2006/relationships/hyperlink" Target="https://www.ourcommons.ca/DocumentViewer/en/43-2/OGGO/related-document/11193033" TargetMode="External"/><Relationship Id="rId119" Type="http://schemas.openxmlformats.org/officeDocument/2006/relationships/hyperlink" Target="https://www.pbo-dpb.gc.ca/web/default/files/Documents/Info%20Requests/2020/IR0523_ISC_COVID19_update_2_request_e.pdf" TargetMode="External"/><Relationship Id="rId127" Type="http://schemas.openxmlformats.org/officeDocument/2006/relationships/hyperlink" Target="https://www.ourcommons.ca/DocumentViewer/en/43-2/OGGO/related-document/11193033" TargetMode="External"/><Relationship Id="rId10" Type="http://schemas.openxmlformats.org/officeDocument/2006/relationships/hyperlink" Target="https://www.pbo-dpb.gc.ca/web/default/files/Documents/Info%20Requests/2020/IR0519_TC_Fed-Bridge-corp_COVID-19_request_e.pdf" TargetMode="External"/><Relationship Id="rId31" Type="http://schemas.openxmlformats.org/officeDocument/2006/relationships/hyperlink" Target="https://www.pbo-dpb.gc.ca/web/default/files/Documents/Info%20Requests/2020/IR0486_HC_COVID-19_ltr_e.pdf" TargetMode="External"/><Relationship Id="rId44" Type="http://schemas.openxmlformats.org/officeDocument/2006/relationships/hyperlink" Target="https://www.pbo-dpb.gc.ca/web/default/files/Documents/Info%20Requests/2020/IR0490_ISED_COVID-19_Measures_request_e.pdf" TargetMode="External"/><Relationship Id="rId52" Type="http://schemas.openxmlformats.org/officeDocument/2006/relationships/hyperlink" Target="https://www.pbo-dpb.gc.ca/web/default/files/Documents/Info%20Requests/2020/IR0530_CIHR_granting_COVID-19_request_e.pdf" TargetMode="External"/><Relationship Id="rId60" Type="http://schemas.openxmlformats.org/officeDocument/2006/relationships/hyperlink" Target="https://www.pbo-dpb.gc.ca/web/default/files/Documents/Info%20Requests/2021/IR0584_TBS_DigGov_COVID_Measures_request_e.pdf" TargetMode="External"/><Relationship Id="rId65" Type="http://schemas.openxmlformats.org/officeDocument/2006/relationships/hyperlink" Target="https://www.pbo-dpb.gc.ca/web/default/files/Documents/Info%20Requests/2020/IR0528_PHAC_COVID19_update_request_e.pdf" TargetMode="External"/><Relationship Id="rId73" Type="http://schemas.openxmlformats.org/officeDocument/2006/relationships/hyperlink" Target="https://www.ourcommons.ca/DocumentViewer/en/43-2/OGGO/related-document/11193033" TargetMode="External"/><Relationship Id="rId78" Type="http://schemas.openxmlformats.org/officeDocument/2006/relationships/hyperlink" Target="https://www.ourcommons.ca/content/Committee/432/OGGO/WebDoc/WD11193033/432_OGGO_Mar10-Motion/TreasuryBoardSecretariat-e.pdf" TargetMode="External"/><Relationship Id="rId81" Type="http://schemas.openxmlformats.org/officeDocument/2006/relationships/hyperlink" Target="https://www.ourcommons.ca/DocumentViewer/en/43-2/OGGO/related-document/11193033" TargetMode="External"/><Relationship Id="rId86" Type="http://schemas.openxmlformats.org/officeDocument/2006/relationships/hyperlink" Target="https://www.ourcommons.ca/DocumentViewer/en/43-2/OGGO/related-document/11193033" TargetMode="External"/><Relationship Id="rId94" Type="http://schemas.openxmlformats.org/officeDocument/2006/relationships/hyperlink" Target="https://www.ourcommons.ca/DocumentViewer/en/43-2/OGGO/related-document/11193033" TargetMode="External"/><Relationship Id="rId99" Type="http://schemas.openxmlformats.org/officeDocument/2006/relationships/hyperlink" Target="https://www.ourcommons.ca/DocumentViewer/en/43-2/OGGO/related-document/11193033" TargetMode="External"/><Relationship Id="rId101" Type="http://schemas.openxmlformats.org/officeDocument/2006/relationships/hyperlink" Target="https://www.ourcommons.ca/DocumentViewer/en/43-2/OGGO/related-document/11193033" TargetMode="External"/><Relationship Id="rId122" Type="http://schemas.openxmlformats.org/officeDocument/2006/relationships/hyperlink" Target="https://www.ourcommons.ca/content/Committee/432/OGGO/WebDoc/WD11193033/432_OGGO_Mar10-Motion/TreasuryBoardSecretariat-e.pdf" TargetMode="External"/><Relationship Id="rId4" Type="http://schemas.openxmlformats.org/officeDocument/2006/relationships/hyperlink" Target="https://www.pbo-dpb.gc.ca/web/default/files/Documents/Info%20Requests/2020/IR0551_HC_COVID-19_Measures_request_e.pdf" TargetMode="External"/><Relationship Id="rId9" Type="http://schemas.openxmlformats.org/officeDocument/2006/relationships/hyperlink" Target="https://www.pbo-dpb.gc.ca/web/default/files/Documents/Info%20Requests/2020/IR0462_CIRNAC_COVID-19_Measures_request_e_signed.pdf" TargetMode="External"/><Relationship Id="rId13" Type="http://schemas.openxmlformats.org/officeDocument/2006/relationships/hyperlink" Target="https://www.pbo-dpb.gc.ca/web/default/files/Documents/Info%20Requests/2020/IR0523_ISC_COVID19_update_2_request_e.pdf" TargetMode="External"/><Relationship Id="rId18" Type="http://schemas.openxmlformats.org/officeDocument/2006/relationships/hyperlink" Target="https://www.pbo-dpb.gc.ca/web/default/files/Documents/Info%20Requests/2020/IR0478_CIHR_COVID-19_ltr_e.pdf" TargetMode="External"/><Relationship Id="rId39" Type="http://schemas.openxmlformats.org/officeDocument/2006/relationships/hyperlink" Target="https://www.pbo-dpb.gc.ca/web/default/files/Documents/Info%20Requests/2020/IR0468_HC_COVID-19_Measures_request_e_signed.pdf" TargetMode="External"/><Relationship Id="rId109" Type="http://schemas.openxmlformats.org/officeDocument/2006/relationships/hyperlink" Target="https://www.ourcommons.ca/DocumentViewer/en/43-2/OGGO/related-document/11193033" TargetMode="External"/><Relationship Id="rId34" Type="http://schemas.openxmlformats.org/officeDocument/2006/relationships/hyperlink" Target="https://www.pbo-dpb.gc.ca/web/default/files/Documents/Info%20Requests/2020/IR0523_ISC_COVID19_update_2_request_e.pdf" TargetMode="External"/><Relationship Id="rId50" Type="http://schemas.openxmlformats.org/officeDocument/2006/relationships/hyperlink" Target="https://www.pbo-dpb.gc.ca/web/default/files/Documents/Info%20Requests/2020/IR0528_PHAC_COVID19_update_request_e.pdf" TargetMode="External"/><Relationship Id="rId55" Type="http://schemas.openxmlformats.org/officeDocument/2006/relationships/hyperlink" Target="https://www.pbo-dpb.gc.ca/web/default/files/Documents/Info%20Requests/2020/IR0528_PHAC_COVID19_update_request_e.pdf" TargetMode="External"/><Relationship Id="rId76" Type="http://schemas.openxmlformats.org/officeDocument/2006/relationships/hyperlink" Target="https://www.ourcommons.ca/DocumentViewer/en/43-2/OGGO/related-document/11193033" TargetMode="External"/><Relationship Id="rId97" Type="http://schemas.openxmlformats.org/officeDocument/2006/relationships/hyperlink" Target="https://www.ourcommons.ca/DocumentViewer/en/43-2/OGGO/related-document/11193033" TargetMode="External"/><Relationship Id="rId104" Type="http://schemas.openxmlformats.org/officeDocument/2006/relationships/hyperlink" Target="https://www.ourcommons.ca/DocumentViewer/en/43-2/OGGO/related-document/11193033" TargetMode="External"/><Relationship Id="rId120" Type="http://schemas.openxmlformats.org/officeDocument/2006/relationships/hyperlink" Target="https://www.pbo-dpb.gc.ca/web/default/files/Documents/Info%20Requests/2020/IR0550_FIN_COVID-19_Support_request_e.pdf" TargetMode="External"/><Relationship Id="rId125" Type="http://schemas.openxmlformats.org/officeDocument/2006/relationships/hyperlink" Target="https://www.ourcommons.ca/DocumentViewer/en/43-2/OGGO/related-document/11193033" TargetMode="External"/><Relationship Id="rId7" Type="http://schemas.openxmlformats.org/officeDocument/2006/relationships/hyperlink" Target="https://www.pbo-dpb.gc.ca/web/default/files/Documents/Info%20Requests/2020/IR0550_FIN_COVID-19_Support_request_e.pdf" TargetMode="External"/><Relationship Id="rId71" Type="http://schemas.openxmlformats.org/officeDocument/2006/relationships/hyperlink" Target="https://www.ourcommons.ca/DocumentViewer/en/43-2/OGGO/related-document/11193033" TargetMode="External"/><Relationship Id="rId92" Type="http://schemas.openxmlformats.org/officeDocument/2006/relationships/hyperlink" Target="https://www.ourcommons.ca/DocumentViewer/en/43-2/OGGO/related-document/11193033" TargetMode="External"/><Relationship Id="rId2" Type="http://schemas.openxmlformats.org/officeDocument/2006/relationships/hyperlink" Target="https://www.pbo-dpb.gc.ca/web/default/files/Documents/Info%20Requests/2020/IR0528_PHAC_COVID19_update_request_e.pdf" TargetMode="External"/><Relationship Id="rId29" Type="http://schemas.openxmlformats.org/officeDocument/2006/relationships/hyperlink" Target="https://www.pbo-dpb.gc.ca/web/default/files/Documents/Info%20Requests/2020/IR0549_ESDC_COVID-19_Measures_Q_request_e.pdf" TargetMode="External"/><Relationship Id="rId24" Type="http://schemas.openxmlformats.org/officeDocument/2006/relationships/hyperlink" Target="https://www.pbo-dpb.gc.ca/web/default/files/Documents/Info%20Requests/2020/IR0559_PSPC_COVID-19_Safety_request_e.pdf" TargetMode="External"/><Relationship Id="rId40" Type="http://schemas.openxmlformats.org/officeDocument/2006/relationships/hyperlink" Target="https://www.pbo-dpb.gc.ca/web/default/files/Documents/Info%20Requests/2020/IR0472_NRC_COVID-19_Measures_request_e_signed.pdf" TargetMode="External"/><Relationship Id="rId45" Type="http://schemas.openxmlformats.org/officeDocument/2006/relationships/hyperlink" Target="https://www.pbo-dpb.gc.ca/web/default/files/Documents/Info%20Requests/2020/IR0459_CBSA_COVID-19_Measures_request_e_signed.pdf" TargetMode="External"/><Relationship Id="rId66" Type="http://schemas.openxmlformats.org/officeDocument/2006/relationships/hyperlink" Target="https://www.pbo-dpb.gc.ca/web/default/files/Documents/Info%20Requests/2021/IR0581_IFC_COVID_Measures_request_e.pdf" TargetMode="External"/><Relationship Id="rId87" Type="http://schemas.openxmlformats.org/officeDocument/2006/relationships/hyperlink" Target="https://www.ourcommons.ca/DocumentViewer/en/43-2/OGGO/related-document/11193033" TargetMode="External"/><Relationship Id="rId110" Type="http://schemas.openxmlformats.org/officeDocument/2006/relationships/hyperlink" Target="https://www.ourcommons.ca/DocumentViewer/en/43-2/OGGO/related-document/11193033" TargetMode="External"/><Relationship Id="rId115" Type="http://schemas.openxmlformats.org/officeDocument/2006/relationships/hyperlink" Target="https://www.ourcommons.ca/DocumentViewer/en/43-2/OGGO/related-document/11193033" TargetMode="External"/><Relationship Id="rId61" Type="http://schemas.openxmlformats.org/officeDocument/2006/relationships/hyperlink" Target="https://www.pbo-dpb.gc.ca/web/default/files/Documents/Info%20Requests/2020/IR0550_FIN_COVID-19_Support_request_e.pdf" TargetMode="External"/><Relationship Id="rId82" Type="http://schemas.openxmlformats.org/officeDocument/2006/relationships/hyperlink" Target="https://www.ourcommons.ca/DocumentViewer/en/43-2/OGGO/related-document/11193033"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pbo-dpb.gc.ca/web/default/files/Documents/Info%20Requests/2020/IR0540_PCO_COVID-19_Communications_request_e.pdf" TargetMode="External"/><Relationship Id="rId117" Type="http://schemas.openxmlformats.org/officeDocument/2006/relationships/hyperlink" Target="https://www.ourcommons.ca/DocumentViewer/en/43-2/OGGO/related-document/11193033" TargetMode="External"/><Relationship Id="rId21" Type="http://schemas.openxmlformats.org/officeDocument/2006/relationships/hyperlink" Target="https://www.pbo-dpb.gc.ca/web/default/files/Documents/Info%20Requests/2020/IR0515_CIRNAC_COVID-19_update_request_e.pdf" TargetMode="External"/><Relationship Id="rId42" Type="http://schemas.openxmlformats.org/officeDocument/2006/relationships/hyperlink" Target="https://www.pbo-dpb.gc.ca/web/default/files/Documents/Info%20Requests/2020/IR0482_FOC_COVID-19_ltr_e.pdf" TargetMode="External"/><Relationship Id="rId47" Type="http://schemas.openxmlformats.org/officeDocument/2006/relationships/hyperlink" Target="https://www.pbo-dpb.gc.ca/web/default/files/Documents/Info%20Requests/2020/IR0547_CRA_RRIF_request_e.pdf" TargetMode="External"/><Relationship Id="rId63" Type="http://schemas.openxmlformats.org/officeDocument/2006/relationships/hyperlink" Target="https://www.pbo-dpb.gc.ca/web/default/files/Documents/Info%20Requests/2020/IR0526_NRCCan_COVID19_update_2_request_e.pdf" TargetMode="External"/><Relationship Id="rId68" Type="http://schemas.openxmlformats.org/officeDocument/2006/relationships/hyperlink" Target="https://www.pbo-dpb.gc.ca/web/default/files/Documents/Info%20Requests/2020/IR0549_ESDC_COVID-19_Measures_Q_request_e.pdf" TargetMode="External"/><Relationship Id="rId84" Type="http://schemas.openxmlformats.org/officeDocument/2006/relationships/hyperlink" Target="https://www.pbo-dpb.gc.ca/web/default/files/Documents/Info%20Requests/2020/IR0549_ESDC_COVID-19_Measures_Q_request_e.pdf" TargetMode="External"/><Relationship Id="rId89" Type="http://schemas.openxmlformats.org/officeDocument/2006/relationships/hyperlink" Target="https://www.pbo-dpb.gc.ca/web/default/files/Documents/Info%20Requests/2020/IR0549_ESDC_COVID-19_Measures_Q_request_e.pdf" TargetMode="External"/><Relationship Id="rId112" Type="http://schemas.openxmlformats.org/officeDocument/2006/relationships/hyperlink" Target="https://www.ourcommons.ca/DocumentViewer/en/43-2/OGGO/related-document/11193033" TargetMode="External"/><Relationship Id="rId133" Type="http://schemas.openxmlformats.org/officeDocument/2006/relationships/hyperlink" Target="https://www.ourcommons.ca/DocumentViewer/en/43-2/OGGO/related-document/11193033" TargetMode="External"/><Relationship Id="rId138" Type="http://schemas.openxmlformats.org/officeDocument/2006/relationships/hyperlink" Target="https://www.ourcommons.ca/DocumentViewer/en/43-2/OGGO/related-document/11193033" TargetMode="External"/><Relationship Id="rId154" Type="http://schemas.openxmlformats.org/officeDocument/2006/relationships/hyperlink" Target="https://www.ourcommons.ca/DocumentViewer/en/43-2/OGGO/related-document/11193033" TargetMode="External"/><Relationship Id="rId159" Type="http://schemas.openxmlformats.org/officeDocument/2006/relationships/hyperlink" Target="https://www.ourcommons.ca/Committees/en/FINA/StudyActivity?studyActivityId=11128058" TargetMode="External"/><Relationship Id="rId175" Type="http://schemas.openxmlformats.org/officeDocument/2006/relationships/hyperlink" Target="https://www.ourcommons.ca/DocumentViewer/en/43-2/OGGO/related-document/11193033" TargetMode="External"/><Relationship Id="rId170" Type="http://schemas.openxmlformats.org/officeDocument/2006/relationships/hyperlink" Target="https://www.ourcommons.ca/DocumentViewer/en/43-2/OGGO/related-document/11193033" TargetMode="External"/><Relationship Id="rId16" Type="http://schemas.openxmlformats.org/officeDocument/2006/relationships/hyperlink" Target="https://www.canada.ca/en/services/benefits/ei/claims-report.html" TargetMode="External"/><Relationship Id="rId107" Type="http://schemas.openxmlformats.org/officeDocument/2006/relationships/hyperlink" Target="https://www.pbo-dpb.gc.ca/web/default/files/Documents/Info%20Requests/2020/IR0559_PSPC_COVID-19_Safety_request_e.pdf" TargetMode="External"/><Relationship Id="rId11" Type="http://schemas.openxmlformats.org/officeDocument/2006/relationships/hyperlink" Target="https://www.pbo-dpb.gc.ca/web/default/files/Documents/Info%20Requests/2020/IR0471_ISED_COVID-19_Measures_request_e_signed.pdf" TargetMode="External"/><Relationship Id="rId32" Type="http://schemas.openxmlformats.org/officeDocument/2006/relationships/hyperlink" Target="https://www.pbo-dpb.gc.ca/web/default/files/Documents/Info%20Requests/2020/IR0461_CFIA_COVID-19_Allocations_request_e_signed.pdf" TargetMode="External"/><Relationship Id="rId37" Type="http://schemas.openxmlformats.org/officeDocument/2006/relationships/hyperlink" Target="https://www.pbo-dpb.gc.ca/web/default/files/Documents/Info%20Requests/2020/IR0473_NRCan_COVID-19_Measures_request_e_signed.pdf" TargetMode="External"/><Relationship Id="rId53" Type="http://schemas.openxmlformats.org/officeDocument/2006/relationships/hyperlink" Target="https://www.pbo-dpb.gc.ca/web/default/files/Documents/Info%20Requests/2020/IR0549_ESDC_COVID-19_Measures_Q_request_e.pdf" TargetMode="External"/><Relationship Id="rId58" Type="http://schemas.openxmlformats.org/officeDocument/2006/relationships/hyperlink" Target="https://www.pbo-dpb.gc.ca/web/default/files/Documents/Info%20Requests/2020/IR0523_ISC_COVID19_update_2_request_e.pdf" TargetMode="External"/><Relationship Id="rId74" Type="http://schemas.openxmlformats.org/officeDocument/2006/relationships/hyperlink" Target="https://www.pbo-dpb.gc.ca/web/default/files/Documents/Info%20Requests/2020/IR0523_ISC_COVID19_update_2_request_e.pdf" TargetMode="External"/><Relationship Id="rId79" Type="http://schemas.openxmlformats.org/officeDocument/2006/relationships/hyperlink" Target="https://www.pbo-dpb.gc.ca/web/default/files/Documents/Info%20Requests/2020/IR0475_WAGE_COVID-19_Measures_request_e_signed.pdf" TargetMode="External"/><Relationship Id="rId102" Type="http://schemas.openxmlformats.org/officeDocument/2006/relationships/hyperlink" Target="https://www.pbo-dpb.gc.ca/web/default/files/Documents/Info%20Requests/2021/IR0580_ESDC_Fam_COVID_Benefits_request_e.pdf" TargetMode="External"/><Relationship Id="rId123" Type="http://schemas.openxmlformats.org/officeDocument/2006/relationships/hyperlink" Target="https://www.ourcommons.ca/DocumentViewer/en/43-2/OGGO/related-document/11193033" TargetMode="External"/><Relationship Id="rId128" Type="http://schemas.openxmlformats.org/officeDocument/2006/relationships/hyperlink" Target="https://www.ourcommons.ca/DocumentViewer/en/43-2/OGGO/related-document/11193033" TargetMode="External"/><Relationship Id="rId144" Type="http://schemas.openxmlformats.org/officeDocument/2006/relationships/hyperlink" Target="https://www.ourcommons.ca/DocumentViewer/en/43-2/OGGO/related-document/11193033" TargetMode="External"/><Relationship Id="rId149" Type="http://schemas.openxmlformats.org/officeDocument/2006/relationships/hyperlink" Target="https://www.ourcommons.ca/DocumentViewer/en/43-2/OGGO/related-document/11193033" TargetMode="External"/><Relationship Id="rId5" Type="http://schemas.openxmlformats.org/officeDocument/2006/relationships/hyperlink" Target="https://www.pbo-dpb.gc.ca/web/default/files/Documents/Info%20Requests/2020/IR0490_ISED_COVID-19_Measures_request_e.pdf" TargetMode="External"/><Relationship Id="rId90" Type="http://schemas.openxmlformats.org/officeDocument/2006/relationships/hyperlink" Target="https://www.pbo-dpb.gc.ca/web/default/files/Documents/Info%20Requests/2020/IR0465_EDC_COVID-19%20Measures_request_e_signed.pdf" TargetMode="External"/><Relationship Id="rId95" Type="http://schemas.openxmlformats.org/officeDocument/2006/relationships/hyperlink" Target="https://www.pbo-dpb.gc.ca/web/default/files/Documents/Info%20Requests/2020/IR0519_TC_Fed-Bridge-corp_COVID-19_request_e.pdf" TargetMode="External"/><Relationship Id="rId160" Type="http://schemas.openxmlformats.org/officeDocument/2006/relationships/hyperlink" Target="https://www.ourcommons.ca/DocumentViewer/en/43-2/OGGO/related-document/11193033" TargetMode="External"/><Relationship Id="rId165" Type="http://schemas.openxmlformats.org/officeDocument/2006/relationships/hyperlink" Target="https://www.ourcommons.ca/DocumentViewer/en/43-2/OGGO/related-document/11193033" TargetMode="External"/><Relationship Id="rId181" Type="http://schemas.openxmlformats.org/officeDocument/2006/relationships/hyperlink" Target="https://www.ourcommons.ca/DocumentViewer/en/43-2/OGGO/related-document/11193033" TargetMode="External"/><Relationship Id="rId186" Type="http://schemas.openxmlformats.org/officeDocument/2006/relationships/hyperlink" Target="https://www.pbo-dpb.gc.ca/web/default/files/Documents/Info%20Requests/2020/IR0523_ISC_COVID19_update_2_request_e.pdf" TargetMode="External"/><Relationship Id="rId22" Type="http://schemas.openxmlformats.org/officeDocument/2006/relationships/hyperlink" Target="https://www.pbo-dpb.gc.ca/web/default/files/Documents/Info%20Requests/2020/IR0523_ISC_COVID19_update_2_request_e.pdf" TargetMode="External"/><Relationship Id="rId27" Type="http://schemas.openxmlformats.org/officeDocument/2006/relationships/hyperlink" Target="https://www.pbo-dpb.gc.ca/web/default/files/Documents/Info%20Requests/2020/IR0540_PCO_COVID-19_Communications_request_e.pdf" TargetMode="External"/><Relationship Id="rId43" Type="http://schemas.openxmlformats.org/officeDocument/2006/relationships/hyperlink" Target="https://www.pbo-dpb.gc.ca/web/default/files/Documents/Info%20Requests/2020/IR0482_FOC_COVID-19_ltr_e.pdf" TargetMode="External"/><Relationship Id="rId48" Type="http://schemas.openxmlformats.org/officeDocument/2006/relationships/hyperlink" Target="https://www.pbo-dpb.gc.ca/web/default/files/Documents/Info%20Requests/2020/IR0561_SSC_COVID-19_Measures_request_e.pdf" TargetMode="External"/><Relationship Id="rId64" Type="http://schemas.openxmlformats.org/officeDocument/2006/relationships/hyperlink" Target="https://www.pbo-dpb.gc.ca/web/default/files/Documents/Info%20Requests/2020/IR0522_ISEDC_Granting_Councils_COVID19_request_e.pdf" TargetMode="External"/><Relationship Id="rId69" Type="http://schemas.openxmlformats.org/officeDocument/2006/relationships/hyperlink" Target="https://www.pbo-dpb.gc.ca/web/default/files/Documents/Info%20Requests/2020/IR0557_ECCC_COVID-19_Measures_request_e.pdf" TargetMode="External"/><Relationship Id="rId113" Type="http://schemas.openxmlformats.org/officeDocument/2006/relationships/hyperlink" Target="https://www.ourcommons.ca/DocumentViewer/en/43-2/OGGO/related-document/11193033" TargetMode="External"/><Relationship Id="rId118" Type="http://schemas.openxmlformats.org/officeDocument/2006/relationships/hyperlink" Target="https://www.ourcommons.ca/DocumentViewer/en/43-2/OGGO/related-document/11193033" TargetMode="External"/><Relationship Id="rId134" Type="http://schemas.openxmlformats.org/officeDocument/2006/relationships/hyperlink" Target="https://www.ourcommons.ca/DocumentViewer/en/43-2/OGGO/related-document/11193033" TargetMode="External"/><Relationship Id="rId139" Type="http://schemas.openxmlformats.org/officeDocument/2006/relationships/hyperlink" Target="https://www.ourcommons.ca/DocumentViewer/en/43-2/OGGO/related-document/11193033" TargetMode="External"/><Relationship Id="rId80" Type="http://schemas.openxmlformats.org/officeDocument/2006/relationships/hyperlink" Target="https://www.pbo-dpb.gc.ca/web/default/files/Documents/Info%20Requests/2020/IR0475_WAGE_COVID-19_Measures_request_e_signed.pdf" TargetMode="External"/><Relationship Id="rId85" Type="http://schemas.openxmlformats.org/officeDocument/2006/relationships/hyperlink" Target="https://www.pbo-dpb.gc.ca/web/default/files/Documents/Info%20Requests/2020/IR0516_CMHC_COVID19_update_2_request_e.pdf" TargetMode="External"/><Relationship Id="rId150" Type="http://schemas.openxmlformats.org/officeDocument/2006/relationships/hyperlink" Target="https://www.ourcommons.ca/DocumentViewer/en/43-2/OGGO/related-document/11193033" TargetMode="External"/><Relationship Id="rId155" Type="http://schemas.openxmlformats.org/officeDocument/2006/relationships/hyperlink" Target="https://www.ourcommons.ca/DocumentViewer/en/43-2/OGGO/related-document/11193033" TargetMode="External"/><Relationship Id="rId171" Type="http://schemas.openxmlformats.org/officeDocument/2006/relationships/hyperlink" Target="https://www.ourcommons.ca/DocumentViewer/en/43-2/OGGO/related-document/11193033" TargetMode="External"/><Relationship Id="rId176" Type="http://schemas.openxmlformats.org/officeDocument/2006/relationships/hyperlink" Target="https://www.ourcommons.ca/DocumentViewer/en/43-2/OGGO/related-document/11193033" TargetMode="External"/><Relationship Id="rId12" Type="http://schemas.openxmlformats.org/officeDocument/2006/relationships/hyperlink" Target="https://www.pbo-dpb.gc.ca/web/default/files/Documents/Info%20Requests/2020/IR0471_ISED_COVID-19_Measures_request_e_signed.pdf" TargetMode="External"/><Relationship Id="rId17" Type="http://schemas.openxmlformats.org/officeDocument/2006/relationships/hyperlink" Target="https://www.pbo-dpb.gc.ca/web/default/files/Documents/Info%20Requests/2020/IR0561_SSC_COVID-19_Measures_request_e.pdf" TargetMode="External"/><Relationship Id="rId33" Type="http://schemas.openxmlformats.org/officeDocument/2006/relationships/hyperlink" Target="https://www.pbo-dpb.gc.ca/web/default/files/Documents/Info%20Requests/2020/IR0469_Heritage_COVID-19_Measures_request_e_signed.pdf" TargetMode="External"/><Relationship Id="rId38" Type="http://schemas.openxmlformats.org/officeDocument/2006/relationships/hyperlink" Target="https://www.pbo-dpb.gc.ca/web/default/files/Documents/Info%20Requests/2020/IR0456_AAFC_COVID-19_Allocations_request_e_signed.pdf" TargetMode="External"/><Relationship Id="rId59" Type="http://schemas.openxmlformats.org/officeDocument/2006/relationships/hyperlink" Target="https://www.pbo-dpb.gc.ca/web/default/files/Documents/Info%20Requests/2020/IR0523_ISC_COVID19_update_2_request_e.pdf" TargetMode="External"/><Relationship Id="rId103" Type="http://schemas.openxmlformats.org/officeDocument/2006/relationships/hyperlink" Target="https://www.pbo-dpb.gc.ca/web/default/files/Documents/Info%20Requests/2021/IR0580_ESDC_Fam_COVID_Benefits_request_e.pdf" TargetMode="External"/><Relationship Id="rId108" Type="http://schemas.openxmlformats.org/officeDocument/2006/relationships/hyperlink" Target="https://www.pbo-dpb.gc.ca/web/default/files/Documents/Info%20Requests/2020/IR0523_ISC_COVID19_update_2_request_e.pdf" TargetMode="External"/><Relationship Id="rId124" Type="http://schemas.openxmlformats.org/officeDocument/2006/relationships/hyperlink" Target="https://www.ourcommons.ca/content/Committee/432/OGGO/WebDoc/WD11193033/432_OGGO_Mar10-Motion/TreasuryBoardSecretariat-e.pdf" TargetMode="External"/><Relationship Id="rId129" Type="http://schemas.openxmlformats.org/officeDocument/2006/relationships/hyperlink" Target="https://www.ourcommons.ca/DocumentViewer/en/43-2/OGGO/related-document/11193033" TargetMode="External"/><Relationship Id="rId54" Type="http://schemas.openxmlformats.org/officeDocument/2006/relationships/hyperlink" Target="https://www.pbo-dpb.gc.ca/web/default/files/Documents/Info%20Requests/2020/IR0456_AAFC_COVID-19_Allocations_request_e_signed.pdf" TargetMode="External"/><Relationship Id="rId70" Type="http://schemas.openxmlformats.org/officeDocument/2006/relationships/hyperlink" Target="https://www.pbo-dpb.gc.ca/web/default/files/Documents/Info%20Requests/2020/IR0558_Heritage_COVID-19_Support_request_e.pdf" TargetMode="External"/><Relationship Id="rId75" Type="http://schemas.openxmlformats.org/officeDocument/2006/relationships/hyperlink" Target="https://www.pbo-dpb.gc.ca/web/default/files/Documents/Info%20Requests/2020/IR0468_HC_COVID-19_Measures_request_e_signed.pdf" TargetMode="External"/><Relationship Id="rId91" Type="http://schemas.openxmlformats.org/officeDocument/2006/relationships/hyperlink" Target="https://ceba-cuec.ca/" TargetMode="External"/><Relationship Id="rId96" Type="http://schemas.openxmlformats.org/officeDocument/2006/relationships/hyperlink" Target="https://www.pbo-dpb.gc.ca/web/default/files/Documents/Info%20Requests/2021/IR0579_ESDC_COVID_Temp-EI_request_e.pdf" TargetMode="External"/><Relationship Id="rId140" Type="http://schemas.openxmlformats.org/officeDocument/2006/relationships/hyperlink" Target="https://www.ourcommons.ca/DocumentViewer/en/43-2/OGGO/related-document/11193033" TargetMode="External"/><Relationship Id="rId145" Type="http://schemas.openxmlformats.org/officeDocument/2006/relationships/hyperlink" Target="https://www.ourcommons.ca/DocumentViewer/en/43-2/OGGO/related-document/11193033" TargetMode="External"/><Relationship Id="rId161" Type="http://schemas.openxmlformats.org/officeDocument/2006/relationships/hyperlink" Target="https://www.ourcommons.ca/DocumentViewer/en/43-2/OGGO/related-document/11193033" TargetMode="External"/><Relationship Id="rId166" Type="http://schemas.openxmlformats.org/officeDocument/2006/relationships/hyperlink" Target="https://www.ourcommons.ca/DocumentViewer/en/43-2/OGGO/related-document/11193033" TargetMode="External"/><Relationship Id="rId182" Type="http://schemas.openxmlformats.org/officeDocument/2006/relationships/hyperlink" Target="https://www.ourcommons.ca/DocumentViewer/en/43-2/OGGO/related-document/11193033" TargetMode="External"/><Relationship Id="rId187" Type="http://schemas.openxmlformats.org/officeDocument/2006/relationships/hyperlink" Target="https://www.pbo-dpb.gc.ca/web/default/files/Documents/Info%20Requests/2020/IR0523_ISC_COVID19_update_2_request_e.pdf" TargetMode="External"/><Relationship Id="rId1" Type="http://schemas.openxmlformats.org/officeDocument/2006/relationships/hyperlink" Target="https://www.pbo-dpb.gc.ca/web/default/files/Documents/Info%20Requests/2020/IR0464_CRTC_COVID-19_Measures_request_e_signed.pdf" TargetMode="External"/><Relationship Id="rId6" Type="http://schemas.openxmlformats.org/officeDocument/2006/relationships/hyperlink" Target="https://www.canada.ca/en/revenue-agency/services/subsidy/emergency-wage-subsidy/cews-statistics.html" TargetMode="External"/><Relationship Id="rId23" Type="http://schemas.openxmlformats.org/officeDocument/2006/relationships/hyperlink" Target="https://www.pbo-dpb.gc.ca/web/default/files/Documents/Info%20Requests/2020/IR0524_ISED_COVID19_update_2_request_e.pdf" TargetMode="External"/><Relationship Id="rId28" Type="http://schemas.openxmlformats.org/officeDocument/2006/relationships/hyperlink" Target="https://www.pbo-dpb.gc.ca/web/default/files/Documents/Info%20Requests/2020/IR0528_PHAC_COVID19_update_request_e.pdf" TargetMode="External"/><Relationship Id="rId49" Type="http://schemas.openxmlformats.org/officeDocument/2006/relationships/hyperlink" Target="https://www.pbo-dpb.gc.ca/web/default/files/Documents/Info%20Requests/2020/IR0547_CRA_RRIF_request_e.pdf" TargetMode="External"/><Relationship Id="rId114" Type="http://schemas.openxmlformats.org/officeDocument/2006/relationships/hyperlink" Target="https://www.ourcommons.ca/DocumentViewer/en/43-2/OGGO/related-document/11193033" TargetMode="External"/><Relationship Id="rId119" Type="http://schemas.openxmlformats.org/officeDocument/2006/relationships/hyperlink" Target="https://www.ourcommons.ca/DocumentViewer/en/43-2/OGGO/related-document/11193033" TargetMode="External"/><Relationship Id="rId44" Type="http://schemas.openxmlformats.org/officeDocument/2006/relationships/hyperlink" Target="https://www.pbo-dpb.gc.ca/web/default/files/Documents/Info%20Requests/2020/IR0482_FOC_COVID-19_ltr_e.pdf" TargetMode="External"/><Relationship Id="rId60" Type="http://schemas.openxmlformats.org/officeDocument/2006/relationships/hyperlink" Target="https://www.pbo-dpb.gc.ca/web/default/files/Documents/Info%20Requests/2020/IR0524_ISED_COVID19_update_2_request_e.pdf" TargetMode="External"/><Relationship Id="rId65" Type="http://schemas.openxmlformats.org/officeDocument/2006/relationships/hyperlink" Target="https://www.pbo-dpb.gc.ca/web/default/files/Documents/Info%20Requests/2020/IR0522_ISEDC_Granting_Councils_COVID19_request_e.pdf" TargetMode="External"/><Relationship Id="rId81" Type="http://schemas.openxmlformats.org/officeDocument/2006/relationships/hyperlink" Target="https://www.pbo-dpb.gc.ca/web/default/files/Documents/Info%20Requests/2020/IR0475_WAGE_COVID-19_Measures_request_e_signed.pdf" TargetMode="External"/><Relationship Id="rId86" Type="http://schemas.openxmlformats.org/officeDocument/2006/relationships/hyperlink" Target="https://www.pbo-dpb.gc.ca/web/default/files/Documents/Info%20Requests/2020/IR0552_NRcan_COVID-19_Measures_request_e.pdf" TargetMode="External"/><Relationship Id="rId130" Type="http://schemas.openxmlformats.org/officeDocument/2006/relationships/hyperlink" Target="https://www.ourcommons.ca/DocumentViewer/en/43-2/OGGO/related-document/11193033" TargetMode="External"/><Relationship Id="rId135" Type="http://schemas.openxmlformats.org/officeDocument/2006/relationships/hyperlink" Target="https://www.ourcommons.ca/DocumentViewer/en/43-2/OGGO/related-document/11193033" TargetMode="External"/><Relationship Id="rId151" Type="http://schemas.openxmlformats.org/officeDocument/2006/relationships/hyperlink" Target="https://www.ourcommons.ca/DocumentViewer/en/43-2/OGGO/related-document/11193033" TargetMode="External"/><Relationship Id="rId156" Type="http://schemas.openxmlformats.org/officeDocument/2006/relationships/hyperlink" Target="https://www.ourcommons.ca/DocumentViewer/en/43-2/OGGO/related-document/11193033" TargetMode="External"/><Relationship Id="rId177" Type="http://schemas.openxmlformats.org/officeDocument/2006/relationships/hyperlink" Target="https://www.ourcommons.ca/DocumentViewer/en/43-2/OGGO/related-document/11193033" TargetMode="External"/><Relationship Id="rId172" Type="http://schemas.openxmlformats.org/officeDocument/2006/relationships/hyperlink" Target="https://www.ourcommons.ca/DocumentViewer/en/43-2/OGGO/related-document/11193033" TargetMode="External"/><Relationship Id="rId13" Type="http://schemas.openxmlformats.org/officeDocument/2006/relationships/hyperlink" Target="https://www.pbo-dpb.gc.ca/web/default/files/Documents/Info%20Requests/2020/IR0547_CRA_RRIF_request_e.pdf" TargetMode="External"/><Relationship Id="rId18" Type="http://schemas.openxmlformats.org/officeDocument/2006/relationships/hyperlink" Target="https://www.canada.ca/en/revenue-agency/services/benefits/emergency-student-benefit/cesb-statistics.html" TargetMode="External"/><Relationship Id="rId39" Type="http://schemas.openxmlformats.org/officeDocument/2006/relationships/hyperlink" Target="https://www.pbo-dpb.gc.ca/web/default/files/Documents/Info%20Requests/2020/IR0456_AAFC_COVID-19_Allocations_request_e_signed.pdf" TargetMode="External"/><Relationship Id="rId109" Type="http://schemas.openxmlformats.org/officeDocument/2006/relationships/hyperlink" Target="https://www.pbo-dpb.gc.ca/web/default/files/Documents/Info%20Requests/2020/IR0524_ISED_COVID19_update_2_request_e.pdf" TargetMode="External"/><Relationship Id="rId34" Type="http://schemas.openxmlformats.org/officeDocument/2006/relationships/hyperlink" Target="https://www.pbo-dpb.gc.ca/web/default/files/Documents/Info%20Requests/2020/IR0469_Heritage_COVID-19_Measures_request_e_signed.pdf" TargetMode="External"/><Relationship Id="rId50" Type="http://schemas.openxmlformats.org/officeDocument/2006/relationships/hyperlink" Target="https://www.pbo-dpb.gc.ca/web/default/files/Documents/Info%20Requests/2020/IR0517_CRA_COVID19_followup_request_e.pdf" TargetMode="External"/><Relationship Id="rId55" Type="http://schemas.openxmlformats.org/officeDocument/2006/relationships/hyperlink" Target="https://www.pbo-dpb.gc.ca/web/default/files/Documents/Info%20Requests/2020/IR0456_AAFC_COVID-19_Allocations_request_e_signed.pdf" TargetMode="External"/><Relationship Id="rId76" Type="http://schemas.openxmlformats.org/officeDocument/2006/relationships/hyperlink" Target="https://www.pbo-dpb.gc.ca/web/default/files/Documents/Info%20Requests/2020/IR0547_CRA_RRIF_request_e.pdf" TargetMode="External"/><Relationship Id="rId97" Type="http://schemas.openxmlformats.org/officeDocument/2006/relationships/hyperlink" Target="https://www.pbo-dpb.gc.ca/web/default/files/Documents/Info%20Requests/2020/IR0524_ISED_COVID19_update_2_request_e.pdf" TargetMode="External"/><Relationship Id="rId104" Type="http://schemas.openxmlformats.org/officeDocument/2006/relationships/hyperlink" Target="https://www.pbo-dpb.gc.ca/web/default/files/Documents/Info%20Requests/2021/IR0585_VIA_COVID_Funding_request_e.pdf" TargetMode="External"/><Relationship Id="rId120" Type="http://schemas.openxmlformats.org/officeDocument/2006/relationships/hyperlink" Target="https://www.ourcommons.ca/DocumentViewer/en/43-2/OGGO/related-document/11193033" TargetMode="External"/><Relationship Id="rId125" Type="http://schemas.openxmlformats.org/officeDocument/2006/relationships/hyperlink" Target="https://www.ourcommons.ca/DocumentViewer/en/43-2/OGGO/related-document/11193033" TargetMode="External"/><Relationship Id="rId141" Type="http://schemas.openxmlformats.org/officeDocument/2006/relationships/hyperlink" Target="https://www.ourcommons.ca/DocumentViewer/en/43-2/OGGO/related-document/11193033" TargetMode="External"/><Relationship Id="rId146" Type="http://schemas.openxmlformats.org/officeDocument/2006/relationships/hyperlink" Target="https://www.ourcommons.ca/DocumentViewer/en/43-2/OGGO/related-document/11193033" TargetMode="External"/><Relationship Id="rId167" Type="http://schemas.openxmlformats.org/officeDocument/2006/relationships/hyperlink" Target="https://www.ourcommons.ca/DocumentViewer/en/43-2/OGGO/related-document/11193033" TargetMode="External"/><Relationship Id="rId188" Type="http://schemas.openxmlformats.org/officeDocument/2006/relationships/hyperlink" Target="https://www.ourcommons.ca/Committees/en/FINA/StudyActivity?studyActivityId=11128058" TargetMode="External"/><Relationship Id="rId7" Type="http://schemas.openxmlformats.org/officeDocument/2006/relationships/hyperlink" Target="https://www.pbo-dpb.gc.ca/web/default/files/Documents/Info%20Requests/2020/IR0481_CRA_COVID-19_ltr_e.pdf" TargetMode="External"/><Relationship Id="rId71" Type="http://schemas.openxmlformats.org/officeDocument/2006/relationships/hyperlink" Target="https://www.pbo-dpb.gc.ca/web/default/files/Documents/Info%20Requests/2020/IR0561_SSC_COVID-19_Measures_request_e.pdf" TargetMode="External"/><Relationship Id="rId92" Type="http://schemas.openxmlformats.org/officeDocument/2006/relationships/hyperlink" Target="http://www.gazette.gc.ca/rp-pr/p2/2020/2020-10-14/html/sor-dors208-eng.html" TargetMode="External"/><Relationship Id="rId162" Type="http://schemas.openxmlformats.org/officeDocument/2006/relationships/hyperlink" Target="https://www.ourcommons.ca/DocumentViewer/en/43-2/OGGO/related-document/11193033" TargetMode="External"/><Relationship Id="rId183" Type="http://schemas.openxmlformats.org/officeDocument/2006/relationships/hyperlink" Target="https://www.ourcommons.ca/DocumentViewer/en/43-2/OGGO/related-document/11193033" TargetMode="External"/><Relationship Id="rId2" Type="http://schemas.openxmlformats.org/officeDocument/2006/relationships/hyperlink" Target="https://www.pbo-dpb.gc.ca/web/default/files/Documents/Info%20Requests/2020/IR0558_Heritage_COVID-19_Support_request_e.pdf" TargetMode="External"/><Relationship Id="rId29" Type="http://schemas.openxmlformats.org/officeDocument/2006/relationships/hyperlink" Target="https://www.pbo-dpb.gc.ca/web/default/files/Documents/Info%20Requests/2020/IR0550_FIN_COVID-19_Support_request_e.pdf" TargetMode="External"/><Relationship Id="rId24" Type="http://schemas.openxmlformats.org/officeDocument/2006/relationships/hyperlink" Target="https://www.pbo-dpb.gc.ca/web/default/files/Documents/Info%20Requests/2020/IR0516_CMHC_COVID19_update_2_request_e.pdf" TargetMode="External"/><Relationship Id="rId40" Type="http://schemas.openxmlformats.org/officeDocument/2006/relationships/hyperlink" Target="https://www.pbo-dpb.gc.ca/web/default/files/Documents/Info%20Requests/2020/IR0539_ISED_COVID-19_Funding_request_e.pdf" TargetMode="External"/><Relationship Id="rId45" Type="http://schemas.openxmlformats.org/officeDocument/2006/relationships/hyperlink" Target="https://www.pbo-dpb.gc.ca/web/default/files/Documents/Info%20Requests/2020/IR0522_ISEDC_Granting_Councils_COVID19_request_e.pdf" TargetMode="External"/><Relationship Id="rId66" Type="http://schemas.openxmlformats.org/officeDocument/2006/relationships/hyperlink" Target="https://www.pbo-dpb.gc.ca/web/default/files/Documents/Info%20Requests/2020/IR0530_CIHR_granting_COVID-19_request_e.pdf" TargetMode="External"/><Relationship Id="rId87" Type="http://schemas.openxmlformats.org/officeDocument/2006/relationships/hyperlink" Target="https://www.pbo-dpb.gc.ca/web/default/files/Documents/Info%20Requests/2020/IR0524_ISED_COVID19_update_2_request_e.pdf" TargetMode="External"/><Relationship Id="rId110" Type="http://schemas.openxmlformats.org/officeDocument/2006/relationships/hyperlink" Target="https://www.pbo-dpb.gc.ca/web/default/files/Documents/Info%20Requests/2020/IR0523_ISC_COVID19_update_2_request_e.pdf" TargetMode="External"/><Relationship Id="rId115" Type="http://schemas.openxmlformats.org/officeDocument/2006/relationships/hyperlink" Target="https://www.ourcommons.ca/DocumentViewer/en/43-2/OGGO/related-document/11193033" TargetMode="External"/><Relationship Id="rId131" Type="http://schemas.openxmlformats.org/officeDocument/2006/relationships/hyperlink" Target="https://www.ourcommons.ca/DocumentViewer/en/43-2/OGGO/related-document/11193033" TargetMode="External"/><Relationship Id="rId136" Type="http://schemas.openxmlformats.org/officeDocument/2006/relationships/hyperlink" Target="https://www.ourcommons.ca/DocumentViewer/en/43-2/OGGO/related-document/11193033" TargetMode="External"/><Relationship Id="rId157" Type="http://schemas.openxmlformats.org/officeDocument/2006/relationships/hyperlink" Target="https://www.ourcommons.ca/DocumentViewer/en/43-2/OGGO/related-document/11193033" TargetMode="External"/><Relationship Id="rId178" Type="http://schemas.openxmlformats.org/officeDocument/2006/relationships/hyperlink" Target="https://www.ourcommons.ca/DocumentViewer/en/43-2/OGGO/related-document/11193033" TargetMode="External"/><Relationship Id="rId61" Type="http://schemas.openxmlformats.org/officeDocument/2006/relationships/hyperlink" Target="https://www.pbo-dpb.gc.ca/web/default/files/Documents/Info%20Requests/2020/IR0524_ISED_COVID19_update_2_request_e.pdf" TargetMode="External"/><Relationship Id="rId82" Type="http://schemas.openxmlformats.org/officeDocument/2006/relationships/hyperlink" Target="https://www.pbo-dpb.gc.ca/web/default/files/Documents/Info%20Requests/2020/IR0523_ISC_COVID19_update_2_request_e.pdf" TargetMode="External"/><Relationship Id="rId152" Type="http://schemas.openxmlformats.org/officeDocument/2006/relationships/hyperlink" Target="https://www.ourcommons.ca/DocumentViewer/en/43-2/OGGO/related-document/11193033" TargetMode="External"/><Relationship Id="rId173" Type="http://schemas.openxmlformats.org/officeDocument/2006/relationships/hyperlink" Target="https://www.ourcommons.ca/DocumentViewer/en/43-2/OGGO/related-document/11193033" TargetMode="External"/><Relationship Id="rId19" Type="http://schemas.openxmlformats.org/officeDocument/2006/relationships/hyperlink" Target="https://www.pbo-dpb.gc.ca/web/default/files/Documents/Info%20Requests/2020/IR0480_CMHC_COVID-19_ltr_e.pdf" TargetMode="External"/><Relationship Id="rId14" Type="http://schemas.openxmlformats.org/officeDocument/2006/relationships/hyperlink" Target="https://www.pbo-dpb.gc.ca/web/default/files/Documents/Info%20Requests/2020/IR0550_FIN_COVID-19_Support_request_e.pdf" TargetMode="External"/><Relationship Id="rId30" Type="http://schemas.openxmlformats.org/officeDocument/2006/relationships/hyperlink" Target="https://www.pbo-dpb.gc.ca/web/default/files/Documents/Info%20Requests/2020/IR0551_HC_COVID-19_Measures_request_e.pdf" TargetMode="External"/><Relationship Id="rId35" Type="http://schemas.openxmlformats.org/officeDocument/2006/relationships/hyperlink" Target="https://www.pbo-dpb.gc.ca/web/default/files/Documents/Info%20Requests/2020/IR0494_FIN_COVID-19_Measures_request_e.pdf" TargetMode="External"/><Relationship Id="rId56" Type="http://schemas.openxmlformats.org/officeDocument/2006/relationships/hyperlink" Target="https://www.pbo-dpb.gc.ca/web/default/files/Documents/Info%20Requests/2020/IR0516_CMHC_COVID19_update_2_request_e.pdf" TargetMode="External"/><Relationship Id="rId77" Type="http://schemas.openxmlformats.org/officeDocument/2006/relationships/hyperlink" Target="https://www.pbo-dpb.gc.ca/web/default/files/Documents/Info%20Requests/2020/IR0560_VA_COVID-19_Measures_request_e.pdf" TargetMode="External"/><Relationship Id="rId100" Type="http://schemas.openxmlformats.org/officeDocument/2006/relationships/hyperlink" Target="https://www.pbo-dpb.gc.ca/web/default/files/Documents/Info%20Requests/2021/IR0578_Corr-Serv_COVID_Measures_request_e.pdf" TargetMode="External"/><Relationship Id="rId105" Type="http://schemas.openxmlformats.org/officeDocument/2006/relationships/hyperlink" Target="https://www.pbo-dpb.gc.ca/web/default/files/Documents/Info%20Requests/2021/IR0582_Justice_COVID_Measures_request_e.pdf" TargetMode="External"/><Relationship Id="rId126" Type="http://schemas.openxmlformats.org/officeDocument/2006/relationships/hyperlink" Target="https://www.ourcommons.ca/DocumentViewer/en/43-2/OGGO/related-document/11193033" TargetMode="External"/><Relationship Id="rId147" Type="http://schemas.openxmlformats.org/officeDocument/2006/relationships/hyperlink" Target="https://www.ourcommons.ca/DocumentViewer/en/43-2/OGGO/related-document/11193033" TargetMode="External"/><Relationship Id="rId168" Type="http://schemas.openxmlformats.org/officeDocument/2006/relationships/hyperlink" Target="https://www.ourcommons.ca/DocumentViewer/en/43-2/OGGO/related-document/11193033" TargetMode="External"/><Relationship Id="rId8" Type="http://schemas.openxmlformats.org/officeDocument/2006/relationships/hyperlink" Target="https://www.canada.ca/en/revenue-agency/services/benefits/recovery-benefit/crb-statistics.html" TargetMode="External"/><Relationship Id="rId51" Type="http://schemas.openxmlformats.org/officeDocument/2006/relationships/hyperlink" Target="https://www.pbo-dpb.gc.ca/web/default/files/Documents/Info%20Requests/2020/IR0517_CRA_COVID19_followup_request_e.pdf" TargetMode="External"/><Relationship Id="rId72" Type="http://schemas.openxmlformats.org/officeDocument/2006/relationships/hyperlink" Target="https://www.pbo-dpb.gc.ca/web/default/files/Documents/Info%20Requests/2020/IR0549_ESDC_COVID-19_Measures_Q_request_e.pdf" TargetMode="External"/><Relationship Id="rId93" Type="http://schemas.openxmlformats.org/officeDocument/2006/relationships/hyperlink" Target="https://www.pbo-dpb.gc.ca/web/default/files/Documents/Info%20Requests/2020/IR0524_ISED_COVID19_update_2_request_e.pdf" TargetMode="External"/><Relationship Id="rId98" Type="http://schemas.openxmlformats.org/officeDocument/2006/relationships/hyperlink" Target="https://www.pbo-dpb.gc.ca/web/default/files/Documents/Info%20Requests/2020/IR0550_FIN_COVID-19_Support_request_e.pdf" TargetMode="External"/><Relationship Id="rId121" Type="http://schemas.openxmlformats.org/officeDocument/2006/relationships/hyperlink" Target="https://www.ourcommons.ca/DocumentViewer/en/43-2/OGGO/related-document/11193033" TargetMode="External"/><Relationship Id="rId142" Type="http://schemas.openxmlformats.org/officeDocument/2006/relationships/hyperlink" Target="https://www.ourcommons.ca/DocumentViewer/en/43-2/OGGO/related-document/11193033" TargetMode="External"/><Relationship Id="rId163" Type="http://schemas.openxmlformats.org/officeDocument/2006/relationships/hyperlink" Target="https://www.ourcommons.ca/DocumentViewer/en/43-2/OGGO/related-document/11193033" TargetMode="External"/><Relationship Id="rId184" Type="http://schemas.openxmlformats.org/officeDocument/2006/relationships/hyperlink" Target="https://www.ourcommons.ca/Committees/en/FINA/StudyActivity?studyActivityId=11128058" TargetMode="External"/><Relationship Id="rId189" Type="http://schemas.openxmlformats.org/officeDocument/2006/relationships/printerSettings" Target="../printerSettings/printerSettings3.bin"/><Relationship Id="rId3" Type="http://schemas.openxmlformats.org/officeDocument/2006/relationships/hyperlink" Target="https://www.pbo-dpb.gc.ca/web/default/files/Documents/Info%20Requests/2020/IR0474_TC_COVID-19_Measures_request_e_signed.pdf" TargetMode="External"/><Relationship Id="rId25" Type="http://schemas.openxmlformats.org/officeDocument/2006/relationships/hyperlink" Target="https://www.pbo-dpb.gc.ca/web/default/files/Documents/Info%20Requests/2020/IR0521_Finance_Canada_COVID19_update_request_e.pdf" TargetMode="External"/><Relationship Id="rId46" Type="http://schemas.openxmlformats.org/officeDocument/2006/relationships/hyperlink" Target="https://www.pbo-dpb.gc.ca/web/default/files/Documents/Info%20Requests/2020/IR0519_TC_Fed-Bridge-corp_COVID-19_request_e.pdf" TargetMode="External"/><Relationship Id="rId67" Type="http://schemas.openxmlformats.org/officeDocument/2006/relationships/hyperlink" Target="https://www.pbo-dpb.gc.ca/web/default/files/Documents/Info%20Requests/2020/IR0552_NRcan_COVID-19_Measures_request_e.pdf" TargetMode="External"/><Relationship Id="rId116" Type="http://schemas.openxmlformats.org/officeDocument/2006/relationships/hyperlink" Target="https://www.ourcommons.ca/DocumentViewer/en/43-2/OGGO/related-document/11193033" TargetMode="External"/><Relationship Id="rId137" Type="http://schemas.openxmlformats.org/officeDocument/2006/relationships/hyperlink" Target="https://www.ourcommons.ca/DocumentViewer/en/43-2/OGGO/related-document/11193033" TargetMode="External"/><Relationship Id="rId158" Type="http://schemas.openxmlformats.org/officeDocument/2006/relationships/hyperlink" Target="https://www.ourcommons.ca/DocumentViewer/en/43-2/OGGO/related-document/11193033" TargetMode="External"/><Relationship Id="rId20" Type="http://schemas.openxmlformats.org/officeDocument/2006/relationships/hyperlink" Target="https://www.pbo-dpb.gc.ca/web/default/files/Documents/Info%20Requests/2020/IR0523_ISC_COVID19_update_2_request_e.pdf" TargetMode="External"/><Relationship Id="rId41" Type="http://schemas.openxmlformats.org/officeDocument/2006/relationships/hyperlink" Target="https://www.pbo-dpb.gc.ca/web/default/files/Documents/Info%20Requests/2020/IR0539_ISED_COVID-19_Funding_request_e.pdf" TargetMode="External"/><Relationship Id="rId62" Type="http://schemas.openxmlformats.org/officeDocument/2006/relationships/hyperlink" Target="https://www.pbo-dpb.gc.ca/web/default/files/Documents/Info%20Requests/2020/IR0526_NRCCan_COVID19_update_2_request_e.pdf" TargetMode="External"/><Relationship Id="rId83" Type="http://schemas.openxmlformats.org/officeDocument/2006/relationships/hyperlink" Target="https://www.pbo-dpb.gc.ca/web/default/files/Documents/Info%20Requests/2020/IR0523_ISC_COVID19_update_2_request_e.pdf" TargetMode="External"/><Relationship Id="rId88" Type="http://schemas.openxmlformats.org/officeDocument/2006/relationships/hyperlink" Target="https://www.pbo-dpb.gc.ca/web/default/files/Documents/Info%20Requests/2020/IR0492_ECC_COVID-19_Measures_request_e.pdf" TargetMode="External"/><Relationship Id="rId111" Type="http://schemas.openxmlformats.org/officeDocument/2006/relationships/hyperlink" Target="https://www.ourcommons.ca/DocumentViewer/en/43-2/OGGO/related-document/11193033" TargetMode="External"/><Relationship Id="rId132" Type="http://schemas.openxmlformats.org/officeDocument/2006/relationships/hyperlink" Target="https://www.ourcommons.ca/DocumentViewer/en/43-2/OGGO/related-document/11193033" TargetMode="External"/><Relationship Id="rId153" Type="http://schemas.openxmlformats.org/officeDocument/2006/relationships/hyperlink" Target="https://www.ourcommons.ca/DocumentViewer/en/43-2/OGGO/related-document/11193033" TargetMode="External"/><Relationship Id="rId174" Type="http://schemas.openxmlformats.org/officeDocument/2006/relationships/hyperlink" Target="https://www.ourcommons.ca/DocumentViewer/en/43-2/OGGO/related-document/11193033" TargetMode="External"/><Relationship Id="rId179" Type="http://schemas.openxmlformats.org/officeDocument/2006/relationships/hyperlink" Target="https://www.ourcommons.ca/DocumentViewer/en/43-2/OGGO/related-document/11193033" TargetMode="External"/><Relationship Id="rId15" Type="http://schemas.openxmlformats.org/officeDocument/2006/relationships/hyperlink" Target="https://www.pbo-dpb.gc.ca/web/default/files/Documents/Info%20Requests/2020/IR0517_CRA_COVID19_followup_request_e.pdf" TargetMode="External"/><Relationship Id="rId36" Type="http://schemas.openxmlformats.org/officeDocument/2006/relationships/hyperlink" Target="https://www.pbo-dpb.gc.ca/web/default/files/Documents/Info%20Requests/2020/IR0494_FIN_COVID-19_Measures_request_e.pdf" TargetMode="External"/><Relationship Id="rId57" Type="http://schemas.openxmlformats.org/officeDocument/2006/relationships/hyperlink" Target="https://www.pbo-dpb.gc.ca/web/default/files/Documents/Info%20Requests/2020/IR0516_CMHC_COVID19_update_2_request_e.pdf" TargetMode="External"/><Relationship Id="rId106" Type="http://schemas.openxmlformats.org/officeDocument/2006/relationships/hyperlink" Target="https://www.pbo-dpb.gc.ca/web/default/files/Documents/Info%20Requests/2021/IR0582_Justice_COVID_Measures_request_e.pdf" TargetMode="External"/><Relationship Id="rId127" Type="http://schemas.openxmlformats.org/officeDocument/2006/relationships/hyperlink" Target="https://www.ourcommons.ca/DocumentViewer/en/43-2/OGGO/related-document/11193033" TargetMode="External"/><Relationship Id="rId10" Type="http://schemas.openxmlformats.org/officeDocument/2006/relationships/hyperlink" Target="https://www.canada.ca/en/revenue-agency/services/benefits/recovery-caregiving-benefit/crcb-statistics.html" TargetMode="External"/><Relationship Id="rId31" Type="http://schemas.openxmlformats.org/officeDocument/2006/relationships/hyperlink" Target="https://www.pbo-dpb.gc.ca/web/default/files/Documents/Info%20Requests/2020/IR0549_ESDC_COVID-19_Measures_Q_request_e.pdf" TargetMode="External"/><Relationship Id="rId52" Type="http://schemas.openxmlformats.org/officeDocument/2006/relationships/hyperlink" Target="https://www.pbo-dpb.gc.ca/web/default/files/Documents/Info%20Requests/2020/IR0518_ESDC_COVIID19_update_request_e.pdf" TargetMode="External"/><Relationship Id="rId73" Type="http://schemas.openxmlformats.org/officeDocument/2006/relationships/hyperlink" Target="https://www.pbo-dpb.gc.ca/web/default/files/Documents/Info%20Requests/2020/IR0549_ESDC_COVID-19_Measures_Q_request_e.pdf" TargetMode="External"/><Relationship Id="rId78" Type="http://schemas.openxmlformats.org/officeDocument/2006/relationships/hyperlink" Target="https://www.pbo-dpb.gc.ca/web/default/files/Documents/Info%20Requests/2020/IR0456_AAFC_COVID-19_Allocations_request_e_signed.pdf" TargetMode="External"/><Relationship Id="rId94" Type="http://schemas.openxmlformats.org/officeDocument/2006/relationships/hyperlink" Target="https://www.pbo-dpb.gc.ca/web/default/files/Documents/Info%20Requests/2020/IR0524_ISED_COVID19_update_2_request_e.pdf" TargetMode="External"/><Relationship Id="rId99" Type="http://schemas.openxmlformats.org/officeDocument/2006/relationships/hyperlink" Target="https://www.pbo-dpb.gc.ca/web/default/files/Documents/Info%20Requests/2020/IR0560_VA_COVID-19_Measures_request_e.pdf" TargetMode="External"/><Relationship Id="rId101" Type="http://schemas.openxmlformats.org/officeDocument/2006/relationships/hyperlink" Target="https://www.pbo-dpb.gc.ca/web/default/files/Documents/Info%20Requests/2021/IR0583_NCC_COVID_Measures_request_e.pdf" TargetMode="External"/><Relationship Id="rId122" Type="http://schemas.openxmlformats.org/officeDocument/2006/relationships/hyperlink" Target="https://www.ourcommons.ca/DocumentViewer/en/43-2/OGGO/related-document/11193033" TargetMode="External"/><Relationship Id="rId143" Type="http://schemas.openxmlformats.org/officeDocument/2006/relationships/hyperlink" Target="https://www.ourcommons.ca/DocumentViewer/en/43-2/OGGO/related-document/11193033" TargetMode="External"/><Relationship Id="rId148" Type="http://schemas.openxmlformats.org/officeDocument/2006/relationships/hyperlink" Target="https://www.ourcommons.ca/DocumentViewer/en/43-2/OGGO/related-document/11193033" TargetMode="External"/><Relationship Id="rId164" Type="http://schemas.openxmlformats.org/officeDocument/2006/relationships/hyperlink" Target="https://www.ourcommons.ca/DocumentViewer/en/43-2/OGGO/related-document/11193033" TargetMode="External"/><Relationship Id="rId169" Type="http://schemas.openxmlformats.org/officeDocument/2006/relationships/hyperlink" Target="https://www.ourcommons.ca/DocumentViewer/en/43-2/OGGO/related-document/11193033" TargetMode="External"/><Relationship Id="rId185" Type="http://schemas.openxmlformats.org/officeDocument/2006/relationships/hyperlink" Target="https://www.canada.ca/en/revenue-agency/services/subsidy/emergency-rent-subsidy/cers-statistics.html" TargetMode="External"/><Relationship Id="rId4" Type="http://schemas.openxmlformats.org/officeDocument/2006/relationships/hyperlink" Target="https://www.pbo-dpb.gc.ca/web/default/files/Documents/Info%20Requests/2020/IR0471_ISED_COVID-19_Measures_request_e_signed.pdf" TargetMode="External"/><Relationship Id="rId9" Type="http://schemas.openxmlformats.org/officeDocument/2006/relationships/hyperlink" Target="https://www.canada.ca/en/revenue-agency/services/benefits/recovery-sickness-benefit/crsb-statistics.html" TargetMode="External"/><Relationship Id="rId180" Type="http://schemas.openxmlformats.org/officeDocument/2006/relationships/hyperlink" Target="https://www.ourcommons.ca/DocumentViewer/en/43-2/OGGO/related-document/11193033"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pbo-dpb.gc.ca/web/default/files/Documents/Info%20Requests/2020/IR0550_FIN_COVID-19_Support_request_e.pdf" TargetMode="External"/><Relationship Id="rId2" Type="http://schemas.openxmlformats.org/officeDocument/2006/relationships/hyperlink" Target="https://www.pbo-dpb.gc.ca/web/default/files/Documents/Info%20Requests/2020/IR0459_CBSA_COVID-19_Measures_request_e_signed.pdf" TargetMode="External"/><Relationship Id="rId1" Type="http://schemas.openxmlformats.org/officeDocument/2006/relationships/hyperlink" Target="https://www.pbo-dpb.gc.ca/web/default/files/Documents/Info%20Requests/2020/IR0517_CRA_COVID19_followup_request_e.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pbo-dpb.gc.ca/web/default/files/Documents/Info%20Requests/2020/IR0479_CDIC_COVID-19_ltr_e.pdf" TargetMode="External"/><Relationship Id="rId13" Type="http://schemas.openxmlformats.org/officeDocument/2006/relationships/hyperlink" Target="https://www.ourcommons.ca/DocumentViewer/en/43-2/FINA/related-document/11294920" TargetMode="External"/><Relationship Id="rId18" Type="http://schemas.openxmlformats.org/officeDocument/2006/relationships/hyperlink" Target="https://www.ourcommons.ca/Committees/en/FINA/StudyActivity?studyActivityId=11128058" TargetMode="External"/><Relationship Id="rId3" Type="http://schemas.openxmlformats.org/officeDocument/2006/relationships/hyperlink" Target="https://www.pbo-dpb.gc.ca/web/default/files/Documents/Info%20Requests/2020/IR0480_CMHC_COVID-19_ltr_e.pdf" TargetMode="External"/><Relationship Id="rId21" Type="http://schemas.openxmlformats.org/officeDocument/2006/relationships/hyperlink" Target="https://www.ourcommons.ca/Committees/en/FINA/StudyActivity?studyActivityId=11128058" TargetMode="External"/><Relationship Id="rId7" Type="http://schemas.openxmlformats.org/officeDocument/2006/relationships/hyperlink" Target="https://www.ceefc-cfuec.ca/approved-loans/" TargetMode="External"/><Relationship Id="rId12" Type="http://schemas.openxmlformats.org/officeDocument/2006/relationships/hyperlink" Target="https://ceba-cuec.ca/" TargetMode="External"/><Relationship Id="rId17" Type="http://schemas.openxmlformats.org/officeDocument/2006/relationships/hyperlink" Target="https://www.ourcommons.ca/Committees/en/FINA/StudyActivity?studyActivityId=11128058" TargetMode="External"/><Relationship Id="rId2" Type="http://schemas.openxmlformats.org/officeDocument/2006/relationships/hyperlink" Target="https://www.pbo-dpb.gc.ca/web/default/files/Documents/Info%20Requests/2020/IR0465_EDC_COVID-19%20Measures_request_e_signed.pdf" TargetMode="External"/><Relationship Id="rId16" Type="http://schemas.openxmlformats.org/officeDocument/2006/relationships/hyperlink" Target="https://www.pbo-dpb.gc.ca/web/default/files/Documents/Info%20Requests/2020/IR0457_BDC_COVID-19_Measures_request_e_signed.pdf" TargetMode="External"/><Relationship Id="rId20" Type="http://schemas.openxmlformats.org/officeDocument/2006/relationships/hyperlink" Target="https://www.ourcommons.ca/Committees/en/FINA/StudyActivity?studyActivityId=11128058" TargetMode="External"/><Relationship Id="rId1" Type="http://schemas.openxmlformats.org/officeDocument/2006/relationships/hyperlink" Target="https://www.pbo-dpb.gc.ca/web/default/files/Documents/Info%20Requests/2020/IR0465_EDC_COVID-19%20Measures_request_e_signed.pdf" TargetMode="External"/><Relationship Id="rId6" Type="http://schemas.openxmlformats.org/officeDocument/2006/relationships/hyperlink" Target="https://www.pbo-dpb.gc.ca/web/default/files/Documents/Info%20Requests/2020/IR0466_FCC_COVID-19_Measures_request_e_signed.pdf" TargetMode="External"/><Relationship Id="rId11" Type="http://schemas.openxmlformats.org/officeDocument/2006/relationships/hyperlink" Target="https://www.pbo-dpb.gc.ca/web/default/files/Documents/Info%20Requests/2020/IR0550_FIN_COVID-19_Support_request_e.pdf" TargetMode="External"/><Relationship Id="rId5" Type="http://schemas.openxmlformats.org/officeDocument/2006/relationships/hyperlink" Target="https://www.pbo-dpb.gc.ca/web/default/files/Documents/Info%20Requests/2020/IR0457_BDC_COVID-19_Measures_request_e_signed.pdf" TargetMode="External"/><Relationship Id="rId15" Type="http://schemas.openxmlformats.org/officeDocument/2006/relationships/hyperlink" Target="https://www.ourcommons.ca/Committees/en/FINA/StudyActivity?studyActivityId=11128058" TargetMode="External"/><Relationship Id="rId10" Type="http://schemas.openxmlformats.org/officeDocument/2006/relationships/hyperlink" Target="https://www.pbo-dpb.gc.ca/web/default/files/Documents/Info%20Requests/2020/IR0465_EDC_COVID-19%20Measures_request_e_signed.pdf" TargetMode="External"/><Relationship Id="rId19" Type="http://schemas.openxmlformats.org/officeDocument/2006/relationships/hyperlink" Target="https://www.ourcommons.ca/Committees/en/FINA/StudyActivity?studyActivityId=11128058" TargetMode="External"/><Relationship Id="rId4" Type="http://schemas.openxmlformats.org/officeDocument/2006/relationships/hyperlink" Target="https://www.pbo-dpb.gc.ca/web/default/files/Documents/Info%20Requests/2020/IR0457_BDC_COVID-19_Measures_request_e_signed.pdf" TargetMode="External"/><Relationship Id="rId9" Type="http://schemas.openxmlformats.org/officeDocument/2006/relationships/hyperlink" Target="https://www.pbo-dpb.gc.ca/web/default/files/Documents/Info%20Requests/2020/IR0456_AAFC_COVID-19_Allocations_request_e_signed.pdf" TargetMode="External"/><Relationship Id="rId14" Type="http://schemas.openxmlformats.org/officeDocument/2006/relationships/hyperlink" Target="https://www.ourcommons.ca/Committees/en/FINA/StudyActivity?studyActivityId=11128058" TargetMode="External"/><Relationship Id="rId22"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hyperlink" Target="https://www.pbo-dpb.gc.ca/web/default/files/Documents/Info%20Requests/2020/IR0548_Des-Can_COVID-19_Measures_request_e.pdf" TargetMode="External"/><Relationship Id="rId13" Type="http://schemas.openxmlformats.org/officeDocument/2006/relationships/hyperlink" Target="https://www.pbo-dpb.gc.ca/web/default/files/Documents/Info%20Requests/2020/IR0483_ESDC_COVID-19_ltr_e.pdf" TargetMode="External"/><Relationship Id="rId18" Type="http://schemas.openxmlformats.org/officeDocument/2006/relationships/hyperlink" Target="https://www.pbo-dpb.gc.ca/web/default/files/Documents/Info%20Requests/2020/IR0519_TC_Fed-Bridge-corp_COVID-19_request_e.pdf" TargetMode="External"/><Relationship Id="rId3" Type="http://schemas.openxmlformats.org/officeDocument/2006/relationships/hyperlink" Target="https://www.pbo-dpb.gc.ca/web/default/files/Documents/Info%20Requests/2020/IR0526_NRCCan_COVID19_update_2_request_e.pdf" TargetMode="External"/><Relationship Id="rId21" Type="http://schemas.openxmlformats.org/officeDocument/2006/relationships/hyperlink" Target="https://www.pbo-dpb.gc.ca/web/default/files/Documents/Info%20Requests/2020/IR0524_ISED_COVID19_update_2_request_e.pdf" TargetMode="External"/><Relationship Id="rId7" Type="http://schemas.openxmlformats.org/officeDocument/2006/relationships/hyperlink" Target="https://www.pbo-dpb.gc.ca/web/default/files/Documents/Info%20Requests/2020/IR0524_ISED_COVID19_update_2_request_e.pdf" TargetMode="External"/><Relationship Id="rId12" Type="http://schemas.openxmlformats.org/officeDocument/2006/relationships/hyperlink" Target="https://search.open.canada.ca/en/gc/?sort=score%20desc&amp;page=1&amp;search_text=new%20horizons%20seniors&amp;gc-search-orgs=Employment%20and%20Social%20Development%20Canada" TargetMode="External"/><Relationship Id="rId17" Type="http://schemas.openxmlformats.org/officeDocument/2006/relationships/hyperlink" Target="https://www.pbo-dpb.gc.ca/web/default/files/Documents/Info%20Requests/2020/IR0530_CIHR_granting_COVID-19_request_e.pdf" TargetMode="External"/><Relationship Id="rId25" Type="http://schemas.openxmlformats.org/officeDocument/2006/relationships/printerSettings" Target="../printerSettings/printerSettings5.bin"/><Relationship Id="rId2" Type="http://schemas.openxmlformats.org/officeDocument/2006/relationships/hyperlink" Target="https://www.pbo-dpb.gc.ca/web/default/files/Documents/Info%20Requests/2020/IR0522_ISEDC_Granting_Councils_COVID19_request_e.pdf" TargetMode="External"/><Relationship Id="rId16" Type="http://schemas.openxmlformats.org/officeDocument/2006/relationships/hyperlink" Target="http://gazette.gc.ca/rp-pr/p2/2020/2020-08-19/html/sor-dors173-eng.html" TargetMode="External"/><Relationship Id="rId20" Type="http://schemas.openxmlformats.org/officeDocument/2006/relationships/hyperlink" Target="https://www.pbo-dpb.gc.ca/web/default/files/Documents/Info%20Requests/2020/IR0526_NRCCan_COVID19_update_2_request_e.pdf" TargetMode="External"/><Relationship Id="rId1" Type="http://schemas.openxmlformats.org/officeDocument/2006/relationships/hyperlink" Target="https://www.pbo-dpb.gc.ca/web/default/files/Documents/Info%20Requests/2020/IR0528_PHAC_COVID19_update_request_e.pdf" TargetMode="External"/><Relationship Id="rId6" Type="http://schemas.openxmlformats.org/officeDocument/2006/relationships/hyperlink" Target="https://www.pbo-dpb.gc.ca/web/default/files/Documents/Info%20Requests/2020/IR0526_NRCCan_COVID19_update_2_request_e.pdf" TargetMode="External"/><Relationship Id="rId11" Type="http://schemas.openxmlformats.org/officeDocument/2006/relationships/hyperlink" Target="https://www.pbo-dpb.gc.ca/web/default/files/Documents/Info%20Requests/2020/IR0564_ESDC_COVID-19_Measures_T_request_e.pdf" TargetMode="External"/><Relationship Id="rId24" Type="http://schemas.openxmlformats.org/officeDocument/2006/relationships/hyperlink" Target="https://www.pbo-dpb.gc.ca/web/default/files/Documents/Info%20Requests/2020/IR0528_PHAC_COVID19_update_request_e.pdf" TargetMode="External"/><Relationship Id="rId5" Type="http://schemas.openxmlformats.org/officeDocument/2006/relationships/hyperlink" Target="https://www.pbo-dpb.gc.ca/web/default/files/Documents/Info%20Requests/2020/IR0519_TC_Fed-Bridge-corp_COVID-19_request_e.pdf" TargetMode="External"/><Relationship Id="rId15" Type="http://schemas.openxmlformats.org/officeDocument/2006/relationships/hyperlink" Target="https://www.pbo-dpb.gc.ca/web/default/files/Documents/Info%20Requests/2020/IR0524_ISED_COVID19_update_2_request_e.pdf" TargetMode="External"/><Relationship Id="rId23" Type="http://schemas.openxmlformats.org/officeDocument/2006/relationships/hyperlink" Target="https://www.pbo-dpb.gc.ca/web/default/files/Documents/Info%20Requests/2020/IR0561_SSC_COVID-19_Measures_request_e.pdf" TargetMode="External"/><Relationship Id="rId10" Type="http://schemas.openxmlformats.org/officeDocument/2006/relationships/hyperlink" Target="https://www.pbo-dpb.gc.ca/web/default/files/Documents/Info%20Requests/2020/IR0562_CCOHS_COVID-19_Measures_request_e.pdf" TargetMode="External"/><Relationship Id="rId19" Type="http://schemas.openxmlformats.org/officeDocument/2006/relationships/hyperlink" Target="https://www.pbo-dpb.gc.ca/web/default/files/Documents/Info%20Requests/2020/IR0526_NRCCan_COVID19_update_2_request_e.pdf" TargetMode="External"/><Relationship Id="rId4" Type="http://schemas.openxmlformats.org/officeDocument/2006/relationships/hyperlink" Target="https://www.pbo-dpb.gc.ca/web/default/files/Documents/Info%20Requests/2020/IR0524_ISED_COVID19_update_2_request_e.pdf" TargetMode="External"/><Relationship Id="rId9" Type="http://schemas.openxmlformats.org/officeDocument/2006/relationships/hyperlink" Target="https://www.pbo-dpb.gc.ca/web/default/files/Documents/Info%20Requests/2020/IR0561_SSC_COVID-19_Measures_request_e.pdf" TargetMode="External"/><Relationship Id="rId14" Type="http://schemas.openxmlformats.org/officeDocument/2006/relationships/hyperlink" Target="https://www.canada.ca/en/employment-social-development/services/work-sharing/statistics.html" TargetMode="External"/><Relationship Id="rId22" Type="http://schemas.openxmlformats.org/officeDocument/2006/relationships/hyperlink" Target="https://www.pbo-dpb.gc.ca/web/default/files/Documents/Info%20Requests/2020/IR0523_ISC_COVID19_update_2_request_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36C36-EE25-43D8-8250-29CBD7B14DB0}">
  <dimension ref="A1:B36"/>
  <sheetViews>
    <sheetView showGridLines="0" tabSelected="1" zoomScale="80" zoomScaleNormal="80" workbookViewId="0"/>
  </sheetViews>
  <sheetFormatPr defaultRowHeight="15" x14ac:dyDescent="0.25"/>
  <cols>
    <col min="1" max="1" width="31.28515625" customWidth="1"/>
    <col min="2" max="2" width="28.140625" customWidth="1"/>
  </cols>
  <sheetData>
    <row r="1" spans="1:1" ht="18.75" x14ac:dyDescent="0.3">
      <c r="A1" s="13" t="s">
        <v>43</v>
      </c>
    </row>
    <row r="2" spans="1:1" x14ac:dyDescent="0.25">
      <c r="A2" t="s">
        <v>44</v>
      </c>
    </row>
    <row r="3" spans="1:1" x14ac:dyDescent="0.25">
      <c r="A3" t="s">
        <v>45</v>
      </c>
    </row>
    <row r="5" spans="1:1" ht="15.75" x14ac:dyDescent="0.25">
      <c r="A5" s="14" t="s">
        <v>46</v>
      </c>
    </row>
    <row r="6" spans="1:1" x14ac:dyDescent="0.25">
      <c r="A6" t="s">
        <v>47</v>
      </c>
    </row>
    <row r="7" spans="1:1" x14ac:dyDescent="0.25">
      <c r="A7" t="s">
        <v>496</v>
      </c>
    </row>
    <row r="8" spans="1:1" s="52" customFormat="1" x14ac:dyDescent="0.25">
      <c r="A8" s="52" t="s">
        <v>361</v>
      </c>
    </row>
    <row r="10" spans="1:1" ht="15.75" x14ac:dyDescent="0.25">
      <c r="A10" s="14" t="s">
        <v>48</v>
      </c>
    </row>
    <row r="11" spans="1:1" x14ac:dyDescent="0.25">
      <c r="A11" t="s">
        <v>336</v>
      </c>
    </row>
    <row r="12" spans="1:1" x14ac:dyDescent="0.25">
      <c r="A12" s="15" t="s">
        <v>0</v>
      </c>
    </row>
    <row r="13" spans="1:1" x14ac:dyDescent="0.25">
      <c r="A13" s="15" t="s">
        <v>49</v>
      </c>
    </row>
    <row r="14" spans="1:1" x14ac:dyDescent="0.25">
      <c r="A14" s="15" t="s">
        <v>50</v>
      </c>
    </row>
    <row r="15" spans="1:1" x14ac:dyDescent="0.25">
      <c r="A15" s="15" t="s">
        <v>51</v>
      </c>
    </row>
    <row r="16" spans="1:1" x14ac:dyDescent="0.25">
      <c r="A16" t="s">
        <v>646</v>
      </c>
    </row>
    <row r="17" spans="1:2" x14ac:dyDescent="0.25">
      <c r="A17" s="16" t="s">
        <v>645</v>
      </c>
    </row>
    <row r="19" spans="1:2" ht="15.75" x14ac:dyDescent="0.25">
      <c r="A19" s="14" t="s">
        <v>52</v>
      </c>
    </row>
    <row r="20" spans="1:2" x14ac:dyDescent="0.25">
      <c r="A20" s="17" t="s">
        <v>53</v>
      </c>
      <c r="B20" t="s">
        <v>54</v>
      </c>
    </row>
    <row r="21" spans="1:2" x14ac:dyDescent="0.25">
      <c r="A21" s="17" t="s">
        <v>55</v>
      </c>
      <c r="B21" t="s">
        <v>56</v>
      </c>
    </row>
    <row r="22" spans="1:2" x14ac:dyDescent="0.25">
      <c r="A22" s="17" t="s">
        <v>57</v>
      </c>
      <c r="B22" t="s">
        <v>375</v>
      </c>
    </row>
    <row r="23" spans="1:2" x14ac:dyDescent="0.25">
      <c r="A23" s="17" t="s">
        <v>58</v>
      </c>
      <c r="B23" t="s">
        <v>59</v>
      </c>
    </row>
    <row r="24" spans="1:2" x14ac:dyDescent="0.25">
      <c r="A24" s="17" t="s">
        <v>60</v>
      </c>
      <c r="B24" t="s">
        <v>61</v>
      </c>
    </row>
    <row r="25" spans="1:2" x14ac:dyDescent="0.25">
      <c r="A25" s="17" t="s">
        <v>377</v>
      </c>
      <c r="B25" t="s">
        <v>376</v>
      </c>
    </row>
    <row r="27" spans="1:2" ht="15.75" x14ac:dyDescent="0.25">
      <c r="A27" s="18" t="s">
        <v>62</v>
      </c>
    </row>
    <row r="28" spans="1:2" s="52" customFormat="1" ht="15.75" x14ac:dyDescent="0.25">
      <c r="A28" s="243" t="s">
        <v>675</v>
      </c>
    </row>
    <row r="29" spans="1:2" x14ac:dyDescent="0.25">
      <c r="A29" t="s">
        <v>337</v>
      </c>
    </row>
    <row r="30" spans="1:2" s="52" customFormat="1" x14ac:dyDescent="0.25">
      <c r="A30" s="52" t="s">
        <v>614</v>
      </c>
    </row>
    <row r="31" spans="1:2" s="52" customFormat="1" x14ac:dyDescent="0.25">
      <c r="A31" t="s">
        <v>476</v>
      </c>
    </row>
    <row r="32" spans="1:2" x14ac:dyDescent="0.25">
      <c r="A32" t="s">
        <v>63</v>
      </c>
    </row>
    <row r="33" spans="1:1" x14ac:dyDescent="0.25">
      <c r="A33" t="s">
        <v>64</v>
      </c>
    </row>
    <row r="34" spans="1:1" x14ac:dyDescent="0.25">
      <c r="A34" s="52" t="s">
        <v>395</v>
      </c>
    </row>
    <row r="35" spans="1:1" s="52" customFormat="1" x14ac:dyDescent="0.25">
      <c r="A35" s="52" t="s">
        <v>470</v>
      </c>
    </row>
    <row r="36" spans="1:1" s="52" customFormat="1" x14ac:dyDescent="0.25">
      <c r="A36" s="52" t="s">
        <v>575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45D10-9AB8-4325-AD5F-3B928F1D6749}">
  <sheetPr>
    <tabColor theme="4"/>
  </sheetPr>
  <dimension ref="A1:R229"/>
  <sheetViews>
    <sheetView showGridLines="0" zoomScale="70" zoomScaleNormal="70" workbookViewId="0"/>
  </sheetViews>
  <sheetFormatPr defaultRowHeight="15" x14ac:dyDescent="0.25"/>
  <cols>
    <col min="1" max="1" width="68.7109375" bestFit="1" customWidth="1"/>
    <col min="2" max="2" width="34" style="52" customWidth="1"/>
    <col min="3" max="3" width="26.140625" bestFit="1" customWidth="1"/>
    <col min="4" max="4" width="40.28515625" customWidth="1"/>
    <col min="5" max="5" width="26.85546875" bestFit="1" customWidth="1"/>
    <col min="6" max="6" width="57.5703125" style="52" customWidth="1"/>
    <col min="7" max="7" width="41.140625" customWidth="1"/>
    <col min="8" max="8" width="37.28515625" style="52" bestFit="1" customWidth="1"/>
    <col min="9" max="9" width="37.28515625" style="52" customWidth="1"/>
    <col min="10" max="10" width="40.28515625" style="52" customWidth="1"/>
    <col min="11" max="11" width="26.85546875" style="52" bestFit="1" customWidth="1"/>
    <col min="12" max="12" width="57.5703125" style="52" customWidth="1"/>
    <col min="13" max="13" width="35.28515625" style="52" bestFit="1" customWidth="1"/>
    <col min="14" max="14" width="17" customWidth="1"/>
    <col min="15" max="15" width="13.7109375" bestFit="1" customWidth="1"/>
    <col min="16" max="16" width="20.85546875" customWidth="1"/>
    <col min="17" max="17" width="40.140625" customWidth="1"/>
    <col min="18" max="18" width="20.140625" customWidth="1"/>
  </cols>
  <sheetData>
    <row r="1" spans="1:18" ht="15.75" thickBot="1" x14ac:dyDescent="0.3">
      <c r="A1" s="2" t="s">
        <v>0</v>
      </c>
      <c r="B1" s="2"/>
      <c r="H1" s="2"/>
      <c r="I1" s="2"/>
    </row>
    <row r="2" spans="1:18" ht="15.75" thickBot="1" x14ac:dyDescent="0.3">
      <c r="A2" s="1"/>
      <c r="B2" s="477" t="s">
        <v>463</v>
      </c>
      <c r="C2" s="478"/>
      <c r="D2" s="478"/>
      <c r="E2" s="478"/>
      <c r="F2" s="478"/>
      <c r="G2" s="479"/>
      <c r="H2" s="477" t="s">
        <v>464</v>
      </c>
      <c r="I2" s="478"/>
      <c r="J2" s="478"/>
      <c r="K2" s="478"/>
      <c r="L2" s="478"/>
      <c r="M2" s="479"/>
    </row>
    <row r="3" spans="1:18" ht="17.25" x14ac:dyDescent="0.25">
      <c r="A3" s="3" t="s">
        <v>0</v>
      </c>
      <c r="B3" s="70" t="s">
        <v>366</v>
      </c>
      <c r="C3" s="147" t="s">
        <v>465</v>
      </c>
      <c r="D3" s="147" t="s">
        <v>1</v>
      </c>
      <c r="E3" s="147" t="s">
        <v>471</v>
      </c>
      <c r="F3" s="27" t="s">
        <v>335</v>
      </c>
      <c r="G3" s="147" t="s">
        <v>468</v>
      </c>
      <c r="H3" s="70" t="s">
        <v>574</v>
      </c>
      <c r="I3" s="70" t="s">
        <v>466</v>
      </c>
      <c r="J3" s="147" t="s">
        <v>1</v>
      </c>
      <c r="K3" s="147" t="s">
        <v>471</v>
      </c>
      <c r="L3" s="27" t="s">
        <v>335</v>
      </c>
      <c r="M3" s="147" t="s">
        <v>469</v>
      </c>
      <c r="N3" s="4" t="s">
        <v>2</v>
      </c>
      <c r="O3" s="4" t="s">
        <v>3</v>
      </c>
      <c r="P3" s="4" t="s">
        <v>4</v>
      </c>
      <c r="Q3" s="4" t="s">
        <v>5</v>
      </c>
      <c r="R3" s="5" t="s">
        <v>6</v>
      </c>
    </row>
    <row r="4" spans="1:18" ht="60" customHeight="1" x14ac:dyDescent="0.25">
      <c r="A4" s="419" t="s">
        <v>7</v>
      </c>
      <c r="B4" s="396">
        <f>14000+4809</f>
        <v>18809</v>
      </c>
      <c r="C4" s="191" t="s">
        <v>8</v>
      </c>
      <c r="D4" s="198" t="s">
        <v>9</v>
      </c>
      <c r="E4" s="180" t="s">
        <v>10</v>
      </c>
      <c r="F4" s="198" t="s">
        <v>345</v>
      </c>
      <c r="G4" s="108">
        <v>1.2</v>
      </c>
      <c r="H4" s="384">
        <v>0</v>
      </c>
      <c r="I4" s="171"/>
      <c r="J4" s="171"/>
      <c r="K4" s="171"/>
      <c r="L4" s="171"/>
      <c r="M4" s="264"/>
      <c r="N4" s="399" t="s">
        <v>11</v>
      </c>
      <c r="O4" s="403" t="s">
        <v>12</v>
      </c>
      <c r="P4" s="382" t="s">
        <v>447</v>
      </c>
      <c r="Q4" s="439" t="s">
        <v>370</v>
      </c>
      <c r="R4" s="461">
        <v>44286</v>
      </c>
    </row>
    <row r="5" spans="1:18" s="52" customFormat="1" x14ac:dyDescent="0.25">
      <c r="A5" s="420"/>
      <c r="B5" s="397"/>
      <c r="C5" s="180" t="s">
        <v>396</v>
      </c>
      <c r="D5" s="56" t="s">
        <v>9</v>
      </c>
      <c r="E5" s="180" t="s">
        <v>16</v>
      </c>
      <c r="F5" s="198" t="s">
        <v>111</v>
      </c>
      <c r="G5" s="108">
        <v>2.5</v>
      </c>
      <c r="H5" s="410"/>
      <c r="I5" s="178"/>
      <c r="J5" s="178"/>
      <c r="K5" s="178"/>
      <c r="L5" s="178"/>
      <c r="M5" s="267"/>
      <c r="N5" s="409"/>
      <c r="O5" s="404"/>
      <c r="P5" s="431"/>
      <c r="Q5" s="440"/>
      <c r="R5" s="462"/>
    </row>
    <row r="6" spans="1:18" s="52" customFormat="1" x14ac:dyDescent="0.25">
      <c r="A6" s="420"/>
      <c r="B6" s="397"/>
      <c r="C6" s="180" t="s">
        <v>396</v>
      </c>
      <c r="D6" s="56" t="s">
        <v>20</v>
      </c>
      <c r="E6" s="180" t="s">
        <v>16</v>
      </c>
      <c r="F6" s="198" t="s">
        <v>111</v>
      </c>
      <c r="G6" s="108">
        <v>-2.5</v>
      </c>
      <c r="H6" s="410"/>
      <c r="I6" s="172"/>
      <c r="J6" s="172"/>
      <c r="K6" s="172"/>
      <c r="L6" s="172"/>
      <c r="M6" s="265"/>
      <c r="N6" s="400"/>
      <c r="O6" s="405"/>
      <c r="P6" s="383"/>
      <c r="Q6" s="441"/>
      <c r="R6" s="463"/>
    </row>
    <row r="7" spans="1:18" ht="60" x14ac:dyDescent="0.25">
      <c r="A7" s="420"/>
      <c r="B7" s="397"/>
      <c r="C7" s="191" t="s">
        <v>8</v>
      </c>
      <c r="D7" s="198" t="s">
        <v>14</v>
      </c>
      <c r="E7" s="180" t="s">
        <v>10</v>
      </c>
      <c r="F7" s="198" t="s">
        <v>345</v>
      </c>
      <c r="G7" s="108">
        <v>12276.726000000001</v>
      </c>
      <c r="H7" s="410"/>
      <c r="I7" s="171"/>
      <c r="J7" s="171"/>
      <c r="K7" s="171"/>
      <c r="L7" s="171"/>
      <c r="M7" s="264"/>
      <c r="N7" s="371" t="s">
        <v>11</v>
      </c>
      <c r="O7" s="381" t="s">
        <v>15</v>
      </c>
      <c r="P7" s="492" t="s">
        <v>447</v>
      </c>
      <c r="Q7" s="497" t="s">
        <v>518</v>
      </c>
      <c r="R7" s="454">
        <v>44326</v>
      </c>
    </row>
    <row r="8" spans="1:18" x14ac:dyDescent="0.25">
      <c r="A8" s="420"/>
      <c r="B8" s="397"/>
      <c r="C8" s="191" t="s">
        <v>8</v>
      </c>
      <c r="D8" s="196" t="s">
        <v>14</v>
      </c>
      <c r="E8" s="180" t="s">
        <v>16</v>
      </c>
      <c r="F8" s="202" t="s">
        <v>111</v>
      </c>
      <c r="G8" s="108">
        <v>700</v>
      </c>
      <c r="H8" s="410"/>
      <c r="I8" s="172"/>
      <c r="J8" s="172"/>
      <c r="K8" s="172"/>
      <c r="L8" s="172"/>
      <c r="M8" s="265"/>
      <c r="N8" s="371"/>
      <c r="O8" s="381"/>
      <c r="P8" s="492"/>
      <c r="Q8" s="497"/>
      <c r="R8" s="455"/>
    </row>
    <row r="9" spans="1:18" ht="60" x14ac:dyDescent="0.25">
      <c r="A9" s="420"/>
      <c r="B9" s="397"/>
      <c r="C9" s="191" t="s">
        <v>8</v>
      </c>
      <c r="D9" s="198" t="s">
        <v>17</v>
      </c>
      <c r="E9" s="180" t="s">
        <v>10</v>
      </c>
      <c r="F9" s="198" t="s">
        <v>345</v>
      </c>
      <c r="G9" s="108">
        <v>622.26666599999999</v>
      </c>
      <c r="H9" s="410"/>
      <c r="I9" s="399" t="s">
        <v>26</v>
      </c>
      <c r="J9" s="399" t="s">
        <v>17</v>
      </c>
      <c r="K9" s="399" t="s">
        <v>16</v>
      </c>
      <c r="L9" s="399" t="s">
        <v>111</v>
      </c>
      <c r="M9" s="399">
        <v>444.249506</v>
      </c>
      <c r="N9" s="399" t="s">
        <v>11</v>
      </c>
      <c r="O9" s="403" t="s">
        <v>18</v>
      </c>
      <c r="P9" s="399" t="s">
        <v>19</v>
      </c>
      <c r="Q9" s="432" t="s">
        <v>654</v>
      </c>
      <c r="R9" s="461">
        <v>44316</v>
      </c>
    </row>
    <row r="10" spans="1:18" s="52" customFormat="1" x14ac:dyDescent="0.25">
      <c r="A10" s="420"/>
      <c r="B10" s="397"/>
      <c r="C10" s="191" t="s">
        <v>8</v>
      </c>
      <c r="D10" s="198" t="s">
        <v>17</v>
      </c>
      <c r="E10" s="180" t="s">
        <v>16</v>
      </c>
      <c r="F10" s="202" t="s">
        <v>111</v>
      </c>
      <c r="G10" s="108">
        <v>320.13333399999999</v>
      </c>
      <c r="H10" s="410"/>
      <c r="I10" s="409"/>
      <c r="J10" s="409"/>
      <c r="K10" s="409"/>
      <c r="L10" s="409"/>
      <c r="M10" s="409"/>
      <c r="N10" s="409"/>
      <c r="O10" s="404"/>
      <c r="P10" s="409"/>
      <c r="Q10" s="433"/>
      <c r="R10" s="462"/>
    </row>
    <row r="11" spans="1:18" s="52" customFormat="1" ht="60" x14ac:dyDescent="0.25">
      <c r="A11" s="420"/>
      <c r="B11" s="397"/>
      <c r="C11" s="191" t="s">
        <v>396</v>
      </c>
      <c r="D11" s="198" t="s">
        <v>17</v>
      </c>
      <c r="E11" s="180" t="s">
        <v>10</v>
      </c>
      <c r="F11" s="198" t="s">
        <v>345</v>
      </c>
      <c r="G11" s="109">
        <v>-522.88831300000004</v>
      </c>
      <c r="H11" s="410"/>
      <c r="I11" s="409"/>
      <c r="J11" s="409"/>
      <c r="K11" s="409"/>
      <c r="L11" s="409"/>
      <c r="M11" s="409"/>
      <c r="N11" s="409"/>
      <c r="O11" s="404"/>
      <c r="P11" s="409"/>
      <c r="Q11" s="433"/>
      <c r="R11" s="462"/>
    </row>
    <row r="12" spans="1:18" s="52" customFormat="1" x14ac:dyDescent="0.25">
      <c r="A12" s="420"/>
      <c r="B12" s="397"/>
      <c r="C12" s="191" t="s">
        <v>396</v>
      </c>
      <c r="D12" s="198" t="s">
        <v>17</v>
      </c>
      <c r="E12" s="180" t="s">
        <v>16</v>
      </c>
      <c r="F12" s="202" t="s">
        <v>111</v>
      </c>
      <c r="G12" s="109">
        <f>504.570313+18.248+0.07</f>
        <v>522.88831300000004</v>
      </c>
      <c r="H12" s="410"/>
      <c r="I12" s="409"/>
      <c r="J12" s="409"/>
      <c r="K12" s="409"/>
      <c r="L12" s="409"/>
      <c r="M12" s="409"/>
      <c r="N12" s="409"/>
      <c r="O12" s="404"/>
      <c r="P12" s="409"/>
      <c r="Q12" s="433"/>
      <c r="R12" s="462"/>
    </row>
    <row r="13" spans="1:18" ht="60" x14ac:dyDescent="0.25">
      <c r="A13" s="420"/>
      <c r="B13" s="397"/>
      <c r="C13" s="191" t="s">
        <v>8</v>
      </c>
      <c r="D13" s="198" t="s">
        <v>17</v>
      </c>
      <c r="E13" s="180" t="s">
        <v>10</v>
      </c>
      <c r="F13" s="198" t="s">
        <v>345</v>
      </c>
      <c r="G13" s="108">
        <v>3347.0251779999999</v>
      </c>
      <c r="H13" s="410"/>
      <c r="I13" s="409"/>
      <c r="J13" s="409"/>
      <c r="K13" s="409"/>
      <c r="L13" s="409"/>
      <c r="M13" s="409"/>
      <c r="N13" s="409"/>
      <c r="O13" s="404"/>
      <c r="P13" s="409"/>
      <c r="Q13" s="433"/>
      <c r="R13" s="462"/>
    </row>
    <row r="14" spans="1:18" s="52" customFormat="1" x14ac:dyDescent="0.25">
      <c r="A14" s="420"/>
      <c r="B14" s="397"/>
      <c r="C14" s="191" t="s">
        <v>8</v>
      </c>
      <c r="D14" s="198" t="s">
        <v>17</v>
      </c>
      <c r="E14" s="180" t="s">
        <v>16</v>
      </c>
      <c r="F14" s="202" t="s">
        <v>111</v>
      </c>
      <c r="G14" s="108">
        <v>2202.8748220000002</v>
      </c>
      <c r="H14" s="410"/>
      <c r="I14" s="409"/>
      <c r="J14" s="409"/>
      <c r="K14" s="409"/>
      <c r="L14" s="409"/>
      <c r="M14" s="409"/>
      <c r="N14" s="409"/>
      <c r="O14" s="404"/>
      <c r="P14" s="409"/>
      <c r="Q14" s="433"/>
      <c r="R14" s="462"/>
    </row>
    <row r="15" spans="1:18" s="52" customFormat="1" ht="60" x14ac:dyDescent="0.25">
      <c r="A15" s="420"/>
      <c r="B15" s="397"/>
      <c r="C15" s="191" t="s">
        <v>396</v>
      </c>
      <c r="D15" s="198" t="s">
        <v>17</v>
      </c>
      <c r="E15" s="180" t="s">
        <v>10</v>
      </c>
      <c r="F15" s="198" t="s">
        <v>345</v>
      </c>
      <c r="G15" s="109">
        <v>-1722.2837</v>
      </c>
      <c r="H15" s="410"/>
      <c r="I15" s="409"/>
      <c r="J15" s="409"/>
      <c r="K15" s="409"/>
      <c r="L15" s="409"/>
      <c r="M15" s="409"/>
      <c r="N15" s="409"/>
      <c r="O15" s="404"/>
      <c r="P15" s="409"/>
      <c r="Q15" s="433"/>
      <c r="R15" s="462"/>
    </row>
    <row r="16" spans="1:18" s="52" customFormat="1" x14ac:dyDescent="0.25">
      <c r="A16" s="420"/>
      <c r="B16" s="397"/>
      <c r="C16" s="191" t="s">
        <v>396</v>
      </c>
      <c r="D16" s="198" t="s">
        <v>17</v>
      </c>
      <c r="E16" s="180" t="s">
        <v>16</v>
      </c>
      <c r="F16" s="198" t="s">
        <v>111</v>
      </c>
      <c r="G16" s="109">
        <v>1722.2837</v>
      </c>
      <c r="H16" s="410"/>
      <c r="I16" s="400"/>
      <c r="J16" s="400"/>
      <c r="K16" s="400"/>
      <c r="L16" s="400"/>
      <c r="M16" s="400"/>
      <c r="N16" s="409"/>
      <c r="O16" s="404"/>
      <c r="P16" s="409"/>
      <c r="Q16" s="434"/>
      <c r="R16" s="462"/>
    </row>
    <row r="17" spans="1:18" ht="60" x14ac:dyDescent="0.25">
      <c r="A17" s="420"/>
      <c r="B17" s="397"/>
      <c r="C17" s="191" t="s">
        <v>8</v>
      </c>
      <c r="D17" s="198" t="s">
        <v>20</v>
      </c>
      <c r="E17" s="180" t="s">
        <v>10</v>
      </c>
      <c r="F17" s="198" t="s">
        <v>346</v>
      </c>
      <c r="G17" s="108">
        <v>18.5</v>
      </c>
      <c r="H17" s="410"/>
      <c r="I17" s="393" t="s">
        <v>26</v>
      </c>
      <c r="J17" s="393" t="s">
        <v>20</v>
      </c>
      <c r="K17" s="393" t="s">
        <v>16</v>
      </c>
      <c r="L17" s="393" t="s">
        <v>111</v>
      </c>
      <c r="M17" s="393">
        <f>34.926062+183.047024</f>
        <v>217.973086</v>
      </c>
      <c r="N17" s="399" t="s">
        <v>11</v>
      </c>
      <c r="O17" s="403" t="s">
        <v>21</v>
      </c>
      <c r="P17" s="382" t="s">
        <v>447</v>
      </c>
      <c r="Q17" s="439" t="s">
        <v>521</v>
      </c>
      <c r="R17" s="461">
        <v>44286</v>
      </c>
    </row>
    <row r="18" spans="1:18" x14ac:dyDescent="0.25">
      <c r="A18" s="420"/>
      <c r="B18" s="397"/>
      <c r="C18" s="191" t="s">
        <v>8</v>
      </c>
      <c r="D18" s="198" t="s">
        <v>20</v>
      </c>
      <c r="E18" s="180" t="s">
        <v>16</v>
      </c>
      <c r="F18" s="202" t="s">
        <v>111</v>
      </c>
      <c r="G18" s="108">
        <f>202.625+112.426062</f>
        <v>315.051062</v>
      </c>
      <c r="H18" s="410"/>
      <c r="I18" s="394"/>
      <c r="J18" s="394"/>
      <c r="K18" s="394"/>
      <c r="L18" s="394"/>
      <c r="M18" s="394"/>
      <c r="N18" s="409"/>
      <c r="O18" s="404"/>
      <c r="P18" s="431"/>
      <c r="Q18" s="440"/>
      <c r="R18" s="462"/>
    </row>
    <row r="19" spans="1:18" s="52" customFormat="1" ht="60" x14ac:dyDescent="0.25">
      <c r="A19" s="420"/>
      <c r="B19" s="397"/>
      <c r="C19" s="191" t="s">
        <v>396</v>
      </c>
      <c r="D19" s="198" t="s">
        <v>20</v>
      </c>
      <c r="E19" s="180" t="s">
        <v>10</v>
      </c>
      <c r="F19" s="198" t="s">
        <v>346</v>
      </c>
      <c r="G19" s="109">
        <v>-16.448232999999998</v>
      </c>
      <c r="H19" s="410"/>
      <c r="I19" s="394"/>
      <c r="J19" s="394"/>
      <c r="K19" s="394"/>
      <c r="L19" s="394"/>
      <c r="M19" s="394"/>
      <c r="N19" s="409"/>
      <c r="O19" s="404"/>
      <c r="P19" s="431"/>
      <c r="Q19" s="440"/>
      <c r="R19" s="462"/>
    </row>
    <row r="20" spans="1:18" s="52" customFormat="1" x14ac:dyDescent="0.25">
      <c r="A20" s="420"/>
      <c r="B20" s="397"/>
      <c r="C20" s="191" t="s">
        <v>396</v>
      </c>
      <c r="D20" s="198" t="s">
        <v>20</v>
      </c>
      <c r="E20" s="180" t="s">
        <v>16</v>
      </c>
      <c r="F20" s="202" t="s">
        <v>111</v>
      </c>
      <c r="G20" s="109">
        <v>16.448232999999998</v>
      </c>
      <c r="H20" s="410"/>
      <c r="I20" s="395"/>
      <c r="J20" s="395"/>
      <c r="K20" s="395"/>
      <c r="L20" s="395"/>
      <c r="M20" s="395"/>
      <c r="N20" s="400"/>
      <c r="O20" s="405"/>
      <c r="P20" s="383"/>
      <c r="Q20" s="441"/>
      <c r="R20" s="463"/>
    </row>
    <row r="21" spans="1:18" ht="60" x14ac:dyDescent="0.25">
      <c r="A21" s="420"/>
      <c r="B21" s="397"/>
      <c r="C21" s="191" t="s">
        <v>8</v>
      </c>
      <c r="D21" s="198" t="s">
        <v>22</v>
      </c>
      <c r="E21" s="180" t="s">
        <v>10</v>
      </c>
      <c r="F21" s="198" t="s">
        <v>345</v>
      </c>
      <c r="G21" s="108">
        <v>100</v>
      </c>
      <c r="H21" s="410"/>
      <c r="I21" s="399" t="s">
        <v>26</v>
      </c>
      <c r="J21" s="424" t="s">
        <v>22</v>
      </c>
      <c r="K21" s="399" t="s">
        <v>16</v>
      </c>
      <c r="L21" s="399" t="s">
        <v>111</v>
      </c>
      <c r="M21" s="393">
        <v>650.88149299999998</v>
      </c>
      <c r="N21" s="371" t="s">
        <v>11</v>
      </c>
      <c r="O21" s="381" t="s">
        <v>23</v>
      </c>
      <c r="P21" s="492" t="s">
        <v>447</v>
      </c>
      <c r="Q21" s="473" t="s">
        <v>544</v>
      </c>
      <c r="R21" s="451">
        <v>44286</v>
      </c>
    </row>
    <row r="22" spans="1:18" s="52" customFormat="1" ht="30" x14ac:dyDescent="0.25">
      <c r="A22" s="420"/>
      <c r="B22" s="397"/>
      <c r="C22" s="180" t="s">
        <v>8</v>
      </c>
      <c r="D22" s="198" t="s">
        <v>22</v>
      </c>
      <c r="E22" s="180" t="s">
        <v>16</v>
      </c>
      <c r="F22" s="202" t="s">
        <v>111</v>
      </c>
      <c r="G22" s="108">
        <v>400</v>
      </c>
      <c r="H22" s="410"/>
      <c r="I22" s="409"/>
      <c r="J22" s="425"/>
      <c r="K22" s="409"/>
      <c r="L22" s="409"/>
      <c r="M22" s="394"/>
      <c r="N22" s="371"/>
      <c r="O22" s="381"/>
      <c r="P22" s="492"/>
      <c r="Q22" s="473"/>
      <c r="R22" s="451"/>
    </row>
    <row r="23" spans="1:18" s="52" customFormat="1" ht="60" x14ac:dyDescent="0.25">
      <c r="A23" s="420"/>
      <c r="B23" s="397"/>
      <c r="C23" s="191" t="s">
        <v>396</v>
      </c>
      <c r="D23" s="198" t="s">
        <v>22</v>
      </c>
      <c r="E23" s="180" t="s">
        <v>10</v>
      </c>
      <c r="F23" s="198" t="s">
        <v>345</v>
      </c>
      <c r="G23" s="109">
        <v>-379.99461200000002</v>
      </c>
      <c r="H23" s="410"/>
      <c r="I23" s="409"/>
      <c r="J23" s="425"/>
      <c r="K23" s="409"/>
      <c r="L23" s="409"/>
      <c r="M23" s="394"/>
      <c r="N23" s="371"/>
      <c r="O23" s="381"/>
      <c r="P23" s="492"/>
      <c r="Q23" s="473"/>
      <c r="R23" s="451"/>
    </row>
    <row r="24" spans="1:18" ht="30" x14ac:dyDescent="0.25">
      <c r="A24" s="420"/>
      <c r="B24" s="397"/>
      <c r="C24" s="191" t="s">
        <v>396</v>
      </c>
      <c r="D24" s="198" t="s">
        <v>22</v>
      </c>
      <c r="E24" s="180" t="s">
        <v>16</v>
      </c>
      <c r="F24" s="201" t="s">
        <v>111</v>
      </c>
      <c r="G24" s="108">
        <v>379.99461200000002</v>
      </c>
      <c r="H24" s="410"/>
      <c r="I24" s="400"/>
      <c r="J24" s="426"/>
      <c r="K24" s="400"/>
      <c r="L24" s="400"/>
      <c r="M24" s="395"/>
      <c r="N24" s="371"/>
      <c r="O24" s="381"/>
      <c r="P24" s="492"/>
      <c r="Q24" s="473"/>
      <c r="R24" s="468"/>
    </row>
    <row r="25" spans="1:18" s="52" customFormat="1" x14ac:dyDescent="0.25">
      <c r="A25" s="420"/>
      <c r="B25" s="397"/>
      <c r="C25" s="191" t="s">
        <v>396</v>
      </c>
      <c r="D25" s="198" t="s">
        <v>20</v>
      </c>
      <c r="E25" s="180" t="s">
        <v>16</v>
      </c>
      <c r="F25" s="201" t="s">
        <v>111</v>
      </c>
      <c r="G25" s="108">
        <v>-7</v>
      </c>
      <c r="H25" s="410"/>
      <c r="I25" s="159"/>
      <c r="J25" s="159"/>
      <c r="K25" s="159"/>
      <c r="L25" s="159"/>
      <c r="M25" s="250"/>
      <c r="N25" s="493" t="s">
        <v>424</v>
      </c>
      <c r="O25" s="495" t="s">
        <v>111</v>
      </c>
      <c r="P25" s="492" t="s">
        <v>447</v>
      </c>
      <c r="Q25" s="439" t="s">
        <v>566</v>
      </c>
      <c r="R25" s="375">
        <v>44286</v>
      </c>
    </row>
    <row r="26" spans="1:18" s="52" customFormat="1" x14ac:dyDescent="0.25">
      <c r="A26" s="420"/>
      <c r="B26" s="397"/>
      <c r="C26" s="191" t="s">
        <v>396</v>
      </c>
      <c r="D26" s="198" t="s">
        <v>446</v>
      </c>
      <c r="E26" s="180" t="s">
        <v>16</v>
      </c>
      <c r="F26" s="201" t="s">
        <v>111</v>
      </c>
      <c r="G26" s="108">
        <v>7</v>
      </c>
      <c r="H26" s="410"/>
      <c r="I26" s="160"/>
      <c r="J26" s="160"/>
      <c r="K26" s="160"/>
      <c r="L26" s="160"/>
      <c r="M26" s="251"/>
      <c r="N26" s="494"/>
      <c r="O26" s="496"/>
      <c r="P26" s="492"/>
      <c r="Q26" s="441"/>
      <c r="R26" s="460"/>
    </row>
    <row r="27" spans="1:18" s="52" customFormat="1" ht="30" x14ac:dyDescent="0.25">
      <c r="A27" s="421"/>
      <c r="B27" s="398"/>
      <c r="C27" s="272" t="s">
        <v>42</v>
      </c>
      <c r="D27" s="284" t="s">
        <v>104</v>
      </c>
      <c r="E27" s="269" t="s">
        <v>111</v>
      </c>
      <c r="F27" s="279" t="s">
        <v>111</v>
      </c>
      <c r="G27" s="108" t="s">
        <v>111</v>
      </c>
      <c r="H27" s="385"/>
      <c r="I27" s="252" t="s">
        <v>26</v>
      </c>
      <c r="J27" s="284" t="s">
        <v>104</v>
      </c>
      <c r="K27" s="252" t="s">
        <v>16</v>
      </c>
      <c r="L27" s="252" t="s">
        <v>111</v>
      </c>
      <c r="M27" s="252">
        <v>35</v>
      </c>
      <c r="N27" s="277" t="s">
        <v>362</v>
      </c>
      <c r="O27" s="278"/>
      <c r="P27" s="263"/>
      <c r="Q27" s="268"/>
      <c r="R27" s="275"/>
    </row>
    <row r="28" spans="1:18" ht="30" x14ac:dyDescent="0.25">
      <c r="A28" s="427" t="s">
        <v>24</v>
      </c>
      <c r="B28" s="396">
        <v>2000</v>
      </c>
      <c r="C28" s="180" t="s">
        <v>8</v>
      </c>
      <c r="D28" s="198" t="s">
        <v>14</v>
      </c>
      <c r="E28" s="180" t="s">
        <v>10</v>
      </c>
      <c r="F28" s="198" t="s">
        <v>343</v>
      </c>
      <c r="G28" s="108">
        <v>1000</v>
      </c>
      <c r="H28" s="384">
        <v>0</v>
      </c>
      <c r="I28" s="393"/>
      <c r="J28" s="393"/>
      <c r="K28" s="393"/>
      <c r="L28" s="393"/>
      <c r="M28" s="393"/>
      <c r="N28" s="414" t="s">
        <v>11</v>
      </c>
      <c r="O28" s="435" t="s">
        <v>15</v>
      </c>
      <c r="P28" s="492" t="s">
        <v>447</v>
      </c>
      <c r="Q28" s="436" t="s">
        <v>422</v>
      </c>
      <c r="R28" s="451">
        <v>44286</v>
      </c>
    </row>
    <row r="29" spans="1:18" x14ac:dyDescent="0.25">
      <c r="A29" s="427"/>
      <c r="B29" s="385"/>
      <c r="C29" s="180" t="s">
        <v>8</v>
      </c>
      <c r="D29" s="198" t="s">
        <v>14</v>
      </c>
      <c r="E29" s="180" t="s">
        <v>16</v>
      </c>
      <c r="F29" s="198" t="s">
        <v>111</v>
      </c>
      <c r="G29" s="108">
        <v>1000</v>
      </c>
      <c r="H29" s="385"/>
      <c r="I29" s="395"/>
      <c r="J29" s="395"/>
      <c r="K29" s="395"/>
      <c r="L29" s="395"/>
      <c r="M29" s="395"/>
      <c r="N29" s="414"/>
      <c r="O29" s="435"/>
      <c r="P29" s="492"/>
      <c r="Q29" s="436"/>
      <c r="R29" s="468"/>
    </row>
    <row r="30" spans="1:18" ht="30" x14ac:dyDescent="0.25">
      <c r="A30" s="419" t="s">
        <v>25</v>
      </c>
      <c r="B30" s="384">
        <f>115+65</f>
        <v>180</v>
      </c>
      <c r="C30" s="191" t="s">
        <v>26</v>
      </c>
      <c r="D30" s="198" t="s">
        <v>27</v>
      </c>
      <c r="E30" s="180" t="s">
        <v>10</v>
      </c>
      <c r="F30" s="198" t="s">
        <v>343</v>
      </c>
      <c r="G30" s="108">
        <v>25</v>
      </c>
      <c r="H30" s="384">
        <v>0</v>
      </c>
      <c r="I30" s="393"/>
      <c r="J30" s="393"/>
      <c r="K30" s="393"/>
      <c r="L30" s="393"/>
      <c r="M30" s="393"/>
      <c r="N30" s="399" t="s">
        <v>11</v>
      </c>
      <c r="O30" s="403" t="s">
        <v>28</v>
      </c>
      <c r="P30" s="382" t="s">
        <v>447</v>
      </c>
      <c r="Q30" s="432" t="s">
        <v>585</v>
      </c>
      <c r="R30" s="461">
        <v>44286</v>
      </c>
    </row>
    <row r="31" spans="1:18" ht="30" x14ac:dyDescent="0.25">
      <c r="A31" s="420"/>
      <c r="B31" s="410"/>
      <c r="C31" s="191" t="s">
        <v>26</v>
      </c>
      <c r="D31" s="198" t="s">
        <v>27</v>
      </c>
      <c r="E31" s="180" t="s">
        <v>10</v>
      </c>
      <c r="F31" s="198" t="s">
        <v>343</v>
      </c>
      <c r="G31" s="108">
        <v>17.3</v>
      </c>
      <c r="H31" s="410"/>
      <c r="I31" s="394"/>
      <c r="J31" s="394"/>
      <c r="K31" s="394"/>
      <c r="L31" s="394"/>
      <c r="M31" s="394"/>
      <c r="N31" s="409"/>
      <c r="O31" s="404"/>
      <c r="P31" s="431"/>
      <c r="Q31" s="433"/>
      <c r="R31" s="462"/>
    </row>
    <row r="32" spans="1:18" ht="30" x14ac:dyDescent="0.25">
      <c r="A32" s="420"/>
      <c r="B32" s="410"/>
      <c r="C32" s="191" t="s">
        <v>26</v>
      </c>
      <c r="D32" s="198" t="s">
        <v>27</v>
      </c>
      <c r="E32" s="180" t="s">
        <v>10</v>
      </c>
      <c r="F32" s="198" t="s">
        <v>343</v>
      </c>
      <c r="G32" s="108">
        <v>72.599999999999994</v>
      </c>
      <c r="H32" s="410"/>
      <c r="I32" s="394"/>
      <c r="J32" s="394"/>
      <c r="K32" s="394"/>
      <c r="L32" s="394"/>
      <c r="M32" s="394"/>
      <c r="N32" s="409"/>
      <c r="O32" s="404"/>
      <c r="P32" s="431"/>
      <c r="Q32" s="433"/>
      <c r="R32" s="462"/>
    </row>
    <row r="33" spans="1:18" s="52" customFormat="1" ht="30" x14ac:dyDescent="0.25">
      <c r="A33" s="421"/>
      <c r="B33" s="385"/>
      <c r="C33" s="191" t="s">
        <v>396</v>
      </c>
      <c r="D33" s="198" t="s">
        <v>27</v>
      </c>
      <c r="E33" s="180" t="s">
        <v>16</v>
      </c>
      <c r="F33" s="198" t="s">
        <v>111</v>
      </c>
      <c r="G33" s="108">
        <v>64.7</v>
      </c>
      <c r="H33" s="385"/>
      <c r="I33" s="395"/>
      <c r="J33" s="395"/>
      <c r="K33" s="395"/>
      <c r="L33" s="395"/>
      <c r="M33" s="395"/>
      <c r="N33" s="400"/>
      <c r="O33" s="405"/>
      <c r="P33" s="383"/>
      <c r="Q33" s="434"/>
      <c r="R33" s="463"/>
    </row>
    <row r="34" spans="1:18" s="52" customFormat="1" x14ac:dyDescent="0.25">
      <c r="A34" s="419" t="s">
        <v>29</v>
      </c>
      <c r="B34" s="384">
        <v>115</v>
      </c>
      <c r="C34" s="378" t="s">
        <v>8</v>
      </c>
      <c r="D34" s="384" t="s">
        <v>30</v>
      </c>
      <c r="E34" s="378" t="s">
        <v>16</v>
      </c>
      <c r="F34" s="384" t="s">
        <v>111</v>
      </c>
      <c r="G34" s="393">
        <f>115.782133</f>
        <v>115.782133</v>
      </c>
      <c r="H34" s="384">
        <v>59</v>
      </c>
      <c r="I34" s="198" t="s">
        <v>467</v>
      </c>
      <c r="J34" s="198" t="s">
        <v>30</v>
      </c>
      <c r="K34" s="180" t="s">
        <v>16</v>
      </c>
      <c r="L34" s="198" t="s">
        <v>111</v>
      </c>
      <c r="M34" s="108">
        <v>58.03445</v>
      </c>
      <c r="N34" s="378" t="s">
        <v>11</v>
      </c>
      <c r="O34" s="389" t="s">
        <v>31</v>
      </c>
      <c r="P34" s="492" t="s">
        <v>447</v>
      </c>
      <c r="Q34" s="474" t="s">
        <v>547</v>
      </c>
      <c r="R34" s="375">
        <v>44286</v>
      </c>
    </row>
    <row r="35" spans="1:18" x14ac:dyDescent="0.25">
      <c r="A35" s="421"/>
      <c r="B35" s="385"/>
      <c r="C35" s="380"/>
      <c r="D35" s="385"/>
      <c r="E35" s="380"/>
      <c r="F35" s="385"/>
      <c r="G35" s="395"/>
      <c r="H35" s="385"/>
      <c r="I35" s="198" t="s">
        <v>467</v>
      </c>
      <c r="J35" s="198" t="s">
        <v>30</v>
      </c>
      <c r="K35" s="180" t="s">
        <v>10</v>
      </c>
      <c r="L35" s="198"/>
      <c r="M35" s="122">
        <v>9.3661999999999995E-2</v>
      </c>
      <c r="N35" s="380"/>
      <c r="O35" s="391"/>
      <c r="P35" s="492"/>
      <c r="Q35" s="476"/>
      <c r="R35" s="377"/>
    </row>
    <row r="36" spans="1:18" ht="30" x14ac:dyDescent="0.25">
      <c r="A36" s="445" t="s">
        <v>32</v>
      </c>
      <c r="B36" s="483">
        <f>305+380+380</f>
        <v>1065</v>
      </c>
      <c r="C36" s="180" t="s">
        <v>26</v>
      </c>
      <c r="D36" s="198" t="s">
        <v>33</v>
      </c>
      <c r="E36" s="180" t="s">
        <v>10</v>
      </c>
      <c r="F36" s="198" t="s">
        <v>343</v>
      </c>
      <c r="G36" s="108">
        <v>305</v>
      </c>
      <c r="H36" s="480">
        <v>0</v>
      </c>
      <c r="I36" s="393" t="s">
        <v>26</v>
      </c>
      <c r="J36" s="393" t="s">
        <v>33</v>
      </c>
      <c r="K36" s="393" t="s">
        <v>16</v>
      </c>
      <c r="L36" s="393" t="s">
        <v>111</v>
      </c>
      <c r="M36" s="393">
        <f>329.937468+2.844012</f>
        <v>332.78148000000004</v>
      </c>
      <c r="N36" s="378" t="s">
        <v>11</v>
      </c>
      <c r="O36" s="389" t="s">
        <v>34</v>
      </c>
      <c r="P36" s="386" t="s">
        <v>447</v>
      </c>
      <c r="Q36" s="474" t="s">
        <v>531</v>
      </c>
      <c r="R36" s="375">
        <v>44286</v>
      </c>
    </row>
    <row r="37" spans="1:18" ht="30" x14ac:dyDescent="0.25">
      <c r="A37" s="446"/>
      <c r="B37" s="484"/>
      <c r="C37" s="180" t="s">
        <v>26</v>
      </c>
      <c r="D37" s="198" t="s">
        <v>33</v>
      </c>
      <c r="E37" s="180" t="s">
        <v>10</v>
      </c>
      <c r="F37" s="198" t="s">
        <v>343</v>
      </c>
      <c r="G37" s="108">
        <v>75</v>
      </c>
      <c r="H37" s="481"/>
      <c r="I37" s="394"/>
      <c r="J37" s="394"/>
      <c r="K37" s="394"/>
      <c r="L37" s="394"/>
      <c r="M37" s="394"/>
      <c r="N37" s="379"/>
      <c r="O37" s="390"/>
      <c r="P37" s="387"/>
      <c r="Q37" s="475"/>
      <c r="R37" s="376"/>
    </row>
    <row r="38" spans="1:18" x14ac:dyDescent="0.25">
      <c r="A38" s="446"/>
      <c r="B38" s="484"/>
      <c r="C38" s="180" t="s">
        <v>8</v>
      </c>
      <c r="D38" s="198" t="s">
        <v>33</v>
      </c>
      <c r="E38" s="180" t="s">
        <v>10</v>
      </c>
      <c r="F38" s="107"/>
      <c r="G38" s="108">
        <v>305</v>
      </c>
      <c r="H38" s="481"/>
      <c r="I38" s="394"/>
      <c r="J38" s="394"/>
      <c r="K38" s="394"/>
      <c r="L38" s="394"/>
      <c r="M38" s="394"/>
      <c r="N38" s="379"/>
      <c r="O38" s="390"/>
      <c r="P38" s="387"/>
      <c r="Q38" s="475"/>
      <c r="R38" s="376"/>
    </row>
    <row r="39" spans="1:18" s="52" customFormat="1" ht="60" x14ac:dyDescent="0.25">
      <c r="A39" s="446"/>
      <c r="B39" s="484"/>
      <c r="C39" s="180" t="s">
        <v>396</v>
      </c>
      <c r="D39" s="198" t="s">
        <v>33</v>
      </c>
      <c r="E39" s="180" t="s">
        <v>10</v>
      </c>
      <c r="F39" s="198" t="s">
        <v>345</v>
      </c>
      <c r="G39" s="108">
        <v>-3.838641</v>
      </c>
      <c r="H39" s="481"/>
      <c r="I39" s="394"/>
      <c r="J39" s="394"/>
      <c r="K39" s="394"/>
      <c r="L39" s="394"/>
      <c r="M39" s="394"/>
      <c r="N39" s="379"/>
      <c r="O39" s="390"/>
      <c r="P39" s="387"/>
      <c r="Q39" s="475"/>
      <c r="R39" s="376"/>
    </row>
    <row r="40" spans="1:18" s="52" customFormat="1" x14ac:dyDescent="0.25">
      <c r="A40" s="447"/>
      <c r="B40" s="485"/>
      <c r="C40" s="180" t="s">
        <v>396</v>
      </c>
      <c r="D40" s="198" t="s">
        <v>33</v>
      </c>
      <c r="E40" s="180" t="s">
        <v>16</v>
      </c>
      <c r="F40" s="198" t="s">
        <v>111</v>
      </c>
      <c r="G40" s="108">
        <v>383.838641</v>
      </c>
      <c r="H40" s="482"/>
      <c r="I40" s="395"/>
      <c r="J40" s="395"/>
      <c r="K40" s="395"/>
      <c r="L40" s="395"/>
      <c r="M40" s="395"/>
      <c r="N40" s="380"/>
      <c r="O40" s="391"/>
      <c r="P40" s="388"/>
      <c r="Q40" s="476"/>
      <c r="R40" s="377"/>
    </row>
    <row r="41" spans="1:18" ht="30" x14ac:dyDescent="0.25">
      <c r="A41" s="419" t="s">
        <v>40</v>
      </c>
      <c r="B41" s="384">
        <v>205</v>
      </c>
      <c r="C41" s="180" t="s">
        <v>8</v>
      </c>
      <c r="D41" s="198" t="s">
        <v>35</v>
      </c>
      <c r="E41" s="180" t="s">
        <v>10</v>
      </c>
      <c r="F41" s="198" t="s">
        <v>347</v>
      </c>
      <c r="G41" s="108">
        <v>63.9</v>
      </c>
      <c r="H41" s="384">
        <v>0</v>
      </c>
      <c r="I41" s="393"/>
      <c r="J41" s="393"/>
      <c r="K41" s="393"/>
      <c r="L41" s="393"/>
      <c r="M41" s="393"/>
      <c r="N41" s="378" t="s">
        <v>11</v>
      </c>
      <c r="O41" s="389" t="s">
        <v>36</v>
      </c>
      <c r="P41" s="492" t="s">
        <v>447</v>
      </c>
      <c r="Q41" s="372" t="s">
        <v>431</v>
      </c>
      <c r="R41" s="375">
        <v>44286</v>
      </c>
    </row>
    <row r="42" spans="1:18" s="52" customFormat="1" ht="30" x14ac:dyDescent="0.25">
      <c r="A42" s="420"/>
      <c r="B42" s="410"/>
      <c r="C42" s="180" t="s">
        <v>396</v>
      </c>
      <c r="D42" s="198" t="s">
        <v>35</v>
      </c>
      <c r="E42" s="180" t="s">
        <v>10</v>
      </c>
      <c r="F42" s="198" t="s">
        <v>347</v>
      </c>
      <c r="G42" s="122">
        <v>-0.12490999999999999</v>
      </c>
      <c r="H42" s="410"/>
      <c r="I42" s="395"/>
      <c r="J42" s="395"/>
      <c r="K42" s="395"/>
      <c r="L42" s="395"/>
      <c r="M42" s="395"/>
      <c r="N42" s="380"/>
      <c r="O42" s="391"/>
      <c r="P42" s="492"/>
      <c r="Q42" s="374"/>
      <c r="R42" s="377"/>
    </row>
    <row r="43" spans="1:18" ht="30" x14ac:dyDescent="0.25">
      <c r="A43" s="420"/>
      <c r="B43" s="410"/>
      <c r="C43" s="180" t="s">
        <v>8</v>
      </c>
      <c r="D43" s="198" t="s">
        <v>33</v>
      </c>
      <c r="E43" s="180" t="s">
        <v>10</v>
      </c>
      <c r="F43" s="198" t="s">
        <v>347</v>
      </c>
      <c r="G43" s="108">
        <v>237.3</v>
      </c>
      <c r="H43" s="410"/>
      <c r="I43" s="393"/>
      <c r="J43" s="393"/>
      <c r="K43" s="393"/>
      <c r="L43" s="393"/>
      <c r="M43" s="393"/>
      <c r="N43" s="378" t="s">
        <v>11</v>
      </c>
      <c r="O43" s="389" t="s">
        <v>38</v>
      </c>
      <c r="P43" s="386" t="s">
        <v>447</v>
      </c>
      <c r="Q43" s="372" t="s">
        <v>532</v>
      </c>
      <c r="R43" s="375">
        <v>44286</v>
      </c>
    </row>
    <row r="44" spans="1:18" x14ac:dyDescent="0.25">
      <c r="A44" s="420"/>
      <c r="B44" s="410"/>
      <c r="C44" s="180" t="s">
        <v>8</v>
      </c>
      <c r="D44" s="198" t="s">
        <v>33</v>
      </c>
      <c r="E44" s="180" t="s">
        <v>16</v>
      </c>
      <c r="F44" s="199" t="s">
        <v>111</v>
      </c>
      <c r="G44" s="108">
        <v>8.1</v>
      </c>
      <c r="H44" s="410"/>
      <c r="I44" s="394"/>
      <c r="J44" s="394"/>
      <c r="K44" s="394"/>
      <c r="L44" s="394"/>
      <c r="M44" s="394"/>
      <c r="N44" s="379"/>
      <c r="O44" s="390"/>
      <c r="P44" s="387"/>
      <c r="Q44" s="373"/>
      <c r="R44" s="498"/>
    </row>
    <row r="45" spans="1:18" s="52" customFormat="1" ht="30" x14ac:dyDescent="0.25">
      <c r="A45" s="420"/>
      <c r="B45" s="410"/>
      <c r="C45" s="180" t="s">
        <v>396</v>
      </c>
      <c r="D45" s="198" t="s">
        <v>33</v>
      </c>
      <c r="E45" s="180" t="s">
        <v>10</v>
      </c>
      <c r="F45" s="198" t="s">
        <v>347</v>
      </c>
      <c r="G45" s="108">
        <v>-25.795983</v>
      </c>
      <c r="H45" s="410"/>
      <c r="I45" s="394"/>
      <c r="J45" s="394"/>
      <c r="K45" s="394"/>
      <c r="L45" s="394"/>
      <c r="M45" s="394"/>
      <c r="N45" s="379"/>
      <c r="O45" s="390"/>
      <c r="P45" s="387"/>
      <c r="Q45" s="373"/>
      <c r="R45" s="498"/>
    </row>
    <row r="46" spans="1:18" s="52" customFormat="1" x14ac:dyDescent="0.25">
      <c r="A46" s="420"/>
      <c r="B46" s="410"/>
      <c r="C46" s="180" t="s">
        <v>396</v>
      </c>
      <c r="D46" s="198" t="s">
        <v>33</v>
      </c>
      <c r="E46" s="180" t="s">
        <v>16</v>
      </c>
      <c r="F46" s="199" t="s">
        <v>111</v>
      </c>
      <c r="G46" s="108">
        <f>0.109703+23.503155</f>
        <v>23.612857999999999</v>
      </c>
      <c r="H46" s="410"/>
      <c r="I46" s="395"/>
      <c r="J46" s="395"/>
      <c r="K46" s="395"/>
      <c r="L46" s="395"/>
      <c r="M46" s="395"/>
      <c r="N46" s="380"/>
      <c r="O46" s="391"/>
      <c r="P46" s="388"/>
      <c r="Q46" s="374"/>
      <c r="R46" s="460"/>
    </row>
    <row r="47" spans="1:18" ht="30" x14ac:dyDescent="0.25">
      <c r="A47" s="420"/>
      <c r="B47" s="410"/>
      <c r="C47" s="180" t="s">
        <v>8</v>
      </c>
      <c r="D47" s="198" t="s">
        <v>17</v>
      </c>
      <c r="E47" s="180" t="s">
        <v>10</v>
      </c>
      <c r="F47" s="198" t="s">
        <v>347</v>
      </c>
      <c r="G47" s="108">
        <v>0.6</v>
      </c>
      <c r="H47" s="410"/>
      <c r="I47" s="393"/>
      <c r="J47" s="393"/>
      <c r="K47" s="393"/>
      <c r="L47" s="393"/>
      <c r="M47" s="393"/>
      <c r="N47" s="378" t="s">
        <v>11</v>
      </c>
      <c r="O47" s="389" t="s">
        <v>18</v>
      </c>
      <c r="P47" s="378" t="s">
        <v>19</v>
      </c>
      <c r="Q47" s="372" t="s">
        <v>580</v>
      </c>
      <c r="R47" s="375">
        <v>44316</v>
      </c>
    </row>
    <row r="48" spans="1:18" x14ac:dyDescent="0.25">
      <c r="A48" s="420"/>
      <c r="B48" s="410"/>
      <c r="C48" s="180" t="s">
        <v>8</v>
      </c>
      <c r="D48" s="198" t="s">
        <v>17</v>
      </c>
      <c r="E48" s="180" t="s">
        <v>16</v>
      </c>
      <c r="F48" s="199" t="s">
        <v>111</v>
      </c>
      <c r="G48" s="108">
        <v>8.1999999999999993</v>
      </c>
      <c r="H48" s="410"/>
      <c r="I48" s="394"/>
      <c r="J48" s="394"/>
      <c r="K48" s="394"/>
      <c r="L48" s="394"/>
      <c r="M48" s="394"/>
      <c r="N48" s="379"/>
      <c r="O48" s="390"/>
      <c r="P48" s="379"/>
      <c r="Q48" s="373"/>
      <c r="R48" s="376"/>
    </row>
    <row r="49" spans="1:18" s="52" customFormat="1" ht="30" x14ac:dyDescent="0.25">
      <c r="A49" s="420"/>
      <c r="B49" s="410"/>
      <c r="C49" s="180" t="s">
        <v>396</v>
      </c>
      <c r="D49" s="198" t="s">
        <v>17</v>
      </c>
      <c r="E49" s="180" t="s">
        <v>10</v>
      </c>
      <c r="F49" s="198" t="s">
        <v>347</v>
      </c>
      <c r="G49" s="108">
        <v>-0.6</v>
      </c>
      <c r="H49" s="410"/>
      <c r="I49" s="394"/>
      <c r="J49" s="394"/>
      <c r="K49" s="394"/>
      <c r="L49" s="394"/>
      <c r="M49" s="394"/>
      <c r="N49" s="379"/>
      <c r="O49" s="390"/>
      <c r="P49" s="379"/>
      <c r="Q49" s="373"/>
      <c r="R49" s="376"/>
    </row>
    <row r="50" spans="1:18" s="52" customFormat="1" x14ac:dyDescent="0.25">
      <c r="A50" s="420"/>
      <c r="B50" s="410"/>
      <c r="C50" s="180" t="s">
        <v>396</v>
      </c>
      <c r="D50" s="198" t="s">
        <v>17</v>
      </c>
      <c r="E50" s="180" t="s">
        <v>16</v>
      </c>
      <c r="F50" s="199" t="s">
        <v>111</v>
      </c>
      <c r="G50" s="108">
        <v>0.57145599999999996</v>
      </c>
      <c r="H50" s="410"/>
      <c r="I50" s="395"/>
      <c r="J50" s="395"/>
      <c r="K50" s="395"/>
      <c r="L50" s="395"/>
      <c r="M50" s="395"/>
      <c r="N50" s="380"/>
      <c r="O50" s="391"/>
      <c r="P50" s="380"/>
      <c r="Q50" s="374"/>
      <c r="R50" s="377"/>
    </row>
    <row r="51" spans="1:18" s="52" customFormat="1" ht="30" x14ac:dyDescent="0.25">
      <c r="A51" s="421"/>
      <c r="B51" s="385"/>
      <c r="C51" s="180" t="s">
        <v>396</v>
      </c>
      <c r="D51" s="198" t="s">
        <v>27</v>
      </c>
      <c r="E51" s="180" t="s">
        <v>16</v>
      </c>
      <c r="F51" s="199" t="s">
        <v>111</v>
      </c>
      <c r="G51" s="108">
        <v>2.2772389999999998</v>
      </c>
      <c r="H51" s="385"/>
      <c r="I51" s="198"/>
      <c r="J51" s="198"/>
      <c r="K51" s="180"/>
      <c r="L51" s="199"/>
      <c r="M51" s="108"/>
      <c r="N51" s="166" t="s">
        <v>362</v>
      </c>
      <c r="O51" s="167"/>
      <c r="P51" s="166"/>
      <c r="Q51" s="175"/>
      <c r="R51" s="174"/>
    </row>
    <row r="52" spans="1:18" x14ac:dyDescent="0.25">
      <c r="A52" s="187" t="s">
        <v>41</v>
      </c>
      <c r="B52" s="76">
        <v>0</v>
      </c>
      <c r="C52" s="180" t="s">
        <v>42</v>
      </c>
      <c r="D52" s="198" t="s">
        <v>33</v>
      </c>
      <c r="E52" s="180" t="s">
        <v>111</v>
      </c>
      <c r="F52" s="198" t="s">
        <v>111</v>
      </c>
      <c r="G52" s="108" t="s">
        <v>111</v>
      </c>
      <c r="H52" s="95"/>
      <c r="I52" s="198"/>
      <c r="J52" s="198"/>
      <c r="K52" s="180"/>
      <c r="L52" s="198"/>
      <c r="M52" s="108"/>
      <c r="N52" s="180" t="s">
        <v>362</v>
      </c>
      <c r="O52" s="181"/>
      <c r="P52" s="180"/>
      <c r="Q52" s="188"/>
      <c r="R52" s="190"/>
    </row>
    <row r="53" spans="1:18" ht="15" customHeight="1" x14ac:dyDescent="0.25">
      <c r="A53" s="419" t="s">
        <v>65</v>
      </c>
      <c r="B53" s="384">
        <v>727</v>
      </c>
      <c r="C53" s="399" t="s">
        <v>26</v>
      </c>
      <c r="D53" s="384" t="s">
        <v>66</v>
      </c>
      <c r="E53" s="378" t="s">
        <v>16</v>
      </c>
      <c r="F53" s="486" t="s">
        <v>111</v>
      </c>
      <c r="G53" s="393">
        <v>375.06649900000002</v>
      </c>
      <c r="H53" s="384">
        <f>401</f>
        <v>401</v>
      </c>
      <c r="I53" s="198" t="s">
        <v>467</v>
      </c>
      <c r="J53" s="198" t="s">
        <v>66</v>
      </c>
      <c r="K53" s="180" t="s">
        <v>16</v>
      </c>
      <c r="L53" s="202" t="s">
        <v>111</v>
      </c>
      <c r="M53" s="108">
        <v>261.52390400000002</v>
      </c>
      <c r="N53" s="406" t="s">
        <v>11</v>
      </c>
      <c r="O53" s="403" t="s">
        <v>67</v>
      </c>
      <c r="P53" s="382" t="s">
        <v>447</v>
      </c>
      <c r="Q53" s="470" t="s">
        <v>539</v>
      </c>
      <c r="R53" s="375">
        <v>44286</v>
      </c>
    </row>
    <row r="54" spans="1:18" s="52" customFormat="1" ht="15" customHeight="1" x14ac:dyDescent="0.25">
      <c r="A54" s="420"/>
      <c r="B54" s="410"/>
      <c r="C54" s="400"/>
      <c r="D54" s="385"/>
      <c r="E54" s="380"/>
      <c r="F54" s="488"/>
      <c r="G54" s="395"/>
      <c r="H54" s="410"/>
      <c r="I54" s="198" t="s">
        <v>467</v>
      </c>
      <c r="J54" s="198" t="s">
        <v>66</v>
      </c>
      <c r="K54" s="180" t="s">
        <v>10</v>
      </c>
      <c r="L54" s="202"/>
      <c r="M54" s="108">
        <v>0.54374100000000003</v>
      </c>
      <c r="N54" s="408"/>
      <c r="O54" s="405"/>
      <c r="P54" s="383"/>
      <c r="Q54" s="472"/>
      <c r="R54" s="377"/>
    </row>
    <row r="55" spans="1:18" ht="60" x14ac:dyDescent="0.25">
      <c r="A55" s="420"/>
      <c r="B55" s="410"/>
      <c r="C55" s="191" t="s">
        <v>26</v>
      </c>
      <c r="D55" s="198" t="s">
        <v>68</v>
      </c>
      <c r="E55" s="180" t="s">
        <v>16</v>
      </c>
      <c r="F55" s="202" t="s">
        <v>111</v>
      </c>
      <c r="G55" s="108">
        <v>8</v>
      </c>
      <c r="H55" s="410"/>
      <c r="I55" s="198" t="s">
        <v>467</v>
      </c>
      <c r="J55" s="198" t="s">
        <v>68</v>
      </c>
      <c r="K55" s="180" t="s">
        <v>16</v>
      </c>
      <c r="L55" s="202" t="s">
        <v>111</v>
      </c>
      <c r="M55" s="108">
        <v>15</v>
      </c>
      <c r="N55" s="194" t="s">
        <v>11</v>
      </c>
      <c r="O55" s="176" t="s">
        <v>67</v>
      </c>
      <c r="P55" s="186" t="s">
        <v>447</v>
      </c>
      <c r="Q55" s="185" t="s">
        <v>69</v>
      </c>
      <c r="R55" s="189">
        <v>44286</v>
      </c>
    </row>
    <row r="56" spans="1:18" ht="42.75" customHeight="1" x14ac:dyDescent="0.25">
      <c r="A56" s="420"/>
      <c r="B56" s="410"/>
      <c r="C56" s="399" t="s">
        <v>26</v>
      </c>
      <c r="D56" s="384" t="s">
        <v>70</v>
      </c>
      <c r="E56" s="378" t="s">
        <v>16</v>
      </c>
      <c r="F56" s="486" t="s">
        <v>111</v>
      </c>
      <c r="G56" s="393">
        <v>17.090800000000002</v>
      </c>
      <c r="H56" s="410"/>
      <c r="I56" s="198" t="s">
        <v>467</v>
      </c>
      <c r="J56" s="198" t="s">
        <v>70</v>
      </c>
      <c r="K56" s="180" t="s">
        <v>16</v>
      </c>
      <c r="L56" s="202" t="s">
        <v>111</v>
      </c>
      <c r="M56" s="108">
        <v>11.0908</v>
      </c>
      <c r="N56" s="406" t="s">
        <v>11</v>
      </c>
      <c r="O56" s="403" t="s">
        <v>71</v>
      </c>
      <c r="P56" s="382" t="s">
        <v>447</v>
      </c>
      <c r="Q56" s="470" t="s">
        <v>558</v>
      </c>
      <c r="R56" s="375">
        <v>44286</v>
      </c>
    </row>
    <row r="57" spans="1:18" s="52" customFormat="1" ht="42.75" customHeight="1" x14ac:dyDescent="0.25">
      <c r="A57" s="420"/>
      <c r="B57" s="410"/>
      <c r="C57" s="409"/>
      <c r="D57" s="410"/>
      <c r="E57" s="379"/>
      <c r="F57" s="487"/>
      <c r="G57" s="394"/>
      <c r="H57" s="410"/>
      <c r="I57" s="198" t="s">
        <v>467</v>
      </c>
      <c r="J57" s="198" t="s">
        <v>70</v>
      </c>
      <c r="K57" s="180" t="s">
        <v>10</v>
      </c>
      <c r="L57" s="202"/>
      <c r="M57" s="122">
        <v>0.35639999999999999</v>
      </c>
      <c r="N57" s="407"/>
      <c r="O57" s="404"/>
      <c r="P57" s="431"/>
      <c r="Q57" s="471"/>
      <c r="R57" s="376"/>
    </row>
    <row r="58" spans="1:18" s="52" customFormat="1" x14ac:dyDescent="0.25">
      <c r="A58" s="420"/>
      <c r="B58" s="410"/>
      <c r="C58" s="400"/>
      <c r="D58" s="385"/>
      <c r="E58" s="380"/>
      <c r="F58" s="488"/>
      <c r="G58" s="395"/>
      <c r="H58" s="410"/>
      <c r="I58" s="254" t="s">
        <v>26</v>
      </c>
      <c r="J58" s="273" t="s">
        <v>70</v>
      </c>
      <c r="K58" s="269" t="s">
        <v>16</v>
      </c>
      <c r="L58" s="282" t="s">
        <v>111</v>
      </c>
      <c r="M58" s="148">
        <v>10.207867</v>
      </c>
      <c r="N58" s="408"/>
      <c r="O58" s="405"/>
      <c r="P58" s="383"/>
      <c r="Q58" s="472"/>
      <c r="R58" s="377"/>
    </row>
    <row r="59" spans="1:18" x14ac:dyDescent="0.25">
      <c r="A59" s="420"/>
      <c r="B59" s="410"/>
      <c r="C59" s="191" t="s">
        <v>26</v>
      </c>
      <c r="D59" s="198" t="s">
        <v>9</v>
      </c>
      <c r="E59" s="180" t="s">
        <v>16</v>
      </c>
      <c r="F59" s="202" t="s">
        <v>111</v>
      </c>
      <c r="G59" s="108">
        <v>1.78</v>
      </c>
      <c r="H59" s="410"/>
      <c r="I59" s="393"/>
      <c r="J59" s="393"/>
      <c r="K59" s="393"/>
      <c r="L59" s="393"/>
      <c r="M59" s="393"/>
      <c r="N59" s="450" t="s">
        <v>11</v>
      </c>
      <c r="O59" s="381" t="s">
        <v>72</v>
      </c>
      <c r="P59" s="382" t="s">
        <v>447</v>
      </c>
      <c r="Q59" s="442" t="s">
        <v>667</v>
      </c>
      <c r="R59" s="375">
        <v>44286</v>
      </c>
    </row>
    <row r="60" spans="1:18" s="52" customFormat="1" ht="30" x14ac:dyDescent="0.25">
      <c r="A60" s="420"/>
      <c r="B60" s="410"/>
      <c r="C60" s="191" t="s">
        <v>26</v>
      </c>
      <c r="D60" s="198" t="s">
        <v>9</v>
      </c>
      <c r="E60" s="180" t="s">
        <v>10</v>
      </c>
      <c r="F60" s="106" t="s">
        <v>343</v>
      </c>
      <c r="G60" s="108">
        <v>112.7</v>
      </c>
      <c r="H60" s="410"/>
      <c r="I60" s="394"/>
      <c r="J60" s="394"/>
      <c r="K60" s="394"/>
      <c r="L60" s="394"/>
      <c r="M60" s="394"/>
      <c r="N60" s="450"/>
      <c r="O60" s="381"/>
      <c r="P60" s="431"/>
      <c r="Q60" s="442"/>
      <c r="R60" s="376"/>
    </row>
    <row r="61" spans="1:18" x14ac:dyDescent="0.25">
      <c r="A61" s="420"/>
      <c r="B61" s="410"/>
      <c r="C61" s="201" t="s">
        <v>8</v>
      </c>
      <c r="D61" s="56" t="s">
        <v>9</v>
      </c>
      <c r="E61" s="201" t="s">
        <v>16</v>
      </c>
      <c r="F61" s="202" t="s">
        <v>111</v>
      </c>
      <c r="G61" s="108">
        <v>12.399149</v>
      </c>
      <c r="H61" s="410"/>
      <c r="I61" s="395"/>
      <c r="J61" s="395"/>
      <c r="K61" s="395"/>
      <c r="L61" s="395"/>
      <c r="M61" s="395"/>
      <c r="N61" s="450"/>
      <c r="O61" s="381"/>
      <c r="P61" s="383"/>
      <c r="Q61" s="442"/>
      <c r="R61" s="377"/>
    </row>
    <row r="62" spans="1:18" x14ac:dyDescent="0.25">
      <c r="A62" s="420"/>
      <c r="B62" s="410"/>
      <c r="C62" s="191" t="s">
        <v>26</v>
      </c>
      <c r="D62" s="198" t="s">
        <v>17</v>
      </c>
      <c r="E62" s="180" t="s">
        <v>16</v>
      </c>
      <c r="F62" s="202" t="s">
        <v>111</v>
      </c>
      <c r="G62" s="108">
        <v>1.6896629999999999</v>
      </c>
      <c r="H62" s="410"/>
      <c r="I62" s="384" t="s">
        <v>467</v>
      </c>
      <c r="J62" s="384" t="s">
        <v>17</v>
      </c>
      <c r="K62" s="384" t="s">
        <v>16</v>
      </c>
      <c r="L62" s="384" t="s">
        <v>111</v>
      </c>
      <c r="M62" s="411">
        <v>105.29519000000001</v>
      </c>
      <c r="N62" s="406" t="s">
        <v>11</v>
      </c>
      <c r="O62" s="403" t="s">
        <v>18</v>
      </c>
      <c r="P62" s="406" t="s">
        <v>19</v>
      </c>
      <c r="Q62" s="456" t="s">
        <v>660</v>
      </c>
      <c r="R62" s="375">
        <v>44316</v>
      </c>
    </row>
    <row r="63" spans="1:18" x14ac:dyDescent="0.25">
      <c r="A63" s="420"/>
      <c r="B63" s="410"/>
      <c r="C63" s="191" t="s">
        <v>26</v>
      </c>
      <c r="D63" s="198" t="s">
        <v>17</v>
      </c>
      <c r="E63" s="180" t="s">
        <v>16</v>
      </c>
      <c r="F63" s="202" t="s">
        <v>111</v>
      </c>
      <c r="G63" s="108">
        <v>3.3615650000000001</v>
      </c>
      <c r="H63" s="410"/>
      <c r="I63" s="410"/>
      <c r="J63" s="410"/>
      <c r="K63" s="410"/>
      <c r="L63" s="410"/>
      <c r="M63" s="412"/>
      <c r="N63" s="407"/>
      <c r="O63" s="404"/>
      <c r="P63" s="407"/>
      <c r="Q63" s="457"/>
      <c r="R63" s="376"/>
    </row>
    <row r="64" spans="1:18" ht="30" x14ac:dyDescent="0.25">
      <c r="A64" s="420"/>
      <c r="B64" s="410"/>
      <c r="C64" s="191" t="s">
        <v>26</v>
      </c>
      <c r="D64" s="198" t="s">
        <v>17</v>
      </c>
      <c r="E64" s="180" t="s">
        <v>10</v>
      </c>
      <c r="F64" s="198" t="s">
        <v>343</v>
      </c>
      <c r="G64" s="108">
        <v>200</v>
      </c>
      <c r="H64" s="410"/>
      <c r="I64" s="410"/>
      <c r="J64" s="410"/>
      <c r="K64" s="410"/>
      <c r="L64" s="410"/>
      <c r="M64" s="412"/>
      <c r="N64" s="407"/>
      <c r="O64" s="404"/>
      <c r="P64" s="407"/>
      <c r="Q64" s="457"/>
      <c r="R64" s="376"/>
    </row>
    <row r="65" spans="1:18" ht="30" x14ac:dyDescent="0.25">
      <c r="A65" s="420"/>
      <c r="B65" s="410"/>
      <c r="C65" s="191" t="s">
        <v>8</v>
      </c>
      <c r="D65" s="198" t="s">
        <v>17</v>
      </c>
      <c r="E65" s="180" t="s">
        <v>10</v>
      </c>
      <c r="F65" s="198" t="s">
        <v>343</v>
      </c>
      <c r="G65" s="108">
        <v>-101.549187</v>
      </c>
      <c r="H65" s="410"/>
      <c r="I65" s="385"/>
      <c r="J65" s="385"/>
      <c r="K65" s="385"/>
      <c r="L65" s="385"/>
      <c r="M65" s="413"/>
      <c r="N65" s="407"/>
      <c r="O65" s="404"/>
      <c r="P65" s="407"/>
      <c r="Q65" s="457"/>
      <c r="R65" s="376"/>
    </row>
    <row r="66" spans="1:18" s="52" customFormat="1" x14ac:dyDescent="0.25">
      <c r="A66" s="420"/>
      <c r="B66" s="410"/>
      <c r="C66" s="191" t="s">
        <v>8</v>
      </c>
      <c r="D66" s="198" t="s">
        <v>17</v>
      </c>
      <c r="E66" s="180" t="s">
        <v>16</v>
      </c>
      <c r="F66" s="202" t="s">
        <v>111</v>
      </c>
      <c r="G66" s="108">
        <f>58+31.150038</f>
        <v>89.150037999999995</v>
      </c>
      <c r="H66" s="410"/>
      <c r="I66" s="384" t="s">
        <v>467</v>
      </c>
      <c r="J66" s="384" t="s">
        <v>17</v>
      </c>
      <c r="K66" s="384" t="s">
        <v>10</v>
      </c>
      <c r="L66" s="384"/>
      <c r="M66" s="411">
        <v>1.0781270000000001</v>
      </c>
      <c r="N66" s="407"/>
      <c r="O66" s="404"/>
      <c r="P66" s="407"/>
      <c r="Q66" s="457"/>
      <c r="R66" s="376"/>
    </row>
    <row r="67" spans="1:18" s="52" customFormat="1" ht="30" x14ac:dyDescent="0.25">
      <c r="A67" s="420"/>
      <c r="B67" s="410"/>
      <c r="C67" s="191" t="s">
        <v>396</v>
      </c>
      <c r="D67" s="198" t="s">
        <v>17</v>
      </c>
      <c r="E67" s="180" t="s">
        <v>10</v>
      </c>
      <c r="F67" s="198" t="s">
        <v>343</v>
      </c>
      <c r="G67" s="108">
        <v>-84.434709999999995</v>
      </c>
      <c r="H67" s="410"/>
      <c r="I67" s="410"/>
      <c r="J67" s="410"/>
      <c r="K67" s="410"/>
      <c r="L67" s="410"/>
      <c r="M67" s="412"/>
      <c r="N67" s="407"/>
      <c r="O67" s="404"/>
      <c r="P67" s="407"/>
      <c r="Q67" s="457"/>
      <c r="R67" s="376"/>
    </row>
    <row r="68" spans="1:18" x14ac:dyDescent="0.25">
      <c r="A68" s="420"/>
      <c r="B68" s="410"/>
      <c r="C68" s="399" t="s">
        <v>396</v>
      </c>
      <c r="D68" s="399" t="s">
        <v>17</v>
      </c>
      <c r="E68" s="399" t="s">
        <v>16</v>
      </c>
      <c r="F68" s="399" t="s">
        <v>111</v>
      </c>
      <c r="G68" s="401">
        <f>27.72279+0.108+56.60392</f>
        <v>84.434709999999995</v>
      </c>
      <c r="H68" s="410"/>
      <c r="I68" s="385"/>
      <c r="J68" s="385"/>
      <c r="K68" s="385"/>
      <c r="L68" s="385"/>
      <c r="M68" s="413"/>
      <c r="N68" s="407"/>
      <c r="O68" s="404"/>
      <c r="P68" s="407"/>
      <c r="Q68" s="457"/>
      <c r="R68" s="376"/>
    </row>
    <row r="69" spans="1:18" s="52" customFormat="1" x14ac:dyDescent="0.25">
      <c r="A69" s="420"/>
      <c r="B69" s="410"/>
      <c r="C69" s="400"/>
      <c r="D69" s="400"/>
      <c r="E69" s="400"/>
      <c r="F69" s="400"/>
      <c r="G69" s="402"/>
      <c r="H69" s="410"/>
      <c r="I69" s="255" t="s">
        <v>26</v>
      </c>
      <c r="J69" s="255" t="s">
        <v>17</v>
      </c>
      <c r="K69" s="255" t="s">
        <v>16</v>
      </c>
      <c r="L69" s="255" t="s">
        <v>111</v>
      </c>
      <c r="M69" s="262">
        <f>0.75+102.913345</f>
        <v>103.66334500000001</v>
      </c>
      <c r="N69" s="408"/>
      <c r="O69" s="405"/>
      <c r="P69" s="408"/>
      <c r="Q69" s="458"/>
      <c r="R69" s="377"/>
    </row>
    <row r="70" spans="1:18" s="52" customFormat="1" ht="60" x14ac:dyDescent="0.25">
      <c r="A70" s="421"/>
      <c r="B70" s="385"/>
      <c r="C70" s="191" t="s">
        <v>42</v>
      </c>
      <c r="D70" s="198" t="s">
        <v>236</v>
      </c>
      <c r="E70" s="180" t="s">
        <v>111</v>
      </c>
      <c r="F70" s="201" t="s">
        <v>111</v>
      </c>
      <c r="G70" s="108" t="s">
        <v>111</v>
      </c>
      <c r="H70" s="385"/>
      <c r="I70" s="198" t="s">
        <v>467</v>
      </c>
      <c r="J70" s="198" t="s">
        <v>236</v>
      </c>
      <c r="K70" s="180" t="s">
        <v>16</v>
      </c>
      <c r="L70" s="180" t="s">
        <v>111</v>
      </c>
      <c r="M70" s="149">
        <v>5</v>
      </c>
      <c r="N70" s="194" t="s">
        <v>11</v>
      </c>
      <c r="O70" s="181" t="s">
        <v>217</v>
      </c>
      <c r="P70" s="186" t="s">
        <v>447</v>
      </c>
      <c r="Q70" s="197" t="s">
        <v>562</v>
      </c>
      <c r="R70" s="173">
        <v>44286</v>
      </c>
    </row>
    <row r="71" spans="1:18" s="52" customFormat="1" ht="15" customHeight="1" x14ac:dyDescent="0.25">
      <c r="A71" s="419" t="s">
        <v>444</v>
      </c>
      <c r="B71" s="396">
        <f>4223-2806</f>
        <v>1417</v>
      </c>
      <c r="C71" s="180" t="s">
        <v>8</v>
      </c>
      <c r="D71" s="180" t="s">
        <v>9</v>
      </c>
      <c r="E71" s="180" t="s">
        <v>16</v>
      </c>
      <c r="F71" s="199" t="s">
        <v>111</v>
      </c>
      <c r="G71" s="108">
        <f>0.403571+10</f>
        <v>10.403570999999999</v>
      </c>
      <c r="H71" s="396">
        <f>167+5934</f>
        <v>6101</v>
      </c>
      <c r="I71" s="378" t="s">
        <v>467</v>
      </c>
      <c r="J71" s="378" t="s">
        <v>9</v>
      </c>
      <c r="K71" s="378" t="s">
        <v>16</v>
      </c>
      <c r="L71" s="483" t="s">
        <v>111</v>
      </c>
      <c r="M71" s="393">
        <v>15</v>
      </c>
      <c r="N71" s="378" t="s">
        <v>11</v>
      </c>
      <c r="O71" s="389" t="s">
        <v>12</v>
      </c>
      <c r="P71" s="386" t="s">
        <v>447</v>
      </c>
      <c r="Q71" s="470" t="s">
        <v>505</v>
      </c>
      <c r="R71" s="375">
        <v>44286</v>
      </c>
    </row>
    <row r="72" spans="1:18" s="52" customFormat="1" ht="60" x14ac:dyDescent="0.25">
      <c r="A72" s="420"/>
      <c r="B72" s="397"/>
      <c r="C72" s="180" t="s">
        <v>8</v>
      </c>
      <c r="D72" s="180" t="s">
        <v>9</v>
      </c>
      <c r="E72" s="180" t="s">
        <v>10</v>
      </c>
      <c r="F72" s="198" t="s">
        <v>345</v>
      </c>
      <c r="G72" s="108">
        <v>133.69999999999999</v>
      </c>
      <c r="H72" s="397"/>
      <c r="I72" s="379"/>
      <c r="J72" s="379"/>
      <c r="K72" s="379"/>
      <c r="L72" s="484"/>
      <c r="M72" s="394"/>
      <c r="N72" s="379"/>
      <c r="O72" s="390"/>
      <c r="P72" s="387"/>
      <c r="Q72" s="471"/>
      <c r="R72" s="376"/>
    </row>
    <row r="73" spans="1:18" s="52" customFormat="1" ht="60" x14ac:dyDescent="0.25">
      <c r="A73" s="420"/>
      <c r="B73" s="397"/>
      <c r="C73" s="180" t="s">
        <v>396</v>
      </c>
      <c r="D73" s="180" t="s">
        <v>9</v>
      </c>
      <c r="E73" s="180" t="s">
        <v>10</v>
      </c>
      <c r="F73" s="198" t="s">
        <v>345</v>
      </c>
      <c r="G73" s="108">
        <v>-126.7</v>
      </c>
      <c r="H73" s="397"/>
      <c r="I73" s="379"/>
      <c r="J73" s="379"/>
      <c r="K73" s="379"/>
      <c r="L73" s="484"/>
      <c r="M73" s="394"/>
      <c r="N73" s="379"/>
      <c r="O73" s="390"/>
      <c r="P73" s="387"/>
      <c r="Q73" s="471"/>
      <c r="R73" s="376"/>
    </row>
    <row r="74" spans="1:18" s="52" customFormat="1" x14ac:dyDescent="0.25">
      <c r="A74" s="420"/>
      <c r="B74" s="397"/>
      <c r="C74" s="378" t="s">
        <v>396</v>
      </c>
      <c r="D74" s="378" t="s">
        <v>9</v>
      </c>
      <c r="E74" s="378" t="s">
        <v>16</v>
      </c>
      <c r="F74" s="378" t="s">
        <v>111</v>
      </c>
      <c r="G74" s="401">
        <v>126.7</v>
      </c>
      <c r="H74" s="397"/>
      <c r="I74" s="380"/>
      <c r="J74" s="380"/>
      <c r="K74" s="380"/>
      <c r="L74" s="485"/>
      <c r="M74" s="395"/>
      <c r="N74" s="379"/>
      <c r="O74" s="390"/>
      <c r="P74" s="387"/>
      <c r="Q74" s="471"/>
      <c r="R74" s="376"/>
    </row>
    <row r="75" spans="1:18" s="52" customFormat="1" x14ac:dyDescent="0.25">
      <c r="A75" s="420"/>
      <c r="B75" s="397"/>
      <c r="C75" s="380"/>
      <c r="D75" s="380"/>
      <c r="E75" s="380"/>
      <c r="F75" s="380"/>
      <c r="G75" s="402"/>
      <c r="H75" s="397"/>
      <c r="I75" s="258" t="s">
        <v>26</v>
      </c>
      <c r="J75" s="269" t="s">
        <v>9</v>
      </c>
      <c r="K75" s="269" t="s">
        <v>16</v>
      </c>
      <c r="L75" s="255" t="s">
        <v>111</v>
      </c>
      <c r="M75" s="252">
        <v>111.04</v>
      </c>
      <c r="N75" s="380"/>
      <c r="O75" s="391"/>
      <c r="P75" s="388"/>
      <c r="Q75" s="472"/>
      <c r="R75" s="377"/>
    </row>
    <row r="76" spans="1:18" s="52" customFormat="1" ht="30" customHeight="1" x14ac:dyDescent="0.25">
      <c r="A76" s="420"/>
      <c r="B76" s="397"/>
      <c r="C76" s="180" t="s">
        <v>8</v>
      </c>
      <c r="D76" s="180" t="s">
        <v>20</v>
      </c>
      <c r="E76" s="180" t="s">
        <v>16</v>
      </c>
      <c r="F76" s="199" t="s">
        <v>111</v>
      </c>
      <c r="G76" s="108">
        <f>318.492543+0.45</f>
        <v>318.942543</v>
      </c>
      <c r="H76" s="397"/>
      <c r="I76" s="378" t="s">
        <v>467</v>
      </c>
      <c r="J76" s="378" t="s">
        <v>20</v>
      </c>
      <c r="K76" s="378" t="s">
        <v>16</v>
      </c>
      <c r="L76" s="378" t="s">
        <v>111</v>
      </c>
      <c r="M76" s="393">
        <v>374.188241</v>
      </c>
      <c r="N76" s="378" t="s">
        <v>11</v>
      </c>
      <c r="O76" s="435" t="s">
        <v>21</v>
      </c>
      <c r="P76" s="392" t="s">
        <v>447</v>
      </c>
      <c r="Q76" s="442" t="s">
        <v>586</v>
      </c>
      <c r="R76" s="375">
        <v>44286</v>
      </c>
    </row>
    <row r="77" spans="1:18" s="52" customFormat="1" ht="60" x14ac:dyDescent="0.25">
      <c r="A77" s="420"/>
      <c r="B77" s="397"/>
      <c r="C77" s="180" t="s">
        <v>8</v>
      </c>
      <c r="D77" s="180" t="s">
        <v>20</v>
      </c>
      <c r="E77" s="180" t="s">
        <v>10</v>
      </c>
      <c r="F77" s="198" t="s">
        <v>345</v>
      </c>
      <c r="G77" s="108">
        <v>308.37196399999999</v>
      </c>
      <c r="H77" s="397"/>
      <c r="I77" s="380"/>
      <c r="J77" s="380"/>
      <c r="K77" s="380"/>
      <c r="L77" s="380"/>
      <c r="M77" s="395"/>
      <c r="N77" s="379"/>
      <c r="O77" s="435"/>
      <c r="P77" s="392"/>
      <c r="Q77" s="442"/>
      <c r="R77" s="376"/>
    </row>
    <row r="78" spans="1:18" s="52" customFormat="1" ht="60" x14ac:dyDescent="0.25">
      <c r="A78" s="420"/>
      <c r="B78" s="397"/>
      <c r="C78" s="180" t="s">
        <v>396</v>
      </c>
      <c r="D78" s="180" t="s">
        <v>20</v>
      </c>
      <c r="E78" s="180" t="s">
        <v>10</v>
      </c>
      <c r="F78" s="198" t="s">
        <v>345</v>
      </c>
      <c r="G78" s="108">
        <v>-217.57197500000001</v>
      </c>
      <c r="H78" s="397"/>
      <c r="I78" s="378" t="s">
        <v>467</v>
      </c>
      <c r="J78" s="378" t="s">
        <v>20</v>
      </c>
      <c r="K78" s="378" t="s">
        <v>10</v>
      </c>
      <c r="L78" s="378"/>
      <c r="M78" s="393">
        <v>4.2413069999999999</v>
      </c>
      <c r="N78" s="379"/>
      <c r="O78" s="435"/>
      <c r="P78" s="392"/>
      <c r="Q78" s="442"/>
      <c r="R78" s="376"/>
    </row>
    <row r="79" spans="1:18" s="52" customFormat="1" ht="30" x14ac:dyDescent="0.25">
      <c r="A79" s="420"/>
      <c r="B79" s="397"/>
      <c r="C79" s="180" t="s">
        <v>396</v>
      </c>
      <c r="D79" s="180" t="s">
        <v>20</v>
      </c>
      <c r="E79" s="180" t="s">
        <v>10</v>
      </c>
      <c r="F79" s="198" t="s">
        <v>492</v>
      </c>
      <c r="G79" s="108">
        <v>217.57197500000001</v>
      </c>
      <c r="H79" s="397"/>
      <c r="I79" s="380"/>
      <c r="J79" s="380"/>
      <c r="K79" s="380"/>
      <c r="L79" s="380"/>
      <c r="M79" s="395"/>
      <c r="N79" s="380"/>
      <c r="O79" s="435"/>
      <c r="P79" s="392"/>
      <c r="Q79" s="442"/>
      <c r="R79" s="460"/>
    </row>
    <row r="80" spans="1:18" s="52" customFormat="1" ht="60" customHeight="1" x14ac:dyDescent="0.25">
      <c r="A80" s="420"/>
      <c r="B80" s="397"/>
      <c r="C80" s="378" t="s">
        <v>8</v>
      </c>
      <c r="D80" s="378" t="s">
        <v>66</v>
      </c>
      <c r="E80" s="378" t="s">
        <v>16</v>
      </c>
      <c r="F80" s="414" t="s">
        <v>111</v>
      </c>
      <c r="G80" s="415">
        <f>1+14</f>
        <v>15</v>
      </c>
      <c r="H80" s="397"/>
      <c r="I80" s="180" t="s">
        <v>467</v>
      </c>
      <c r="J80" s="180" t="s">
        <v>66</v>
      </c>
      <c r="K80" s="180" t="s">
        <v>16</v>
      </c>
      <c r="L80" s="199" t="s">
        <v>111</v>
      </c>
      <c r="M80" s="108">
        <v>20</v>
      </c>
      <c r="N80" s="378" t="s">
        <v>11</v>
      </c>
      <c r="O80" s="389" t="s">
        <v>157</v>
      </c>
      <c r="P80" s="386" t="s">
        <v>447</v>
      </c>
      <c r="Q80" s="470" t="s">
        <v>595</v>
      </c>
      <c r="R80" s="375">
        <v>44286</v>
      </c>
    </row>
    <row r="81" spans="1:18" s="52" customFormat="1" ht="60" customHeight="1" x14ac:dyDescent="0.25">
      <c r="A81" s="420"/>
      <c r="B81" s="397"/>
      <c r="C81" s="379"/>
      <c r="D81" s="379"/>
      <c r="E81" s="379"/>
      <c r="F81" s="414"/>
      <c r="G81" s="415"/>
      <c r="H81" s="397"/>
      <c r="I81" s="297" t="s">
        <v>26</v>
      </c>
      <c r="J81" s="303" t="s">
        <v>66</v>
      </c>
      <c r="K81" s="303" t="s">
        <v>16</v>
      </c>
      <c r="L81" s="307" t="s">
        <v>111</v>
      </c>
      <c r="M81" s="301">
        <v>57.011000000000003</v>
      </c>
      <c r="N81" s="379"/>
      <c r="O81" s="390"/>
      <c r="P81" s="387"/>
      <c r="Q81" s="471"/>
      <c r="R81" s="376"/>
    </row>
    <row r="82" spans="1:18" s="52" customFormat="1" x14ac:dyDescent="0.25">
      <c r="A82" s="420"/>
      <c r="B82" s="397"/>
      <c r="C82" s="380"/>
      <c r="D82" s="380"/>
      <c r="E82" s="380"/>
      <c r="F82" s="414"/>
      <c r="G82" s="415"/>
      <c r="H82" s="397"/>
      <c r="I82" s="257" t="s">
        <v>26</v>
      </c>
      <c r="J82" s="269" t="s">
        <v>66</v>
      </c>
      <c r="K82" s="269" t="s">
        <v>16</v>
      </c>
      <c r="L82" s="276" t="s">
        <v>111</v>
      </c>
      <c r="M82" s="266">
        <v>4.8</v>
      </c>
      <c r="N82" s="380"/>
      <c r="O82" s="391"/>
      <c r="P82" s="388"/>
      <c r="Q82" s="472"/>
      <c r="R82" s="377"/>
    </row>
    <row r="83" spans="1:18" x14ac:dyDescent="0.25">
      <c r="A83" s="420"/>
      <c r="B83" s="397"/>
      <c r="C83" s="378" t="s">
        <v>8</v>
      </c>
      <c r="D83" s="378" t="s">
        <v>17</v>
      </c>
      <c r="E83" s="378" t="s">
        <v>16</v>
      </c>
      <c r="F83" s="378" t="s">
        <v>111</v>
      </c>
      <c r="G83" s="489">
        <f>5378.297032+776.076667+6.75+21.4+68.6+46.199588+25+7.533544+5.3016</f>
        <v>6335.1584310000007</v>
      </c>
      <c r="H83" s="397"/>
      <c r="I83" s="384" t="s">
        <v>467</v>
      </c>
      <c r="J83" s="384" t="s">
        <v>17</v>
      </c>
      <c r="K83" s="384" t="s">
        <v>16</v>
      </c>
      <c r="L83" s="384" t="s">
        <v>111</v>
      </c>
      <c r="M83" s="393">
        <v>5409.8816550000001</v>
      </c>
      <c r="N83" s="378" t="s">
        <v>11</v>
      </c>
      <c r="O83" s="389" t="s">
        <v>18</v>
      </c>
      <c r="P83" s="378" t="s">
        <v>19</v>
      </c>
      <c r="Q83" s="372" t="s">
        <v>653</v>
      </c>
      <c r="R83" s="375">
        <v>44316</v>
      </c>
    </row>
    <row r="84" spans="1:18" s="52" customFormat="1" x14ac:dyDescent="0.25">
      <c r="A84" s="420"/>
      <c r="B84" s="397"/>
      <c r="C84" s="380"/>
      <c r="D84" s="380"/>
      <c r="E84" s="380"/>
      <c r="F84" s="380"/>
      <c r="G84" s="490"/>
      <c r="H84" s="397"/>
      <c r="I84" s="385"/>
      <c r="J84" s="385"/>
      <c r="K84" s="385"/>
      <c r="L84" s="385"/>
      <c r="M84" s="395"/>
      <c r="N84" s="379"/>
      <c r="O84" s="390"/>
      <c r="P84" s="379"/>
      <c r="Q84" s="373"/>
      <c r="R84" s="376"/>
    </row>
    <row r="85" spans="1:18" s="52" customFormat="1" ht="15" customHeight="1" x14ac:dyDescent="0.25">
      <c r="A85" s="420"/>
      <c r="B85" s="397"/>
      <c r="C85" s="414" t="s">
        <v>8</v>
      </c>
      <c r="D85" s="438" t="s">
        <v>17</v>
      </c>
      <c r="E85" s="414" t="s">
        <v>10</v>
      </c>
      <c r="F85" s="467" t="s">
        <v>345</v>
      </c>
      <c r="G85" s="491">
        <f>3821.702968+536.473333+298.400412+13.4984+7.7+5.275384</f>
        <v>4683.0504970000002</v>
      </c>
      <c r="H85" s="397"/>
      <c r="I85" s="384" t="s">
        <v>467</v>
      </c>
      <c r="J85" s="384" t="s">
        <v>17</v>
      </c>
      <c r="K85" s="384" t="s">
        <v>10</v>
      </c>
      <c r="L85" s="384"/>
      <c r="M85" s="393">
        <v>1.918345</v>
      </c>
      <c r="N85" s="379"/>
      <c r="O85" s="390"/>
      <c r="P85" s="379"/>
      <c r="Q85" s="373"/>
      <c r="R85" s="376"/>
    </row>
    <row r="86" spans="1:18" s="52" customFormat="1" ht="14.25" customHeight="1" x14ac:dyDescent="0.25">
      <c r="A86" s="420"/>
      <c r="B86" s="397"/>
      <c r="C86" s="414"/>
      <c r="D86" s="438"/>
      <c r="E86" s="414"/>
      <c r="F86" s="467"/>
      <c r="G86" s="491"/>
      <c r="H86" s="397"/>
      <c r="I86" s="385"/>
      <c r="J86" s="385"/>
      <c r="K86" s="385"/>
      <c r="L86" s="385"/>
      <c r="M86" s="395"/>
      <c r="N86" s="379"/>
      <c r="O86" s="390"/>
      <c r="P86" s="379"/>
      <c r="Q86" s="373"/>
      <c r="R86" s="376"/>
    </row>
    <row r="87" spans="1:18" s="52" customFormat="1" x14ac:dyDescent="0.25">
      <c r="A87" s="420"/>
      <c r="B87" s="397"/>
      <c r="C87" s="414" t="s">
        <v>396</v>
      </c>
      <c r="D87" s="438" t="s">
        <v>17</v>
      </c>
      <c r="E87" s="414" t="s">
        <v>16</v>
      </c>
      <c r="F87" s="467" t="s">
        <v>111</v>
      </c>
      <c r="G87" s="491">
        <f>3.18416+536.461532+7.2+2397.712418+10+0.5+75</f>
        <v>3030.0581099999999</v>
      </c>
      <c r="H87" s="397"/>
      <c r="I87" s="273" t="s">
        <v>26</v>
      </c>
      <c r="J87" s="273" t="s">
        <v>17</v>
      </c>
      <c r="K87" s="273" t="s">
        <v>16</v>
      </c>
      <c r="L87" s="273" t="s">
        <v>111</v>
      </c>
      <c r="M87" s="281">
        <f>550.720743+5.5</f>
        <v>556.22074299999997</v>
      </c>
      <c r="N87" s="379"/>
      <c r="O87" s="390"/>
      <c r="P87" s="379"/>
      <c r="Q87" s="373"/>
      <c r="R87" s="376"/>
    </row>
    <row r="88" spans="1:18" s="52" customFormat="1" ht="14.25" customHeight="1" x14ac:dyDescent="0.25">
      <c r="A88" s="420"/>
      <c r="B88" s="397"/>
      <c r="C88" s="414"/>
      <c r="D88" s="438"/>
      <c r="E88" s="414"/>
      <c r="F88" s="467"/>
      <c r="G88" s="491"/>
      <c r="H88" s="397"/>
      <c r="I88" s="273" t="s">
        <v>26</v>
      </c>
      <c r="J88" s="273" t="s">
        <v>17</v>
      </c>
      <c r="K88" s="273" t="s">
        <v>16</v>
      </c>
      <c r="L88" s="273" t="s">
        <v>111</v>
      </c>
      <c r="M88" s="281">
        <f>27.7525+68.984</f>
        <v>96.736499999999992</v>
      </c>
      <c r="N88" s="379"/>
      <c r="O88" s="390"/>
      <c r="P88" s="379"/>
      <c r="Q88" s="373"/>
      <c r="R88" s="376"/>
    </row>
    <row r="89" spans="1:18" s="52" customFormat="1" x14ac:dyDescent="0.25">
      <c r="A89" s="420"/>
      <c r="B89" s="397"/>
      <c r="C89" s="414" t="s">
        <v>396</v>
      </c>
      <c r="D89" s="438" t="s">
        <v>17</v>
      </c>
      <c r="E89" s="414" t="s">
        <v>10</v>
      </c>
      <c r="F89" s="467" t="s">
        <v>345</v>
      </c>
      <c r="G89" s="491">
        <f>-2482.712418+-3.18416+-536.461532+-7.7</f>
        <v>-3030.0581099999999</v>
      </c>
      <c r="H89" s="397"/>
      <c r="I89" s="273" t="s">
        <v>26</v>
      </c>
      <c r="J89" s="273" t="s">
        <v>17</v>
      </c>
      <c r="K89" s="273" t="s">
        <v>16</v>
      </c>
      <c r="L89" s="273" t="s">
        <v>111</v>
      </c>
      <c r="M89" s="250">
        <v>1467.6249600000001</v>
      </c>
      <c r="N89" s="379"/>
      <c r="O89" s="390"/>
      <c r="P89" s="379"/>
      <c r="Q89" s="373"/>
      <c r="R89" s="376"/>
    </row>
    <row r="90" spans="1:18" s="52" customFormat="1" ht="22.9" customHeight="1" x14ac:dyDescent="0.25">
      <c r="A90" s="420"/>
      <c r="B90" s="397"/>
      <c r="C90" s="414"/>
      <c r="D90" s="438"/>
      <c r="E90" s="414"/>
      <c r="F90" s="467"/>
      <c r="G90" s="491"/>
      <c r="H90" s="397"/>
      <c r="I90" s="306" t="s">
        <v>26</v>
      </c>
      <c r="J90" s="306" t="s">
        <v>17</v>
      </c>
      <c r="K90" s="306" t="s">
        <v>16</v>
      </c>
      <c r="L90" s="299" t="s">
        <v>111</v>
      </c>
      <c r="M90" s="295">
        <f>23.450408+4.5</f>
        <v>27.950407999999999</v>
      </c>
      <c r="N90" s="380"/>
      <c r="O90" s="391"/>
      <c r="P90" s="380"/>
      <c r="Q90" s="374"/>
      <c r="R90" s="377"/>
    </row>
    <row r="91" spans="1:18" s="52" customFormat="1" x14ac:dyDescent="0.25">
      <c r="A91" s="420"/>
      <c r="B91" s="397"/>
      <c r="C91" s="180" t="s">
        <v>8</v>
      </c>
      <c r="D91" s="89" t="s">
        <v>70</v>
      </c>
      <c r="E91" s="180" t="s">
        <v>16</v>
      </c>
      <c r="F91" s="315" t="s">
        <v>111</v>
      </c>
      <c r="G91" s="316">
        <f>2+31.5</f>
        <v>33.5</v>
      </c>
      <c r="H91" s="397"/>
      <c r="I91" s="416" t="s">
        <v>467</v>
      </c>
      <c r="J91" s="416" t="s">
        <v>70</v>
      </c>
      <c r="K91" s="416" t="s">
        <v>16</v>
      </c>
      <c r="L91" s="416" t="s">
        <v>111</v>
      </c>
      <c r="M91" s="393">
        <v>88</v>
      </c>
      <c r="N91" s="378" t="s">
        <v>11</v>
      </c>
      <c r="O91" s="389" t="s">
        <v>75</v>
      </c>
      <c r="P91" s="386" t="s">
        <v>447</v>
      </c>
      <c r="Q91" s="372" t="s">
        <v>559</v>
      </c>
      <c r="R91" s="375">
        <v>44286</v>
      </c>
    </row>
    <row r="92" spans="1:18" s="52" customFormat="1" ht="60" x14ac:dyDescent="0.25">
      <c r="A92" s="420"/>
      <c r="B92" s="397"/>
      <c r="C92" s="180" t="s">
        <v>8</v>
      </c>
      <c r="D92" s="89" t="s">
        <v>70</v>
      </c>
      <c r="E92" s="180" t="s">
        <v>10</v>
      </c>
      <c r="F92" s="198" t="s">
        <v>345</v>
      </c>
      <c r="G92" s="108">
        <v>33.5</v>
      </c>
      <c r="H92" s="397"/>
      <c r="I92" s="417"/>
      <c r="J92" s="417"/>
      <c r="K92" s="417"/>
      <c r="L92" s="417"/>
      <c r="M92" s="394"/>
      <c r="N92" s="379"/>
      <c r="O92" s="390"/>
      <c r="P92" s="387"/>
      <c r="Q92" s="373"/>
      <c r="R92" s="376"/>
    </row>
    <row r="93" spans="1:18" s="52" customFormat="1" x14ac:dyDescent="0.25">
      <c r="A93" s="420"/>
      <c r="B93" s="397"/>
      <c r="C93" s="180" t="s">
        <v>396</v>
      </c>
      <c r="D93" s="89" t="s">
        <v>70</v>
      </c>
      <c r="E93" s="180" t="s">
        <v>16</v>
      </c>
      <c r="F93" s="180" t="s">
        <v>111</v>
      </c>
      <c r="G93" s="108">
        <v>30.158628</v>
      </c>
      <c r="H93" s="397"/>
      <c r="I93" s="417"/>
      <c r="J93" s="417"/>
      <c r="K93" s="417"/>
      <c r="L93" s="417"/>
      <c r="M93" s="394"/>
      <c r="N93" s="379"/>
      <c r="O93" s="390"/>
      <c r="P93" s="387"/>
      <c r="Q93" s="373"/>
      <c r="R93" s="376"/>
    </row>
    <row r="94" spans="1:18" s="52" customFormat="1" x14ac:dyDescent="0.25">
      <c r="A94" s="420"/>
      <c r="B94" s="397"/>
      <c r="C94" s="378" t="s">
        <v>396</v>
      </c>
      <c r="D94" s="378" t="s">
        <v>70</v>
      </c>
      <c r="E94" s="378" t="s">
        <v>10</v>
      </c>
      <c r="F94" s="378" t="s">
        <v>345</v>
      </c>
      <c r="G94" s="401">
        <v>-30.158628</v>
      </c>
      <c r="H94" s="397"/>
      <c r="I94" s="418"/>
      <c r="J94" s="418"/>
      <c r="K94" s="418"/>
      <c r="L94" s="418"/>
      <c r="M94" s="395"/>
      <c r="N94" s="379"/>
      <c r="O94" s="390"/>
      <c r="P94" s="387"/>
      <c r="Q94" s="373"/>
      <c r="R94" s="376"/>
    </row>
    <row r="95" spans="1:18" s="52" customFormat="1" x14ac:dyDescent="0.25">
      <c r="A95" s="421"/>
      <c r="B95" s="398"/>
      <c r="C95" s="380"/>
      <c r="D95" s="380"/>
      <c r="E95" s="380"/>
      <c r="F95" s="380"/>
      <c r="G95" s="402"/>
      <c r="H95" s="398"/>
      <c r="I95" s="261" t="s">
        <v>26</v>
      </c>
      <c r="J95" s="261" t="s">
        <v>70</v>
      </c>
      <c r="K95" s="261" t="s">
        <v>16</v>
      </c>
      <c r="L95" s="261" t="s">
        <v>111</v>
      </c>
      <c r="M95" s="252">
        <v>41</v>
      </c>
      <c r="N95" s="380"/>
      <c r="O95" s="391"/>
      <c r="P95" s="388"/>
      <c r="Q95" s="374"/>
      <c r="R95" s="377"/>
    </row>
    <row r="96" spans="1:18" ht="30" x14ac:dyDescent="0.25">
      <c r="A96" s="427" t="s">
        <v>74</v>
      </c>
      <c r="B96" s="384">
        <v>90</v>
      </c>
      <c r="C96" s="180" t="s">
        <v>8</v>
      </c>
      <c r="D96" s="198" t="s">
        <v>70</v>
      </c>
      <c r="E96" s="180" t="s">
        <v>10</v>
      </c>
      <c r="F96" s="198" t="s">
        <v>347</v>
      </c>
      <c r="G96" s="108">
        <v>40.020000000000003</v>
      </c>
      <c r="H96" s="384">
        <v>36</v>
      </c>
      <c r="I96" s="384" t="s">
        <v>467</v>
      </c>
      <c r="J96" s="384" t="s">
        <v>70</v>
      </c>
      <c r="K96" s="384" t="s">
        <v>16</v>
      </c>
      <c r="L96" s="384" t="s">
        <v>111</v>
      </c>
      <c r="M96" s="393">
        <v>33.758555000000001</v>
      </c>
      <c r="N96" s="414" t="s">
        <v>11</v>
      </c>
      <c r="O96" s="435" t="s">
        <v>75</v>
      </c>
      <c r="P96" s="392" t="s">
        <v>447</v>
      </c>
      <c r="Q96" s="469" t="s">
        <v>560</v>
      </c>
      <c r="R96" s="451">
        <v>44286</v>
      </c>
    </row>
    <row r="97" spans="1:18" s="52" customFormat="1" x14ac:dyDescent="0.25">
      <c r="A97" s="427"/>
      <c r="B97" s="410"/>
      <c r="C97" s="180" t="s">
        <v>8</v>
      </c>
      <c r="D97" s="198" t="s">
        <v>70</v>
      </c>
      <c r="E97" s="180" t="s">
        <v>16</v>
      </c>
      <c r="F97" s="198" t="s">
        <v>111</v>
      </c>
      <c r="G97" s="108">
        <v>50</v>
      </c>
      <c r="H97" s="410"/>
      <c r="I97" s="385"/>
      <c r="J97" s="385"/>
      <c r="K97" s="385"/>
      <c r="L97" s="385"/>
      <c r="M97" s="395"/>
      <c r="N97" s="414"/>
      <c r="O97" s="435"/>
      <c r="P97" s="392"/>
      <c r="Q97" s="469"/>
      <c r="R97" s="468"/>
    </row>
    <row r="98" spans="1:18" s="52" customFormat="1" ht="30" x14ac:dyDescent="0.25">
      <c r="A98" s="427"/>
      <c r="B98" s="410"/>
      <c r="C98" s="180" t="s">
        <v>396</v>
      </c>
      <c r="D98" s="198" t="s">
        <v>70</v>
      </c>
      <c r="E98" s="180" t="s">
        <v>10</v>
      </c>
      <c r="F98" s="198" t="s">
        <v>347</v>
      </c>
      <c r="G98" s="108">
        <v>-32.746285</v>
      </c>
      <c r="H98" s="410"/>
      <c r="I98" s="384" t="s">
        <v>467</v>
      </c>
      <c r="J98" s="384" t="s">
        <v>70</v>
      </c>
      <c r="K98" s="384" t="s">
        <v>10</v>
      </c>
      <c r="L98" s="384"/>
      <c r="M98" s="393">
        <v>1.952226</v>
      </c>
      <c r="N98" s="414"/>
      <c r="O98" s="435"/>
      <c r="P98" s="392"/>
      <c r="Q98" s="469"/>
      <c r="R98" s="468"/>
    </row>
    <row r="99" spans="1:18" x14ac:dyDescent="0.25">
      <c r="A99" s="427"/>
      <c r="B99" s="385"/>
      <c r="C99" s="165" t="s">
        <v>396</v>
      </c>
      <c r="D99" s="198" t="s">
        <v>70</v>
      </c>
      <c r="E99" s="165" t="s">
        <v>16</v>
      </c>
      <c r="F99" s="163" t="s">
        <v>111</v>
      </c>
      <c r="G99" s="108">
        <f>8.532137+23.732769</f>
        <v>32.264906000000003</v>
      </c>
      <c r="H99" s="385"/>
      <c r="I99" s="385"/>
      <c r="J99" s="385"/>
      <c r="K99" s="385"/>
      <c r="L99" s="385"/>
      <c r="M99" s="395"/>
      <c r="N99" s="414"/>
      <c r="O99" s="435"/>
      <c r="P99" s="392"/>
      <c r="Q99" s="469"/>
      <c r="R99" s="468"/>
    </row>
    <row r="100" spans="1:18" ht="34.5" customHeight="1" x14ac:dyDescent="0.25">
      <c r="A100" s="419" t="s">
        <v>76</v>
      </c>
      <c r="B100" s="384">
        <v>530</v>
      </c>
      <c r="C100" s="180" t="s">
        <v>396</v>
      </c>
      <c r="D100" s="198" t="s">
        <v>20</v>
      </c>
      <c r="E100" s="180" t="s">
        <v>10</v>
      </c>
      <c r="F100" s="198" t="s">
        <v>493</v>
      </c>
      <c r="G100" s="108">
        <v>45</v>
      </c>
      <c r="H100" s="384">
        <v>16</v>
      </c>
      <c r="I100" s="198"/>
      <c r="J100" s="198"/>
      <c r="K100" s="180"/>
      <c r="L100" s="198"/>
      <c r="M100" s="108"/>
      <c r="N100" s="180" t="s">
        <v>11</v>
      </c>
      <c r="O100" s="170" t="s">
        <v>21</v>
      </c>
      <c r="P100" s="180" t="s">
        <v>13</v>
      </c>
      <c r="Q100" s="188"/>
      <c r="R100" s="190"/>
    </row>
    <row r="101" spans="1:18" s="52" customFormat="1" ht="34.5" customHeight="1" x14ac:dyDescent="0.25">
      <c r="A101" s="420"/>
      <c r="B101" s="410"/>
      <c r="C101" s="378" t="s">
        <v>396</v>
      </c>
      <c r="D101" s="384" t="s">
        <v>17</v>
      </c>
      <c r="E101" s="378" t="s">
        <v>16</v>
      </c>
      <c r="F101" s="384" t="s">
        <v>111</v>
      </c>
      <c r="G101" s="393">
        <f>484.509029+0.6</f>
        <v>485.10902900000002</v>
      </c>
      <c r="H101" s="410"/>
      <c r="I101" s="198" t="s">
        <v>467</v>
      </c>
      <c r="J101" s="198" t="s">
        <v>17</v>
      </c>
      <c r="K101" s="180" t="s">
        <v>16</v>
      </c>
      <c r="L101" s="198" t="s">
        <v>111</v>
      </c>
      <c r="M101" s="108">
        <v>15.270640999999999</v>
      </c>
      <c r="N101" s="378" t="s">
        <v>11</v>
      </c>
      <c r="O101" s="403" t="s">
        <v>18</v>
      </c>
      <c r="P101" s="378" t="s">
        <v>19</v>
      </c>
      <c r="Q101" s="372" t="s">
        <v>659</v>
      </c>
      <c r="R101" s="375">
        <v>44316</v>
      </c>
    </row>
    <row r="102" spans="1:18" s="52" customFormat="1" ht="34.5" customHeight="1" x14ac:dyDescent="0.25">
      <c r="A102" s="420"/>
      <c r="B102" s="410"/>
      <c r="C102" s="379"/>
      <c r="D102" s="410"/>
      <c r="E102" s="379"/>
      <c r="F102" s="410"/>
      <c r="G102" s="394"/>
      <c r="H102" s="410"/>
      <c r="I102" s="198" t="s">
        <v>467</v>
      </c>
      <c r="J102" s="198" t="s">
        <v>17</v>
      </c>
      <c r="K102" s="180" t="s">
        <v>10</v>
      </c>
      <c r="L102" s="198"/>
      <c r="M102" s="108">
        <v>1.2005490000000001</v>
      </c>
      <c r="N102" s="379"/>
      <c r="O102" s="404"/>
      <c r="P102" s="379"/>
      <c r="Q102" s="373"/>
      <c r="R102" s="376"/>
    </row>
    <row r="103" spans="1:18" s="52" customFormat="1" ht="34.5" customHeight="1" x14ac:dyDescent="0.25">
      <c r="A103" s="421"/>
      <c r="B103" s="385"/>
      <c r="C103" s="380"/>
      <c r="D103" s="385"/>
      <c r="E103" s="380"/>
      <c r="F103" s="385"/>
      <c r="G103" s="395"/>
      <c r="H103" s="385"/>
      <c r="I103" s="289" t="s">
        <v>26</v>
      </c>
      <c r="J103" s="273" t="s">
        <v>17</v>
      </c>
      <c r="K103" s="269" t="s">
        <v>16</v>
      </c>
      <c r="L103" s="273" t="s">
        <v>111</v>
      </c>
      <c r="M103" s="290">
        <f>483+0.6</f>
        <v>483.6</v>
      </c>
      <c r="N103" s="380"/>
      <c r="O103" s="405"/>
      <c r="P103" s="380"/>
      <c r="Q103" s="374"/>
      <c r="R103" s="377"/>
    </row>
    <row r="104" spans="1:18" s="52" customFormat="1" ht="30" customHeight="1" x14ac:dyDescent="0.25">
      <c r="A104" s="419" t="s">
        <v>77</v>
      </c>
      <c r="B104" s="384">
        <v>255</v>
      </c>
      <c r="C104" s="378" t="s">
        <v>396</v>
      </c>
      <c r="D104" s="384" t="s">
        <v>17</v>
      </c>
      <c r="E104" s="378" t="s">
        <v>16</v>
      </c>
      <c r="F104" s="384" t="s">
        <v>111</v>
      </c>
      <c r="G104" s="393">
        <f>196.646863+11.35+0.5</f>
        <v>208.49686299999999</v>
      </c>
      <c r="H104" s="384">
        <v>548</v>
      </c>
      <c r="I104" s="198" t="s">
        <v>467</v>
      </c>
      <c r="J104" s="198" t="s">
        <v>17</v>
      </c>
      <c r="K104" s="180" t="s">
        <v>16</v>
      </c>
      <c r="L104" s="198" t="s">
        <v>111</v>
      </c>
      <c r="M104" s="108">
        <v>424.66776099999998</v>
      </c>
      <c r="N104" s="378" t="s">
        <v>11</v>
      </c>
      <c r="O104" s="403" t="s">
        <v>18</v>
      </c>
      <c r="P104" s="378" t="s">
        <v>19</v>
      </c>
      <c r="Q104" s="372" t="s">
        <v>658</v>
      </c>
      <c r="R104" s="375">
        <v>44316</v>
      </c>
    </row>
    <row r="105" spans="1:18" s="52" customFormat="1" ht="30" customHeight="1" x14ac:dyDescent="0.25">
      <c r="A105" s="420"/>
      <c r="B105" s="410"/>
      <c r="C105" s="379"/>
      <c r="D105" s="410"/>
      <c r="E105" s="379"/>
      <c r="F105" s="410"/>
      <c r="G105" s="394"/>
      <c r="H105" s="410"/>
      <c r="I105" s="198" t="s">
        <v>467</v>
      </c>
      <c r="J105" s="198" t="s">
        <v>17</v>
      </c>
      <c r="K105" s="180" t="s">
        <v>10</v>
      </c>
      <c r="L105" s="198"/>
      <c r="M105" s="108">
        <v>38.946641</v>
      </c>
      <c r="N105" s="379"/>
      <c r="O105" s="404"/>
      <c r="P105" s="379"/>
      <c r="Q105" s="373"/>
      <c r="R105" s="376"/>
    </row>
    <row r="106" spans="1:18" s="52" customFormat="1" ht="30" customHeight="1" x14ac:dyDescent="0.25">
      <c r="A106" s="420"/>
      <c r="B106" s="410"/>
      <c r="C106" s="380"/>
      <c r="D106" s="385"/>
      <c r="E106" s="380"/>
      <c r="F106" s="385"/>
      <c r="G106" s="395"/>
      <c r="H106" s="410"/>
      <c r="I106" s="254" t="s">
        <v>26</v>
      </c>
      <c r="J106" s="273" t="s">
        <v>17</v>
      </c>
      <c r="K106" s="269" t="s">
        <v>16</v>
      </c>
      <c r="L106" s="273" t="s">
        <v>111</v>
      </c>
      <c r="M106" s="148">
        <v>0.5</v>
      </c>
      <c r="N106" s="380"/>
      <c r="O106" s="405"/>
      <c r="P106" s="380"/>
      <c r="Q106" s="374"/>
      <c r="R106" s="377"/>
    </row>
    <row r="107" spans="1:18" s="52" customFormat="1" ht="30" customHeight="1" x14ac:dyDescent="0.25">
      <c r="A107" s="420"/>
      <c r="B107" s="410"/>
      <c r="C107" s="378" t="s">
        <v>396</v>
      </c>
      <c r="D107" s="378" t="s">
        <v>20</v>
      </c>
      <c r="E107" s="378" t="s">
        <v>16</v>
      </c>
      <c r="F107" s="378" t="s">
        <v>111</v>
      </c>
      <c r="G107" s="393">
        <v>24.399311999999998</v>
      </c>
      <c r="H107" s="410"/>
      <c r="I107" s="198" t="s">
        <v>467</v>
      </c>
      <c r="J107" s="198" t="s">
        <v>20</v>
      </c>
      <c r="K107" s="180" t="s">
        <v>16</v>
      </c>
      <c r="L107" s="198" t="s">
        <v>111</v>
      </c>
      <c r="M107" s="108">
        <v>21.242428</v>
      </c>
      <c r="N107" s="378" t="s">
        <v>11</v>
      </c>
      <c r="O107" s="403" t="s">
        <v>21</v>
      </c>
      <c r="P107" s="382" t="s">
        <v>447</v>
      </c>
      <c r="Q107" s="378" t="s">
        <v>587</v>
      </c>
      <c r="R107" s="375">
        <v>44286</v>
      </c>
    </row>
    <row r="108" spans="1:18" s="52" customFormat="1" x14ac:dyDescent="0.25">
      <c r="A108" s="420"/>
      <c r="B108" s="410"/>
      <c r="C108" s="379"/>
      <c r="D108" s="379"/>
      <c r="E108" s="379"/>
      <c r="F108" s="379"/>
      <c r="G108" s="394"/>
      <c r="H108" s="410"/>
      <c r="I108" s="198" t="s">
        <v>467</v>
      </c>
      <c r="J108" s="198" t="s">
        <v>20</v>
      </c>
      <c r="K108" s="180" t="s">
        <v>10</v>
      </c>
      <c r="L108" s="198"/>
      <c r="M108" s="108">
        <v>2.760958</v>
      </c>
      <c r="N108" s="379"/>
      <c r="O108" s="404"/>
      <c r="P108" s="431"/>
      <c r="Q108" s="379"/>
      <c r="R108" s="376"/>
    </row>
    <row r="109" spans="1:18" s="52" customFormat="1" x14ac:dyDescent="0.25">
      <c r="A109" s="421"/>
      <c r="B109" s="385"/>
      <c r="C109" s="380"/>
      <c r="D109" s="380"/>
      <c r="E109" s="380"/>
      <c r="F109" s="380"/>
      <c r="G109" s="395"/>
      <c r="H109" s="385"/>
      <c r="I109" s="306" t="s">
        <v>26</v>
      </c>
      <c r="J109" s="306" t="s">
        <v>20</v>
      </c>
      <c r="K109" s="303" t="s">
        <v>10</v>
      </c>
      <c r="L109" s="306"/>
      <c r="M109" s="302">
        <v>48.382739999999998</v>
      </c>
      <c r="N109" s="380"/>
      <c r="O109" s="405"/>
      <c r="P109" s="383"/>
      <c r="Q109" s="380"/>
      <c r="R109" s="377"/>
    </row>
    <row r="110" spans="1:18" s="52" customFormat="1" x14ac:dyDescent="0.25">
      <c r="A110" s="419" t="s">
        <v>78</v>
      </c>
      <c r="B110" s="384">
        <v>5</v>
      </c>
      <c r="C110" s="378" t="s">
        <v>396</v>
      </c>
      <c r="D110" s="384" t="s">
        <v>382</v>
      </c>
      <c r="E110" s="378" t="s">
        <v>16</v>
      </c>
      <c r="F110" s="384" t="s">
        <v>111</v>
      </c>
      <c r="G110" s="401">
        <v>3.7789999999999999</v>
      </c>
      <c r="H110" s="384">
        <v>16</v>
      </c>
      <c r="I110" s="198" t="s">
        <v>467</v>
      </c>
      <c r="J110" s="198" t="s">
        <v>382</v>
      </c>
      <c r="K110" s="180" t="s">
        <v>16</v>
      </c>
      <c r="L110" s="198" t="s">
        <v>111</v>
      </c>
      <c r="M110" s="108">
        <v>12.332000000000001</v>
      </c>
      <c r="N110" s="378" t="s">
        <v>11</v>
      </c>
      <c r="O110" s="389" t="s">
        <v>418</v>
      </c>
      <c r="P110" s="382" t="s">
        <v>447</v>
      </c>
      <c r="Q110" s="372" t="s">
        <v>569</v>
      </c>
      <c r="R110" s="375">
        <v>44286</v>
      </c>
    </row>
    <row r="111" spans="1:18" x14ac:dyDescent="0.25">
      <c r="A111" s="421"/>
      <c r="B111" s="385"/>
      <c r="C111" s="380"/>
      <c r="D111" s="385"/>
      <c r="E111" s="380"/>
      <c r="F111" s="385"/>
      <c r="G111" s="402"/>
      <c r="H111" s="385"/>
      <c r="I111" s="198" t="s">
        <v>467</v>
      </c>
      <c r="J111" s="198" t="s">
        <v>382</v>
      </c>
      <c r="K111" s="180" t="s">
        <v>10</v>
      </c>
      <c r="L111" s="198"/>
      <c r="M111" s="108">
        <v>2.19591</v>
      </c>
      <c r="N111" s="380"/>
      <c r="O111" s="391"/>
      <c r="P111" s="383"/>
      <c r="Q111" s="374"/>
      <c r="R111" s="377"/>
    </row>
    <row r="112" spans="1:18" ht="60" x14ac:dyDescent="0.25">
      <c r="A112" s="419" t="s">
        <v>79</v>
      </c>
      <c r="B112" s="396">
        <v>1800</v>
      </c>
      <c r="C112" s="191" t="s">
        <v>26</v>
      </c>
      <c r="D112" s="198" t="s">
        <v>17</v>
      </c>
      <c r="E112" s="180" t="s">
        <v>10</v>
      </c>
      <c r="F112" s="198" t="s">
        <v>345</v>
      </c>
      <c r="G112" s="108">
        <v>1800</v>
      </c>
      <c r="H112" s="384">
        <v>0</v>
      </c>
      <c r="I112" s="159"/>
      <c r="J112" s="159"/>
      <c r="K112" s="159"/>
      <c r="L112" s="159"/>
      <c r="M112" s="250"/>
      <c r="N112" s="371" t="s">
        <v>11</v>
      </c>
      <c r="O112" s="381" t="s">
        <v>80</v>
      </c>
      <c r="P112" s="371" t="s">
        <v>19</v>
      </c>
      <c r="Q112" s="473" t="s">
        <v>656</v>
      </c>
      <c r="R112" s="454">
        <v>44316</v>
      </c>
    </row>
    <row r="113" spans="1:18" x14ac:dyDescent="0.25">
      <c r="A113" s="420"/>
      <c r="B113" s="397"/>
      <c r="C113" s="191" t="s">
        <v>26</v>
      </c>
      <c r="D113" s="198" t="s">
        <v>17</v>
      </c>
      <c r="E113" s="180" t="s">
        <v>16</v>
      </c>
      <c r="F113" s="202" t="s">
        <v>111</v>
      </c>
      <c r="G113" s="108">
        <v>37.200000000000003</v>
      </c>
      <c r="H113" s="410"/>
      <c r="I113" s="160"/>
      <c r="J113" s="160"/>
      <c r="K113" s="160"/>
      <c r="L113" s="160"/>
      <c r="M113" s="251"/>
      <c r="N113" s="371"/>
      <c r="O113" s="381"/>
      <c r="P113" s="371"/>
      <c r="Q113" s="473"/>
      <c r="R113" s="454"/>
    </row>
    <row r="114" spans="1:18" s="52" customFormat="1" ht="60" x14ac:dyDescent="0.25">
      <c r="A114" s="421"/>
      <c r="B114" s="398"/>
      <c r="C114" s="191" t="s">
        <v>42</v>
      </c>
      <c r="D114" s="198" t="s">
        <v>602</v>
      </c>
      <c r="E114" s="180" t="s">
        <v>111</v>
      </c>
      <c r="F114" s="202" t="s">
        <v>111</v>
      </c>
      <c r="G114" s="108" t="s">
        <v>111</v>
      </c>
      <c r="H114" s="385"/>
      <c r="I114" s="161"/>
      <c r="J114" s="161"/>
      <c r="K114" s="161"/>
      <c r="L114" s="161"/>
      <c r="M114" s="252"/>
      <c r="N114" s="156" t="s">
        <v>424</v>
      </c>
      <c r="O114" s="157" t="s">
        <v>111</v>
      </c>
      <c r="P114" s="186" t="s">
        <v>447</v>
      </c>
      <c r="Q114" s="183" t="s">
        <v>603</v>
      </c>
      <c r="R114" s="182">
        <v>44286</v>
      </c>
    </row>
    <row r="115" spans="1:18" ht="60" x14ac:dyDescent="0.25">
      <c r="A115" s="419" t="s">
        <v>81</v>
      </c>
      <c r="B115" s="384">
        <f>11+500</f>
        <v>511</v>
      </c>
      <c r="C115" s="191" t="s">
        <v>26</v>
      </c>
      <c r="D115" s="198" t="s">
        <v>22</v>
      </c>
      <c r="E115" s="180" t="s">
        <v>10</v>
      </c>
      <c r="F115" s="198" t="s">
        <v>345</v>
      </c>
      <c r="G115" s="108">
        <v>500</v>
      </c>
      <c r="H115" s="384">
        <v>0</v>
      </c>
      <c r="I115" s="159"/>
      <c r="J115" s="159"/>
      <c r="K115" s="159"/>
      <c r="L115" s="159"/>
      <c r="M115" s="250"/>
      <c r="N115" s="399" t="s">
        <v>11</v>
      </c>
      <c r="O115" s="403" t="s">
        <v>23</v>
      </c>
      <c r="P115" s="382" t="s">
        <v>447</v>
      </c>
      <c r="Q115" s="439" t="s">
        <v>545</v>
      </c>
      <c r="R115" s="375">
        <v>44286</v>
      </c>
    </row>
    <row r="116" spans="1:18" s="52" customFormat="1" ht="30" x14ac:dyDescent="0.25">
      <c r="A116" s="420"/>
      <c r="B116" s="410"/>
      <c r="C116" s="171" t="s">
        <v>396</v>
      </c>
      <c r="D116" s="198" t="s">
        <v>22</v>
      </c>
      <c r="E116" s="180" t="s">
        <v>16</v>
      </c>
      <c r="F116" s="198" t="s">
        <v>111</v>
      </c>
      <c r="G116" s="108">
        <v>8.1844990000000006</v>
      </c>
      <c r="H116" s="410"/>
      <c r="I116" s="160"/>
      <c r="J116" s="160"/>
      <c r="K116" s="160"/>
      <c r="L116" s="160"/>
      <c r="M116" s="251"/>
      <c r="N116" s="400"/>
      <c r="O116" s="405"/>
      <c r="P116" s="383"/>
      <c r="Q116" s="441"/>
      <c r="R116" s="377"/>
    </row>
    <row r="117" spans="1:18" s="52" customFormat="1" ht="60" x14ac:dyDescent="0.25">
      <c r="A117" s="421"/>
      <c r="B117" s="385"/>
      <c r="C117" s="171" t="s">
        <v>42</v>
      </c>
      <c r="D117" s="162" t="s">
        <v>600</v>
      </c>
      <c r="E117" s="164" t="s">
        <v>111</v>
      </c>
      <c r="F117" s="162" t="s">
        <v>111</v>
      </c>
      <c r="G117" s="192" t="s">
        <v>111</v>
      </c>
      <c r="H117" s="385"/>
      <c r="I117" s="160"/>
      <c r="J117" s="160"/>
      <c r="K117" s="160"/>
      <c r="L117" s="160"/>
      <c r="M117" s="251"/>
      <c r="N117" s="154" t="s">
        <v>424</v>
      </c>
      <c r="O117" s="155" t="s">
        <v>111</v>
      </c>
      <c r="P117" s="186" t="s">
        <v>447</v>
      </c>
      <c r="Q117" s="184" t="s">
        <v>601</v>
      </c>
      <c r="R117" s="193">
        <v>44286</v>
      </c>
    </row>
    <row r="118" spans="1:18" s="52" customFormat="1" x14ac:dyDescent="0.25">
      <c r="A118" s="419" t="s">
        <v>82</v>
      </c>
      <c r="B118" s="396">
        <v>1000</v>
      </c>
      <c r="C118" s="399" t="s">
        <v>42</v>
      </c>
      <c r="D118" s="384" t="s">
        <v>17</v>
      </c>
      <c r="E118" s="378" t="s">
        <v>111</v>
      </c>
      <c r="F118" s="384" t="s">
        <v>111</v>
      </c>
      <c r="G118" s="401" t="s">
        <v>111</v>
      </c>
      <c r="H118" s="396">
        <v>1746</v>
      </c>
      <c r="I118" s="198" t="s">
        <v>467</v>
      </c>
      <c r="J118" s="198" t="s">
        <v>17</v>
      </c>
      <c r="K118" s="180" t="s">
        <v>16</v>
      </c>
      <c r="L118" s="198" t="s">
        <v>111</v>
      </c>
      <c r="M118" s="108">
        <v>1743.4924329999999</v>
      </c>
      <c r="N118" s="378" t="s">
        <v>11</v>
      </c>
      <c r="O118" s="403" t="s">
        <v>18</v>
      </c>
      <c r="P118" s="378" t="s">
        <v>19</v>
      </c>
      <c r="Q118" s="372" t="s">
        <v>655</v>
      </c>
      <c r="R118" s="375">
        <v>44316</v>
      </c>
    </row>
    <row r="119" spans="1:18" ht="30" customHeight="1" x14ac:dyDescent="0.25">
      <c r="A119" s="421"/>
      <c r="B119" s="385"/>
      <c r="C119" s="400"/>
      <c r="D119" s="385"/>
      <c r="E119" s="380"/>
      <c r="F119" s="385"/>
      <c r="G119" s="402"/>
      <c r="H119" s="385"/>
      <c r="I119" s="198" t="s">
        <v>467</v>
      </c>
      <c r="J119" s="198" t="s">
        <v>17</v>
      </c>
      <c r="K119" s="180" t="s">
        <v>10</v>
      </c>
      <c r="L119" s="198"/>
      <c r="M119" s="108">
        <v>2.4300000000000002</v>
      </c>
      <c r="N119" s="380"/>
      <c r="O119" s="405"/>
      <c r="P119" s="380"/>
      <c r="Q119" s="374"/>
      <c r="R119" s="377"/>
    </row>
    <row r="120" spans="1:18" ht="30" x14ac:dyDescent="0.25">
      <c r="A120" s="187" t="s">
        <v>83</v>
      </c>
      <c r="B120" s="76">
        <v>20</v>
      </c>
      <c r="C120" s="191" t="s">
        <v>42</v>
      </c>
      <c r="D120" s="198" t="s">
        <v>14</v>
      </c>
      <c r="E120" s="180" t="s">
        <v>111</v>
      </c>
      <c r="F120" s="198" t="s">
        <v>111</v>
      </c>
      <c r="G120" s="108" t="s">
        <v>111</v>
      </c>
      <c r="H120" s="76">
        <v>75</v>
      </c>
      <c r="I120" s="198"/>
      <c r="J120" s="198"/>
      <c r="K120" s="180"/>
      <c r="L120" s="198"/>
      <c r="M120" s="108"/>
      <c r="N120" s="180" t="s">
        <v>11</v>
      </c>
      <c r="O120" s="176" t="s">
        <v>15</v>
      </c>
      <c r="P120" s="198" t="s">
        <v>73</v>
      </c>
      <c r="Q120" s="188"/>
      <c r="R120" s="190"/>
    </row>
    <row r="121" spans="1:18" x14ac:dyDescent="0.25">
      <c r="A121" s="419" t="s">
        <v>392</v>
      </c>
      <c r="B121" s="384">
        <v>30</v>
      </c>
      <c r="C121" s="191" t="s">
        <v>42</v>
      </c>
      <c r="D121" s="198" t="s">
        <v>380</v>
      </c>
      <c r="E121" s="180" t="s">
        <v>111</v>
      </c>
      <c r="F121" s="198" t="s">
        <v>111</v>
      </c>
      <c r="G121" s="108" t="s">
        <v>111</v>
      </c>
      <c r="H121" s="384">
        <v>80</v>
      </c>
      <c r="I121" s="198" t="s">
        <v>26</v>
      </c>
      <c r="J121" s="273" t="s">
        <v>380</v>
      </c>
      <c r="K121" s="180" t="s">
        <v>16</v>
      </c>
      <c r="L121" s="198" t="s">
        <v>111</v>
      </c>
      <c r="M121" s="108">
        <f>37.2+2.056562</f>
        <v>39.256562000000002</v>
      </c>
      <c r="N121" s="165" t="s">
        <v>11</v>
      </c>
      <c r="O121" s="176" t="s">
        <v>393</v>
      </c>
      <c r="P121" s="198" t="s">
        <v>213</v>
      </c>
      <c r="Q121" s="188"/>
      <c r="R121" s="190"/>
    </row>
    <row r="122" spans="1:18" s="52" customFormat="1" ht="30" x14ac:dyDescent="0.25">
      <c r="A122" s="420"/>
      <c r="B122" s="410"/>
      <c r="C122" s="272" t="s">
        <v>42</v>
      </c>
      <c r="D122" s="253" t="s">
        <v>27</v>
      </c>
      <c r="E122" s="269" t="s">
        <v>111</v>
      </c>
      <c r="F122" s="273" t="s">
        <v>111</v>
      </c>
      <c r="G122" s="108" t="s">
        <v>111</v>
      </c>
      <c r="H122" s="410"/>
      <c r="I122" s="273" t="s">
        <v>26</v>
      </c>
      <c r="J122" s="253" t="s">
        <v>27</v>
      </c>
      <c r="K122" s="269" t="s">
        <v>16</v>
      </c>
      <c r="L122" s="273" t="s">
        <v>111</v>
      </c>
      <c r="M122" s="266">
        <f>5.46024+0.031329</f>
        <v>5.4915690000000001</v>
      </c>
      <c r="N122" s="269" t="s">
        <v>362</v>
      </c>
      <c r="O122" s="53"/>
      <c r="P122" s="53"/>
      <c r="Q122" s="274"/>
      <c r="R122" s="271"/>
    </row>
    <row r="123" spans="1:18" s="52" customFormat="1" x14ac:dyDescent="0.25">
      <c r="A123" s="421"/>
      <c r="B123" s="385"/>
      <c r="C123" s="272" t="s">
        <v>42</v>
      </c>
      <c r="D123" s="253" t="s">
        <v>33</v>
      </c>
      <c r="E123" s="269" t="s">
        <v>111</v>
      </c>
      <c r="F123" s="273" t="s">
        <v>111</v>
      </c>
      <c r="G123" s="108" t="s">
        <v>111</v>
      </c>
      <c r="H123" s="385"/>
      <c r="I123" s="273" t="s">
        <v>26</v>
      </c>
      <c r="J123" s="253" t="s">
        <v>33</v>
      </c>
      <c r="K123" s="269" t="s">
        <v>16</v>
      </c>
      <c r="L123" s="273" t="s">
        <v>111</v>
      </c>
      <c r="M123" s="266">
        <f>18.65084+0.07256</f>
        <v>18.723399999999998</v>
      </c>
      <c r="N123" s="258" t="s">
        <v>11</v>
      </c>
      <c r="O123" s="270" t="s">
        <v>38</v>
      </c>
      <c r="P123" s="253" t="s">
        <v>13</v>
      </c>
      <c r="Q123" s="274"/>
      <c r="R123" s="271"/>
    </row>
    <row r="124" spans="1:18" ht="30" x14ac:dyDescent="0.25">
      <c r="A124" s="427" t="s">
        <v>84</v>
      </c>
      <c r="B124" s="384">
        <f>158+237</f>
        <v>395</v>
      </c>
      <c r="C124" s="180" t="s">
        <v>26</v>
      </c>
      <c r="D124" s="198" t="s">
        <v>35</v>
      </c>
      <c r="E124" s="180" t="s">
        <v>10</v>
      </c>
      <c r="F124" s="198" t="s">
        <v>343</v>
      </c>
      <c r="G124" s="108">
        <v>157.5</v>
      </c>
      <c r="H124" s="384">
        <v>299</v>
      </c>
      <c r="I124" s="393" t="s">
        <v>26</v>
      </c>
      <c r="J124" s="422" t="s">
        <v>35</v>
      </c>
      <c r="K124" s="393" t="s">
        <v>16</v>
      </c>
      <c r="L124" s="393" t="s">
        <v>111</v>
      </c>
      <c r="M124" s="393">
        <f>2.198415+296.742756</f>
        <v>298.941171</v>
      </c>
      <c r="N124" s="467" t="s">
        <v>424</v>
      </c>
      <c r="O124" s="414" t="s">
        <v>111</v>
      </c>
      <c r="P124" s="382" t="s">
        <v>447</v>
      </c>
      <c r="Q124" s="436" t="s">
        <v>432</v>
      </c>
      <c r="R124" s="451">
        <v>44286</v>
      </c>
    </row>
    <row r="125" spans="1:18" ht="30" x14ac:dyDescent="0.25">
      <c r="A125" s="427"/>
      <c r="B125" s="385"/>
      <c r="C125" s="180" t="s">
        <v>8</v>
      </c>
      <c r="D125" s="198" t="s">
        <v>35</v>
      </c>
      <c r="E125" s="180" t="s">
        <v>10</v>
      </c>
      <c r="F125" s="198" t="s">
        <v>347</v>
      </c>
      <c r="G125" s="108">
        <v>236.7</v>
      </c>
      <c r="H125" s="385"/>
      <c r="I125" s="395"/>
      <c r="J125" s="423"/>
      <c r="K125" s="395"/>
      <c r="L125" s="395"/>
      <c r="M125" s="395"/>
      <c r="N125" s="467"/>
      <c r="O125" s="414"/>
      <c r="P125" s="383"/>
      <c r="Q125" s="436"/>
      <c r="R125" s="468"/>
    </row>
    <row r="126" spans="1:18" x14ac:dyDescent="0.25">
      <c r="A126" s="419" t="s">
        <v>87</v>
      </c>
      <c r="B126" s="384">
        <f>509</f>
        <v>509</v>
      </c>
      <c r="C126" s="180" t="s">
        <v>8</v>
      </c>
      <c r="D126" s="198" t="s">
        <v>17</v>
      </c>
      <c r="E126" s="180" t="s">
        <v>16</v>
      </c>
      <c r="F126" s="198" t="s">
        <v>111</v>
      </c>
      <c r="G126" s="108">
        <f>196.016667+34.744768</f>
        <v>230.76143500000001</v>
      </c>
      <c r="H126" s="384">
        <v>256</v>
      </c>
      <c r="I126" s="384" t="s">
        <v>467</v>
      </c>
      <c r="J126" s="384" t="s">
        <v>17</v>
      </c>
      <c r="K126" s="384" t="s">
        <v>16</v>
      </c>
      <c r="L126" s="384" t="s">
        <v>111</v>
      </c>
      <c r="M126" s="393">
        <v>236.17306099999999</v>
      </c>
      <c r="N126" s="378" t="s">
        <v>11</v>
      </c>
      <c r="O126" s="389" t="s">
        <v>18</v>
      </c>
      <c r="P126" s="378" t="s">
        <v>19</v>
      </c>
      <c r="Q126" s="372" t="s">
        <v>657</v>
      </c>
      <c r="R126" s="375">
        <v>44316</v>
      </c>
    </row>
    <row r="127" spans="1:18" s="52" customFormat="1" ht="60" x14ac:dyDescent="0.25">
      <c r="A127" s="420"/>
      <c r="B127" s="410"/>
      <c r="C127" s="180" t="s">
        <v>8</v>
      </c>
      <c r="D127" s="89" t="s">
        <v>17</v>
      </c>
      <c r="E127" s="180" t="s">
        <v>10</v>
      </c>
      <c r="F127" s="198" t="s">
        <v>345</v>
      </c>
      <c r="G127" s="108">
        <f>278.038565</f>
        <v>278.03856500000001</v>
      </c>
      <c r="H127" s="410"/>
      <c r="I127" s="385"/>
      <c r="J127" s="385"/>
      <c r="K127" s="385"/>
      <c r="L127" s="385"/>
      <c r="M127" s="395"/>
      <c r="N127" s="379"/>
      <c r="O127" s="390"/>
      <c r="P127" s="379"/>
      <c r="Q127" s="373"/>
      <c r="R127" s="376"/>
    </row>
    <row r="128" spans="1:18" s="52" customFormat="1" x14ac:dyDescent="0.25">
      <c r="A128" s="420"/>
      <c r="B128" s="410"/>
      <c r="C128" s="180" t="s">
        <v>396</v>
      </c>
      <c r="D128" s="89" t="s">
        <v>17</v>
      </c>
      <c r="E128" s="180" t="s">
        <v>16</v>
      </c>
      <c r="F128" s="198" t="s">
        <v>111</v>
      </c>
      <c r="G128" s="108">
        <f>155.154616+1.8+68.60198</f>
        <v>225.55659600000001</v>
      </c>
      <c r="H128" s="410"/>
      <c r="I128" s="260" t="s">
        <v>467</v>
      </c>
      <c r="J128" s="260" t="s">
        <v>17</v>
      </c>
      <c r="K128" s="253" t="s">
        <v>10</v>
      </c>
      <c r="L128" s="253"/>
      <c r="M128" s="151">
        <v>19.826938999999999</v>
      </c>
      <c r="N128" s="379"/>
      <c r="O128" s="390"/>
      <c r="P128" s="379"/>
      <c r="Q128" s="373"/>
      <c r="R128" s="376"/>
    </row>
    <row r="129" spans="1:18" s="52" customFormat="1" ht="60" x14ac:dyDescent="0.25">
      <c r="A129" s="421"/>
      <c r="B129" s="385"/>
      <c r="C129" s="165" t="s">
        <v>396</v>
      </c>
      <c r="D129" s="89" t="s">
        <v>17</v>
      </c>
      <c r="E129" s="165" t="s">
        <v>10</v>
      </c>
      <c r="F129" s="198" t="s">
        <v>345</v>
      </c>
      <c r="G129" s="108">
        <v>-225.55659600000001</v>
      </c>
      <c r="H129" s="385"/>
      <c r="I129" s="89" t="s">
        <v>26</v>
      </c>
      <c r="J129" s="260" t="s">
        <v>17</v>
      </c>
      <c r="K129" s="273" t="s">
        <v>16</v>
      </c>
      <c r="L129" s="273" t="s">
        <v>111</v>
      </c>
      <c r="M129" s="112">
        <f>919.858376+1.366167+137.332584</f>
        <v>1058.557127</v>
      </c>
      <c r="N129" s="380"/>
      <c r="O129" s="391"/>
      <c r="P129" s="380"/>
      <c r="Q129" s="374"/>
      <c r="R129" s="460"/>
    </row>
    <row r="130" spans="1:18" ht="60" x14ac:dyDescent="0.25">
      <c r="A130" s="427" t="s">
        <v>88</v>
      </c>
      <c r="B130" s="384">
        <v>54</v>
      </c>
      <c r="C130" s="180" t="s">
        <v>26</v>
      </c>
      <c r="D130" s="198" t="s">
        <v>89</v>
      </c>
      <c r="E130" s="180" t="s">
        <v>10</v>
      </c>
      <c r="F130" s="198" t="s">
        <v>345</v>
      </c>
      <c r="G130" s="108">
        <v>50</v>
      </c>
      <c r="H130" s="384">
        <v>0</v>
      </c>
      <c r="I130" s="159"/>
      <c r="J130" s="159"/>
      <c r="K130" s="159"/>
      <c r="L130" s="159"/>
      <c r="M130" s="250"/>
      <c r="N130" s="378" t="s">
        <v>11</v>
      </c>
      <c r="O130" s="389" t="s">
        <v>90</v>
      </c>
      <c r="P130" s="392" t="s">
        <v>447</v>
      </c>
      <c r="Q130" s="474" t="s">
        <v>590</v>
      </c>
      <c r="R130" s="375">
        <v>44286</v>
      </c>
    </row>
    <row r="131" spans="1:18" s="52" customFormat="1" ht="60" x14ac:dyDescent="0.25">
      <c r="A131" s="427"/>
      <c r="B131" s="410"/>
      <c r="C131" s="180" t="s">
        <v>412</v>
      </c>
      <c r="D131" s="198" t="s">
        <v>89</v>
      </c>
      <c r="E131" s="180" t="s">
        <v>10</v>
      </c>
      <c r="F131" s="198" t="s">
        <v>345</v>
      </c>
      <c r="G131" s="108">
        <v>-13.124556</v>
      </c>
      <c r="H131" s="410"/>
      <c r="I131" s="161"/>
      <c r="J131" s="161"/>
      <c r="K131" s="161"/>
      <c r="L131" s="161"/>
      <c r="M131" s="252"/>
      <c r="N131" s="379"/>
      <c r="O131" s="390"/>
      <c r="P131" s="392"/>
      <c r="Q131" s="475"/>
      <c r="R131" s="376"/>
    </row>
    <row r="132" spans="1:18" s="52" customFormat="1" x14ac:dyDescent="0.25">
      <c r="A132" s="427"/>
      <c r="B132" s="410"/>
      <c r="C132" s="180" t="s">
        <v>396</v>
      </c>
      <c r="D132" s="198" t="s">
        <v>89</v>
      </c>
      <c r="E132" s="180" t="s">
        <v>16</v>
      </c>
      <c r="F132" s="198" t="s">
        <v>111</v>
      </c>
      <c r="G132" s="108">
        <v>13.124556</v>
      </c>
      <c r="H132" s="410"/>
      <c r="I132" s="160"/>
      <c r="J132" s="160"/>
      <c r="K132" s="160"/>
      <c r="L132" s="160"/>
      <c r="M132" s="251"/>
      <c r="N132" s="380"/>
      <c r="O132" s="391"/>
      <c r="P132" s="392"/>
      <c r="Q132" s="476"/>
      <c r="R132" s="377"/>
    </row>
    <row r="133" spans="1:18" ht="60" x14ac:dyDescent="0.25">
      <c r="A133" s="427"/>
      <c r="B133" s="385"/>
      <c r="C133" s="180" t="s">
        <v>8</v>
      </c>
      <c r="D133" s="198" t="s">
        <v>35</v>
      </c>
      <c r="E133" s="180" t="s">
        <v>10</v>
      </c>
      <c r="F133" s="198" t="s">
        <v>345</v>
      </c>
      <c r="G133" s="108">
        <v>4</v>
      </c>
      <c r="H133" s="385"/>
      <c r="I133" s="198"/>
      <c r="J133" s="198"/>
      <c r="K133" s="180"/>
      <c r="L133" s="198"/>
      <c r="M133" s="108"/>
      <c r="N133" s="180" t="s">
        <v>11</v>
      </c>
      <c r="O133" s="181" t="s">
        <v>36</v>
      </c>
      <c r="P133" s="186" t="s">
        <v>447</v>
      </c>
      <c r="Q133" s="188" t="s">
        <v>591</v>
      </c>
      <c r="R133" s="189">
        <v>44286</v>
      </c>
    </row>
    <row r="134" spans="1:18" ht="30" customHeight="1" x14ac:dyDescent="0.25">
      <c r="A134" s="256" t="s">
        <v>93</v>
      </c>
      <c r="B134" s="76">
        <v>34</v>
      </c>
      <c r="C134" s="180" t="s">
        <v>396</v>
      </c>
      <c r="D134" s="198" t="s">
        <v>89</v>
      </c>
      <c r="E134" s="180" t="s">
        <v>16</v>
      </c>
      <c r="F134" s="198" t="s">
        <v>111</v>
      </c>
      <c r="G134" s="108">
        <f>31.7+2.06709+0.14</f>
        <v>33.907089999999997</v>
      </c>
      <c r="H134" s="76">
        <v>58</v>
      </c>
      <c r="I134" s="198" t="s">
        <v>26</v>
      </c>
      <c r="J134" s="273" t="s">
        <v>89</v>
      </c>
      <c r="K134" s="269" t="s">
        <v>16</v>
      </c>
      <c r="L134" s="273" t="s">
        <v>111</v>
      </c>
      <c r="M134" s="108">
        <f>2.823901+54.054038</f>
        <v>56.877938999999998</v>
      </c>
      <c r="N134" s="180" t="s">
        <v>11</v>
      </c>
      <c r="O134" s="181" t="s">
        <v>90</v>
      </c>
      <c r="P134" s="180" t="s">
        <v>13</v>
      </c>
      <c r="Q134" s="90"/>
      <c r="R134" s="136"/>
    </row>
    <row r="135" spans="1:18" x14ac:dyDescent="0.25">
      <c r="A135" s="427" t="s">
        <v>94</v>
      </c>
      <c r="B135" s="384">
        <v>59</v>
      </c>
      <c r="C135" s="180" t="s">
        <v>8</v>
      </c>
      <c r="D135" s="198" t="s">
        <v>89</v>
      </c>
      <c r="E135" s="180" t="s">
        <v>16</v>
      </c>
      <c r="F135" s="198" t="s">
        <v>111</v>
      </c>
      <c r="G135" s="108">
        <v>30.004252000000001</v>
      </c>
      <c r="H135" s="384">
        <v>0</v>
      </c>
      <c r="I135" s="159"/>
      <c r="J135" s="159"/>
      <c r="K135" s="159"/>
      <c r="L135" s="159"/>
      <c r="M135" s="250"/>
      <c r="N135" s="414" t="s">
        <v>11</v>
      </c>
      <c r="O135" s="435" t="s">
        <v>90</v>
      </c>
      <c r="P135" s="392" t="s">
        <v>447</v>
      </c>
      <c r="Q135" s="372" t="s">
        <v>592</v>
      </c>
      <c r="R135" s="451">
        <v>44286</v>
      </c>
    </row>
    <row r="136" spans="1:18" ht="30" x14ac:dyDescent="0.25">
      <c r="A136" s="427"/>
      <c r="B136" s="410"/>
      <c r="C136" s="180" t="s">
        <v>8</v>
      </c>
      <c r="D136" s="198" t="s">
        <v>89</v>
      </c>
      <c r="E136" s="180" t="s">
        <v>10</v>
      </c>
      <c r="F136" s="198" t="s">
        <v>347</v>
      </c>
      <c r="G136" s="108">
        <v>5</v>
      </c>
      <c r="H136" s="410"/>
      <c r="I136" s="160"/>
      <c r="J136" s="160"/>
      <c r="K136" s="160"/>
      <c r="L136" s="160"/>
      <c r="M136" s="251"/>
      <c r="N136" s="414"/>
      <c r="O136" s="435"/>
      <c r="P136" s="392"/>
      <c r="Q136" s="374"/>
      <c r="R136" s="451"/>
    </row>
    <row r="137" spans="1:18" ht="30" x14ac:dyDescent="0.25">
      <c r="A137" s="427"/>
      <c r="B137" s="410"/>
      <c r="C137" s="180" t="s">
        <v>8</v>
      </c>
      <c r="D137" s="198" t="s">
        <v>35</v>
      </c>
      <c r="E137" s="180" t="s">
        <v>10</v>
      </c>
      <c r="F137" s="198" t="s">
        <v>347</v>
      </c>
      <c r="G137" s="108">
        <v>15.495009</v>
      </c>
      <c r="H137" s="410"/>
      <c r="I137" s="159"/>
      <c r="J137" s="159"/>
      <c r="K137" s="159"/>
      <c r="L137" s="159"/>
      <c r="M137" s="250"/>
      <c r="N137" s="414" t="s">
        <v>11</v>
      </c>
      <c r="O137" s="435" t="s">
        <v>36</v>
      </c>
      <c r="P137" s="392" t="s">
        <v>447</v>
      </c>
      <c r="Q137" s="469" t="s">
        <v>572</v>
      </c>
      <c r="R137" s="375">
        <v>44286</v>
      </c>
    </row>
    <row r="138" spans="1:18" ht="30" x14ac:dyDescent="0.25">
      <c r="A138" s="427"/>
      <c r="B138" s="385"/>
      <c r="C138" s="180" t="s">
        <v>8</v>
      </c>
      <c r="D138" s="198" t="s">
        <v>35</v>
      </c>
      <c r="E138" s="180" t="s">
        <v>16</v>
      </c>
      <c r="F138" s="198" t="s">
        <v>111</v>
      </c>
      <c r="G138" s="108">
        <v>6.9344419999999998</v>
      </c>
      <c r="H138" s="385"/>
      <c r="I138" s="160"/>
      <c r="J138" s="160"/>
      <c r="K138" s="160"/>
      <c r="L138" s="160"/>
      <c r="M138" s="251"/>
      <c r="N138" s="414"/>
      <c r="O138" s="435"/>
      <c r="P138" s="392"/>
      <c r="Q138" s="469"/>
      <c r="R138" s="377"/>
    </row>
    <row r="139" spans="1:18" ht="60" x14ac:dyDescent="0.25">
      <c r="A139" s="187" t="s">
        <v>95</v>
      </c>
      <c r="B139" s="76">
        <v>292</v>
      </c>
      <c r="C139" s="180" t="s">
        <v>8</v>
      </c>
      <c r="D139" s="198" t="s">
        <v>96</v>
      </c>
      <c r="E139" s="180" t="s">
        <v>16</v>
      </c>
      <c r="F139" s="198" t="s">
        <v>111</v>
      </c>
      <c r="G139" s="108">
        <f>234.707427+21.265071</f>
        <v>255.972498</v>
      </c>
      <c r="H139" s="76">
        <v>0</v>
      </c>
      <c r="I139" s="198"/>
      <c r="J139" s="198"/>
      <c r="K139" s="180"/>
      <c r="L139" s="198"/>
      <c r="M139" s="108"/>
      <c r="N139" s="198" t="s">
        <v>424</v>
      </c>
      <c r="O139" s="130" t="s">
        <v>111</v>
      </c>
      <c r="P139" s="186" t="s">
        <v>447</v>
      </c>
      <c r="Q139" s="152" t="s">
        <v>490</v>
      </c>
      <c r="R139" s="189">
        <v>44286</v>
      </c>
    </row>
    <row r="140" spans="1:18" ht="30" x14ac:dyDescent="0.25">
      <c r="A140" s="427" t="s">
        <v>97</v>
      </c>
      <c r="B140" s="384">
        <v>25</v>
      </c>
      <c r="C140" s="378" t="s">
        <v>8</v>
      </c>
      <c r="D140" s="378" t="s">
        <v>35</v>
      </c>
      <c r="E140" s="378" t="s">
        <v>10</v>
      </c>
      <c r="F140" s="384" t="s">
        <v>347</v>
      </c>
      <c r="G140" s="401">
        <v>12.65</v>
      </c>
      <c r="H140" s="384">
        <v>13</v>
      </c>
      <c r="I140" s="198" t="s">
        <v>467</v>
      </c>
      <c r="J140" s="198" t="s">
        <v>35</v>
      </c>
      <c r="K140" s="180" t="s">
        <v>10</v>
      </c>
      <c r="L140" s="198"/>
      <c r="M140" s="122">
        <v>0.21093200000000001</v>
      </c>
      <c r="N140" s="414" t="s">
        <v>11</v>
      </c>
      <c r="O140" s="435" t="s">
        <v>36</v>
      </c>
      <c r="P140" s="392" t="s">
        <v>447</v>
      </c>
      <c r="Q140" s="469" t="s">
        <v>433</v>
      </c>
      <c r="R140" s="375">
        <v>44286</v>
      </c>
    </row>
    <row r="141" spans="1:18" s="52" customFormat="1" ht="30" x14ac:dyDescent="0.25">
      <c r="A141" s="427"/>
      <c r="B141" s="410"/>
      <c r="C141" s="380"/>
      <c r="D141" s="380"/>
      <c r="E141" s="380"/>
      <c r="F141" s="385"/>
      <c r="G141" s="402"/>
      <c r="H141" s="410"/>
      <c r="I141" s="198" t="s">
        <v>467</v>
      </c>
      <c r="J141" s="198" t="s">
        <v>35</v>
      </c>
      <c r="K141" s="180" t="s">
        <v>16</v>
      </c>
      <c r="L141" s="199" t="s">
        <v>111</v>
      </c>
      <c r="M141" s="108">
        <v>12.989068</v>
      </c>
      <c r="N141" s="414"/>
      <c r="O141" s="435"/>
      <c r="P141" s="392"/>
      <c r="Q141" s="469"/>
      <c r="R141" s="376"/>
    </row>
    <row r="142" spans="1:18" ht="30" x14ac:dyDescent="0.25">
      <c r="A142" s="427"/>
      <c r="B142" s="385"/>
      <c r="C142" s="180" t="s">
        <v>8</v>
      </c>
      <c r="D142" s="198" t="s">
        <v>35</v>
      </c>
      <c r="E142" s="180" t="s">
        <v>16</v>
      </c>
      <c r="F142" s="199" t="s">
        <v>111</v>
      </c>
      <c r="G142" s="108">
        <f>11.5+0.97319</f>
        <v>12.473190000000001</v>
      </c>
      <c r="H142" s="385"/>
      <c r="I142" s="289" t="s">
        <v>26</v>
      </c>
      <c r="J142" s="273" t="s">
        <v>35</v>
      </c>
      <c r="K142" s="269" t="s">
        <v>16</v>
      </c>
      <c r="L142" s="276" t="s">
        <v>111</v>
      </c>
      <c r="M142" s="290">
        <v>11.5</v>
      </c>
      <c r="N142" s="414"/>
      <c r="O142" s="435"/>
      <c r="P142" s="392"/>
      <c r="Q142" s="469"/>
      <c r="R142" s="377"/>
    </row>
    <row r="143" spans="1:18" ht="28.5" customHeight="1" x14ac:dyDescent="0.25">
      <c r="A143" s="419" t="s">
        <v>98</v>
      </c>
      <c r="B143" s="384">
        <v>506</v>
      </c>
      <c r="C143" s="180" t="s">
        <v>396</v>
      </c>
      <c r="D143" s="198" t="s">
        <v>20</v>
      </c>
      <c r="E143" s="180" t="s">
        <v>10</v>
      </c>
      <c r="F143" s="198" t="s">
        <v>493</v>
      </c>
      <c r="G143" s="108">
        <v>505.65</v>
      </c>
      <c r="H143" s="384">
        <v>503</v>
      </c>
      <c r="I143" s="198" t="s">
        <v>467</v>
      </c>
      <c r="J143" s="198" t="s">
        <v>20</v>
      </c>
      <c r="K143" s="180" t="s">
        <v>10</v>
      </c>
      <c r="L143" s="198"/>
      <c r="M143" s="122">
        <v>0.16175200000000001</v>
      </c>
      <c r="N143" s="378" t="s">
        <v>11</v>
      </c>
      <c r="O143" s="403" t="s">
        <v>21</v>
      </c>
      <c r="P143" s="392" t="s">
        <v>447</v>
      </c>
      <c r="Q143" s="372" t="s">
        <v>525</v>
      </c>
      <c r="R143" s="375">
        <v>44286</v>
      </c>
    </row>
    <row r="144" spans="1:18" s="52" customFormat="1" ht="28.5" customHeight="1" x14ac:dyDescent="0.25">
      <c r="A144" s="420"/>
      <c r="B144" s="410"/>
      <c r="C144" s="378" t="s">
        <v>396</v>
      </c>
      <c r="D144" s="384" t="s">
        <v>20</v>
      </c>
      <c r="E144" s="378" t="s">
        <v>16</v>
      </c>
      <c r="F144" s="384" t="s">
        <v>111</v>
      </c>
      <c r="G144" s="443">
        <f>2.32261-2.066</f>
        <v>0.25661000000000023</v>
      </c>
      <c r="H144" s="410"/>
      <c r="I144" s="198" t="s">
        <v>467</v>
      </c>
      <c r="J144" s="198" t="s">
        <v>20</v>
      </c>
      <c r="K144" s="180" t="s">
        <v>16</v>
      </c>
      <c r="L144" s="198" t="s">
        <v>111</v>
      </c>
      <c r="M144" s="108">
        <v>502.469831</v>
      </c>
      <c r="N144" s="379"/>
      <c r="O144" s="404"/>
      <c r="P144" s="392"/>
      <c r="Q144" s="373"/>
      <c r="R144" s="376"/>
    </row>
    <row r="145" spans="1:18" s="52" customFormat="1" x14ac:dyDescent="0.25">
      <c r="A145" s="421"/>
      <c r="B145" s="385"/>
      <c r="C145" s="380"/>
      <c r="D145" s="385"/>
      <c r="E145" s="380"/>
      <c r="F145" s="385"/>
      <c r="G145" s="444"/>
      <c r="H145" s="385"/>
      <c r="I145" s="254" t="s">
        <v>26</v>
      </c>
      <c r="J145" s="273" t="s">
        <v>20</v>
      </c>
      <c r="K145" s="269" t="s">
        <v>16</v>
      </c>
      <c r="L145" s="273" t="s">
        <v>111</v>
      </c>
      <c r="M145" s="290">
        <f>501+0.25661</f>
        <v>501.25661000000002</v>
      </c>
      <c r="N145" s="380"/>
      <c r="O145" s="405"/>
      <c r="P145" s="392"/>
      <c r="Q145" s="374"/>
      <c r="R145" s="460"/>
    </row>
    <row r="146" spans="1:18" ht="60" x14ac:dyDescent="0.25">
      <c r="A146" s="427" t="s">
        <v>99</v>
      </c>
      <c r="B146" s="384">
        <v>241</v>
      </c>
      <c r="C146" s="191" t="s">
        <v>26</v>
      </c>
      <c r="D146" s="198" t="s">
        <v>20</v>
      </c>
      <c r="E146" s="180" t="s">
        <v>10</v>
      </c>
      <c r="F146" s="198" t="s">
        <v>345</v>
      </c>
      <c r="G146" s="108">
        <v>253.264557</v>
      </c>
      <c r="H146" s="384">
        <v>0</v>
      </c>
      <c r="I146" s="393" t="s">
        <v>26</v>
      </c>
      <c r="J146" s="393" t="s">
        <v>20</v>
      </c>
      <c r="K146" s="393" t="s">
        <v>16</v>
      </c>
      <c r="L146" s="393" t="s">
        <v>111</v>
      </c>
      <c r="M146" s="393">
        <f>110.007731+5.88358</f>
        <v>115.891311</v>
      </c>
      <c r="N146" s="371" t="s">
        <v>11</v>
      </c>
      <c r="O146" s="381" t="s">
        <v>100</v>
      </c>
      <c r="P146" s="382" t="s">
        <v>447</v>
      </c>
      <c r="Q146" s="473" t="s">
        <v>522</v>
      </c>
      <c r="R146" s="454">
        <v>44286</v>
      </c>
    </row>
    <row r="147" spans="1:18" ht="60" x14ac:dyDescent="0.25">
      <c r="A147" s="427"/>
      <c r="B147" s="410"/>
      <c r="C147" s="191" t="s">
        <v>8</v>
      </c>
      <c r="D147" s="198" t="s">
        <v>20</v>
      </c>
      <c r="E147" s="180" t="s">
        <v>10</v>
      </c>
      <c r="F147" s="198" t="s">
        <v>345</v>
      </c>
      <c r="G147" s="108">
        <v>-101.336512</v>
      </c>
      <c r="H147" s="410"/>
      <c r="I147" s="394"/>
      <c r="J147" s="394"/>
      <c r="K147" s="394"/>
      <c r="L147" s="394"/>
      <c r="M147" s="394"/>
      <c r="N147" s="371"/>
      <c r="O147" s="381"/>
      <c r="P147" s="431"/>
      <c r="Q147" s="473"/>
      <c r="R147" s="455"/>
    </row>
    <row r="148" spans="1:18" s="52" customFormat="1" x14ac:dyDescent="0.25">
      <c r="A148" s="427"/>
      <c r="B148" s="410"/>
      <c r="C148" s="191" t="s">
        <v>8</v>
      </c>
      <c r="D148" s="198" t="s">
        <v>20</v>
      </c>
      <c r="E148" s="180" t="s">
        <v>16</v>
      </c>
      <c r="F148" s="198" t="s">
        <v>111</v>
      </c>
      <c r="G148" s="108">
        <f>14.975267+85</f>
        <v>99.975267000000002</v>
      </c>
      <c r="H148" s="410"/>
      <c r="I148" s="394"/>
      <c r="J148" s="394"/>
      <c r="K148" s="394"/>
      <c r="L148" s="394"/>
      <c r="M148" s="394"/>
      <c r="N148" s="371"/>
      <c r="O148" s="381"/>
      <c r="P148" s="431"/>
      <c r="Q148" s="473"/>
      <c r="R148" s="455"/>
    </row>
    <row r="149" spans="1:18" s="52" customFormat="1" ht="60" x14ac:dyDescent="0.25">
      <c r="A149" s="427"/>
      <c r="B149" s="410"/>
      <c r="C149" s="191" t="s">
        <v>396</v>
      </c>
      <c r="D149" s="198" t="s">
        <v>20</v>
      </c>
      <c r="E149" s="180" t="s">
        <v>10</v>
      </c>
      <c r="F149" s="198" t="s">
        <v>345</v>
      </c>
      <c r="G149" s="108">
        <v>-116.14223699999999</v>
      </c>
      <c r="H149" s="410"/>
      <c r="I149" s="394"/>
      <c r="J149" s="394"/>
      <c r="K149" s="394"/>
      <c r="L149" s="394"/>
      <c r="M149" s="394"/>
      <c r="N149" s="371"/>
      <c r="O149" s="381"/>
      <c r="P149" s="431"/>
      <c r="Q149" s="473"/>
      <c r="R149" s="455"/>
    </row>
    <row r="150" spans="1:18" s="52" customFormat="1" x14ac:dyDescent="0.25">
      <c r="A150" s="427"/>
      <c r="B150" s="410"/>
      <c r="C150" s="191" t="s">
        <v>396</v>
      </c>
      <c r="D150" s="198" t="s">
        <v>20</v>
      </c>
      <c r="E150" s="180" t="s">
        <v>16</v>
      </c>
      <c r="F150" s="198" t="s">
        <v>111</v>
      </c>
      <c r="G150" s="108">
        <v>47.492269</v>
      </c>
      <c r="H150" s="410"/>
      <c r="I150" s="394"/>
      <c r="J150" s="394"/>
      <c r="K150" s="394"/>
      <c r="L150" s="394"/>
      <c r="M150" s="394"/>
      <c r="N150" s="371"/>
      <c r="O150" s="381"/>
      <c r="P150" s="431"/>
      <c r="Q150" s="473"/>
      <c r="R150" s="455"/>
    </row>
    <row r="151" spans="1:18" ht="30" x14ac:dyDescent="0.25">
      <c r="A151" s="427"/>
      <c r="B151" s="385"/>
      <c r="C151" s="191" t="s">
        <v>396</v>
      </c>
      <c r="D151" s="198" t="s">
        <v>20</v>
      </c>
      <c r="E151" s="165" t="s">
        <v>10</v>
      </c>
      <c r="F151" s="198" t="s">
        <v>493</v>
      </c>
      <c r="G151" s="148">
        <v>68.649968000000001</v>
      </c>
      <c r="H151" s="385"/>
      <c r="I151" s="395"/>
      <c r="J151" s="395"/>
      <c r="K151" s="395"/>
      <c r="L151" s="395"/>
      <c r="M151" s="395"/>
      <c r="N151" s="371"/>
      <c r="O151" s="381"/>
      <c r="P151" s="383"/>
      <c r="Q151" s="473"/>
      <c r="R151" s="455"/>
    </row>
    <row r="152" spans="1:18" ht="29.25" customHeight="1" x14ac:dyDescent="0.25">
      <c r="A152" s="419" t="s">
        <v>101</v>
      </c>
      <c r="B152" s="384">
        <v>93</v>
      </c>
      <c r="C152" s="191" t="s">
        <v>396</v>
      </c>
      <c r="D152" s="198" t="s">
        <v>20</v>
      </c>
      <c r="E152" s="180" t="s">
        <v>10</v>
      </c>
      <c r="F152" s="198" t="s">
        <v>493</v>
      </c>
      <c r="G152" s="108">
        <v>43</v>
      </c>
      <c r="H152" s="384">
        <v>62</v>
      </c>
      <c r="I152" s="198"/>
      <c r="J152" s="198"/>
      <c r="K152" s="180"/>
      <c r="L152" s="198"/>
      <c r="M152" s="108"/>
      <c r="N152" s="180" t="s">
        <v>11</v>
      </c>
      <c r="O152" s="170" t="s">
        <v>21</v>
      </c>
      <c r="P152" s="186" t="s">
        <v>447</v>
      </c>
      <c r="Q152" s="188" t="s">
        <v>484</v>
      </c>
      <c r="R152" s="189">
        <v>44286</v>
      </c>
    </row>
    <row r="153" spans="1:18" s="52" customFormat="1" ht="29.25" customHeight="1" x14ac:dyDescent="0.25">
      <c r="A153" s="421"/>
      <c r="B153" s="385"/>
      <c r="C153" s="191" t="s">
        <v>396</v>
      </c>
      <c r="D153" s="198" t="s">
        <v>17</v>
      </c>
      <c r="E153" s="180" t="s">
        <v>16</v>
      </c>
      <c r="F153" s="198" t="s">
        <v>111</v>
      </c>
      <c r="G153" s="108">
        <v>50</v>
      </c>
      <c r="H153" s="385"/>
      <c r="I153" s="198" t="s">
        <v>26</v>
      </c>
      <c r="J153" s="273" t="s">
        <v>17</v>
      </c>
      <c r="K153" s="269" t="s">
        <v>16</v>
      </c>
      <c r="L153" s="273" t="s">
        <v>111</v>
      </c>
      <c r="M153" s="108">
        <v>42</v>
      </c>
      <c r="N153" s="180" t="s">
        <v>11</v>
      </c>
      <c r="O153" s="176" t="s">
        <v>18</v>
      </c>
      <c r="P153" s="180" t="s">
        <v>19</v>
      </c>
      <c r="Q153" s="188" t="s">
        <v>578</v>
      </c>
      <c r="R153" s="189">
        <v>44316</v>
      </c>
    </row>
    <row r="154" spans="1:18" s="52" customFormat="1" x14ac:dyDescent="0.25">
      <c r="A154" s="419" t="s">
        <v>102</v>
      </c>
      <c r="B154" s="384">
        <v>21</v>
      </c>
      <c r="C154" s="399" t="s">
        <v>396</v>
      </c>
      <c r="D154" s="384" t="s">
        <v>20</v>
      </c>
      <c r="E154" s="378" t="s">
        <v>10</v>
      </c>
      <c r="F154" s="384" t="s">
        <v>493</v>
      </c>
      <c r="G154" s="393">
        <f>64.4273-43</f>
        <v>21.427300000000002</v>
      </c>
      <c r="H154" s="384">
        <v>45</v>
      </c>
      <c r="I154" s="198" t="s">
        <v>467</v>
      </c>
      <c r="J154" s="198" t="s">
        <v>20</v>
      </c>
      <c r="K154" s="180" t="s">
        <v>16</v>
      </c>
      <c r="L154" s="198" t="s">
        <v>111</v>
      </c>
      <c r="M154" s="108">
        <v>44.169148999999997</v>
      </c>
      <c r="N154" s="378" t="s">
        <v>11</v>
      </c>
      <c r="O154" s="403" t="s">
        <v>21</v>
      </c>
      <c r="P154" s="378" t="s">
        <v>13</v>
      </c>
      <c r="Q154" s="378"/>
      <c r="R154" s="375"/>
    </row>
    <row r="155" spans="1:18" s="52" customFormat="1" x14ac:dyDescent="0.25">
      <c r="A155" s="420"/>
      <c r="B155" s="410"/>
      <c r="C155" s="409"/>
      <c r="D155" s="410"/>
      <c r="E155" s="379"/>
      <c r="F155" s="410"/>
      <c r="G155" s="394"/>
      <c r="H155" s="410"/>
      <c r="I155" s="198" t="s">
        <v>467</v>
      </c>
      <c r="J155" s="198" t="s">
        <v>20</v>
      </c>
      <c r="K155" s="180" t="s">
        <v>10</v>
      </c>
      <c r="L155" s="198"/>
      <c r="M155" s="122">
        <v>0.22308800000000001</v>
      </c>
      <c r="N155" s="379"/>
      <c r="O155" s="404"/>
      <c r="P155" s="379"/>
      <c r="Q155" s="379"/>
      <c r="R155" s="376"/>
    </row>
    <row r="156" spans="1:18" x14ac:dyDescent="0.25">
      <c r="A156" s="421"/>
      <c r="B156" s="385"/>
      <c r="C156" s="400"/>
      <c r="D156" s="385"/>
      <c r="E156" s="380"/>
      <c r="F156" s="385"/>
      <c r="G156" s="395"/>
      <c r="H156" s="385"/>
      <c r="I156" s="289" t="s">
        <v>26</v>
      </c>
      <c r="J156" s="273" t="s">
        <v>20</v>
      </c>
      <c r="K156" s="269" t="s">
        <v>16</v>
      </c>
      <c r="L156" s="273" t="s">
        <v>111</v>
      </c>
      <c r="M156" s="290">
        <v>8.6199999999999992</v>
      </c>
      <c r="N156" s="380"/>
      <c r="O156" s="405"/>
      <c r="P156" s="380"/>
      <c r="Q156" s="380"/>
      <c r="R156" s="377"/>
    </row>
    <row r="157" spans="1:18" ht="30" x14ac:dyDescent="0.25">
      <c r="A157" s="427" t="s">
        <v>103</v>
      </c>
      <c r="B157" s="384">
        <f>100+35</f>
        <v>135</v>
      </c>
      <c r="C157" s="180" t="s">
        <v>26</v>
      </c>
      <c r="D157" s="198" t="s">
        <v>104</v>
      </c>
      <c r="E157" s="180" t="s">
        <v>16</v>
      </c>
      <c r="F157" s="198" t="s">
        <v>111</v>
      </c>
      <c r="G157" s="108">
        <v>59.32</v>
      </c>
      <c r="H157" s="384">
        <v>0</v>
      </c>
      <c r="I157" s="393" t="s">
        <v>26</v>
      </c>
      <c r="J157" s="422" t="s">
        <v>104</v>
      </c>
      <c r="K157" s="393" t="s">
        <v>16</v>
      </c>
      <c r="L157" s="393" t="s">
        <v>111</v>
      </c>
      <c r="M157" s="393">
        <v>35</v>
      </c>
      <c r="N157" s="414" t="s">
        <v>11</v>
      </c>
      <c r="O157" s="435" t="s">
        <v>105</v>
      </c>
      <c r="P157" s="386" t="s">
        <v>447</v>
      </c>
      <c r="Q157" s="436" t="s">
        <v>588</v>
      </c>
      <c r="R157" s="461">
        <v>44286</v>
      </c>
    </row>
    <row r="158" spans="1:18" ht="30" x14ac:dyDescent="0.25">
      <c r="A158" s="427"/>
      <c r="B158" s="410"/>
      <c r="C158" s="180" t="s">
        <v>26</v>
      </c>
      <c r="D158" s="198" t="s">
        <v>104</v>
      </c>
      <c r="E158" s="180" t="s">
        <v>10</v>
      </c>
      <c r="F158" s="198" t="s">
        <v>343</v>
      </c>
      <c r="G158" s="108">
        <v>40.68</v>
      </c>
      <c r="H158" s="410"/>
      <c r="I158" s="394"/>
      <c r="J158" s="437"/>
      <c r="K158" s="394"/>
      <c r="L158" s="394"/>
      <c r="M158" s="394"/>
      <c r="N158" s="414"/>
      <c r="O158" s="435"/>
      <c r="P158" s="387"/>
      <c r="Q158" s="436"/>
      <c r="R158" s="462"/>
    </row>
    <row r="159" spans="1:18" ht="30" x14ac:dyDescent="0.25">
      <c r="A159" s="427"/>
      <c r="B159" s="410"/>
      <c r="C159" s="180" t="s">
        <v>8</v>
      </c>
      <c r="D159" s="198" t="s">
        <v>104</v>
      </c>
      <c r="E159" s="180" t="s">
        <v>10</v>
      </c>
      <c r="F159" s="198" t="s">
        <v>343</v>
      </c>
      <c r="G159" s="108">
        <v>-1.2203999999999999</v>
      </c>
      <c r="H159" s="410"/>
      <c r="I159" s="394"/>
      <c r="J159" s="437"/>
      <c r="K159" s="394"/>
      <c r="L159" s="394"/>
      <c r="M159" s="394"/>
      <c r="N159" s="414"/>
      <c r="O159" s="435"/>
      <c r="P159" s="387"/>
      <c r="Q159" s="436"/>
      <c r="R159" s="462"/>
    </row>
    <row r="160" spans="1:18" s="52" customFormat="1" ht="30" x14ac:dyDescent="0.25">
      <c r="A160" s="427"/>
      <c r="B160" s="410"/>
      <c r="C160" s="180" t="s">
        <v>8</v>
      </c>
      <c r="D160" s="198" t="s">
        <v>104</v>
      </c>
      <c r="E160" s="180" t="s">
        <v>16</v>
      </c>
      <c r="F160" s="198" t="s">
        <v>111</v>
      </c>
      <c r="G160" s="108">
        <v>1.2203999999999999</v>
      </c>
      <c r="H160" s="410"/>
      <c r="I160" s="394"/>
      <c r="J160" s="437"/>
      <c r="K160" s="394"/>
      <c r="L160" s="394"/>
      <c r="M160" s="394"/>
      <c r="N160" s="414"/>
      <c r="O160" s="435"/>
      <c r="P160" s="387"/>
      <c r="Q160" s="436"/>
      <c r="R160" s="462"/>
    </row>
    <row r="161" spans="1:18" ht="30" x14ac:dyDescent="0.25">
      <c r="A161" s="427"/>
      <c r="B161" s="385"/>
      <c r="C161" s="165" t="s">
        <v>396</v>
      </c>
      <c r="D161" s="198" t="s">
        <v>104</v>
      </c>
      <c r="E161" s="165" t="s">
        <v>16</v>
      </c>
      <c r="F161" s="163" t="s">
        <v>111</v>
      </c>
      <c r="G161" s="108">
        <v>35</v>
      </c>
      <c r="H161" s="385"/>
      <c r="I161" s="395"/>
      <c r="J161" s="423"/>
      <c r="K161" s="395"/>
      <c r="L161" s="395"/>
      <c r="M161" s="395"/>
      <c r="N161" s="414"/>
      <c r="O161" s="435"/>
      <c r="P161" s="388"/>
      <c r="Q161" s="436"/>
      <c r="R161" s="463"/>
    </row>
    <row r="162" spans="1:18" ht="30" x14ac:dyDescent="0.25">
      <c r="A162" s="187" t="s">
        <v>106</v>
      </c>
      <c r="B162" s="76">
        <v>0</v>
      </c>
      <c r="C162" s="180" t="s">
        <v>42</v>
      </c>
      <c r="D162" s="198" t="s">
        <v>104</v>
      </c>
      <c r="E162" s="180" t="s">
        <v>111</v>
      </c>
      <c r="F162" s="198" t="s">
        <v>111</v>
      </c>
      <c r="G162" s="108" t="s">
        <v>111</v>
      </c>
      <c r="H162" s="76">
        <v>84</v>
      </c>
      <c r="I162" s="198"/>
      <c r="J162" s="198"/>
      <c r="K162" s="180"/>
      <c r="L162" s="198"/>
      <c r="M162" s="108"/>
      <c r="N162" s="180" t="s">
        <v>362</v>
      </c>
      <c r="O162" s="180"/>
      <c r="P162" s="180"/>
      <c r="Q162" s="188"/>
      <c r="R162" s="190"/>
    </row>
    <row r="163" spans="1:18" ht="60" x14ac:dyDescent="0.25">
      <c r="A163" s="427" t="s">
        <v>107</v>
      </c>
      <c r="B163" s="384">
        <f>285+537</f>
        <v>822</v>
      </c>
      <c r="C163" s="191" t="s">
        <v>26</v>
      </c>
      <c r="D163" s="198" t="s">
        <v>37</v>
      </c>
      <c r="E163" s="180" t="s">
        <v>10</v>
      </c>
      <c r="F163" s="198" t="s">
        <v>345</v>
      </c>
      <c r="G163" s="108">
        <v>280.536</v>
      </c>
      <c r="H163" s="428">
        <f>95</f>
        <v>95</v>
      </c>
      <c r="I163" s="273" t="s">
        <v>467</v>
      </c>
      <c r="J163" s="273" t="s">
        <v>37</v>
      </c>
      <c r="K163" s="269" t="s">
        <v>10</v>
      </c>
      <c r="L163" s="273"/>
      <c r="M163" s="281">
        <v>1.3758459999999999</v>
      </c>
      <c r="N163" s="399" t="s">
        <v>11</v>
      </c>
      <c r="O163" s="403" t="s">
        <v>38</v>
      </c>
      <c r="P163" s="382" t="s">
        <v>447</v>
      </c>
      <c r="Q163" s="432" t="s">
        <v>533</v>
      </c>
      <c r="R163" s="461">
        <v>44286</v>
      </c>
    </row>
    <row r="164" spans="1:18" s="52" customFormat="1" x14ac:dyDescent="0.25">
      <c r="A164" s="427"/>
      <c r="B164" s="410"/>
      <c r="C164" s="191" t="s">
        <v>396</v>
      </c>
      <c r="D164" s="198" t="s">
        <v>37</v>
      </c>
      <c r="E164" s="180" t="s">
        <v>16</v>
      </c>
      <c r="F164" s="198" t="s">
        <v>111</v>
      </c>
      <c r="G164" s="108">
        <f>61.136105+16.606763+447.9837</f>
        <v>525.72656800000004</v>
      </c>
      <c r="H164" s="429"/>
      <c r="I164" s="273" t="s">
        <v>467</v>
      </c>
      <c r="J164" s="273" t="s">
        <v>37</v>
      </c>
      <c r="K164" s="269" t="s">
        <v>16</v>
      </c>
      <c r="L164" s="273" t="s">
        <v>111</v>
      </c>
      <c r="M164" s="281">
        <v>92.144615999999999</v>
      </c>
      <c r="N164" s="409"/>
      <c r="O164" s="404"/>
      <c r="P164" s="431"/>
      <c r="Q164" s="433"/>
      <c r="R164" s="462"/>
    </row>
    <row r="165" spans="1:18" s="52" customFormat="1" x14ac:dyDescent="0.25">
      <c r="A165" s="427"/>
      <c r="B165" s="410"/>
      <c r="C165" s="191" t="s">
        <v>396</v>
      </c>
      <c r="D165" s="198" t="s">
        <v>37</v>
      </c>
      <c r="E165" s="180" t="s">
        <v>16</v>
      </c>
      <c r="F165" s="198" t="s">
        <v>111</v>
      </c>
      <c r="G165" s="108">
        <v>1.2530349999999999</v>
      </c>
      <c r="H165" s="429"/>
      <c r="I165" s="464" t="s">
        <v>26</v>
      </c>
      <c r="J165" s="466" t="s">
        <v>37</v>
      </c>
      <c r="K165" s="466" t="s">
        <v>16</v>
      </c>
      <c r="L165" s="466" t="s">
        <v>111</v>
      </c>
      <c r="M165" s="503">
        <f>13.678969+16.111298+112.692243</f>
        <v>142.48250999999999</v>
      </c>
      <c r="N165" s="409"/>
      <c r="O165" s="404"/>
      <c r="P165" s="431"/>
      <c r="Q165" s="433"/>
      <c r="R165" s="462"/>
    </row>
    <row r="166" spans="1:18" s="52" customFormat="1" ht="60" x14ac:dyDescent="0.25">
      <c r="A166" s="427"/>
      <c r="B166" s="410"/>
      <c r="C166" s="191" t="s">
        <v>396</v>
      </c>
      <c r="D166" s="198" t="s">
        <v>37</v>
      </c>
      <c r="E166" s="180" t="s">
        <v>10</v>
      </c>
      <c r="F166" s="198" t="s">
        <v>345</v>
      </c>
      <c r="G166" s="108">
        <v>-1.2530349999999999</v>
      </c>
      <c r="H166" s="429"/>
      <c r="I166" s="465"/>
      <c r="J166" s="466"/>
      <c r="K166" s="466"/>
      <c r="L166" s="466"/>
      <c r="M166" s="503"/>
      <c r="N166" s="400"/>
      <c r="O166" s="405"/>
      <c r="P166" s="383"/>
      <c r="Q166" s="434"/>
      <c r="R166" s="463"/>
    </row>
    <row r="167" spans="1:18" s="52" customFormat="1" ht="60" x14ac:dyDescent="0.25">
      <c r="A167" s="427"/>
      <c r="B167" s="410"/>
      <c r="C167" s="191" t="s">
        <v>8</v>
      </c>
      <c r="D167" s="198" t="s">
        <v>91</v>
      </c>
      <c r="E167" s="180" t="s">
        <v>10</v>
      </c>
      <c r="F167" s="198" t="s">
        <v>345</v>
      </c>
      <c r="G167" s="108">
        <v>1.1000000000000001</v>
      </c>
      <c r="H167" s="429"/>
      <c r="I167" s="198"/>
      <c r="J167" s="315"/>
      <c r="K167" s="313"/>
      <c r="L167" s="315"/>
      <c r="M167" s="316"/>
      <c r="N167" s="191" t="s">
        <v>11</v>
      </c>
      <c r="O167" s="181" t="s">
        <v>92</v>
      </c>
      <c r="P167" s="196" t="s">
        <v>19</v>
      </c>
      <c r="Q167" s="200" t="s">
        <v>334</v>
      </c>
      <c r="R167" s="179">
        <v>44286</v>
      </c>
    </row>
    <row r="168" spans="1:18" s="52" customFormat="1" x14ac:dyDescent="0.25">
      <c r="A168" s="427"/>
      <c r="B168" s="410"/>
      <c r="C168" s="191" t="s">
        <v>396</v>
      </c>
      <c r="D168" s="198" t="s">
        <v>17</v>
      </c>
      <c r="E168" s="180" t="s">
        <v>16</v>
      </c>
      <c r="F168" s="198" t="s">
        <v>111</v>
      </c>
      <c r="G168" s="108">
        <v>6.25</v>
      </c>
      <c r="H168" s="429"/>
      <c r="I168" s="198"/>
      <c r="J168" s="198"/>
      <c r="K168" s="180"/>
      <c r="L168" s="198"/>
      <c r="M168" s="108"/>
      <c r="N168" s="180" t="s">
        <v>11</v>
      </c>
      <c r="O168" s="176" t="s">
        <v>18</v>
      </c>
      <c r="P168" s="196" t="s">
        <v>19</v>
      </c>
      <c r="Q168" s="200" t="s">
        <v>581</v>
      </c>
      <c r="R168" s="179">
        <v>44316</v>
      </c>
    </row>
    <row r="169" spans="1:18" s="52" customFormat="1" x14ac:dyDescent="0.25">
      <c r="A169" s="427"/>
      <c r="B169" s="410"/>
      <c r="C169" s="399" t="s">
        <v>396</v>
      </c>
      <c r="D169" s="384" t="s">
        <v>20</v>
      </c>
      <c r="E169" s="378" t="s">
        <v>16</v>
      </c>
      <c r="F169" s="384" t="s">
        <v>111</v>
      </c>
      <c r="G169" s="401">
        <v>2.0659999999999998</v>
      </c>
      <c r="H169" s="429"/>
      <c r="I169" s="198" t="s">
        <v>467</v>
      </c>
      <c r="J169" s="198" t="s">
        <v>20</v>
      </c>
      <c r="K169" s="180" t="s">
        <v>16</v>
      </c>
      <c r="L169" s="198" t="s">
        <v>111</v>
      </c>
      <c r="M169" s="122">
        <v>0.45</v>
      </c>
      <c r="N169" s="378" t="s">
        <v>11</v>
      </c>
      <c r="O169" s="403" t="s">
        <v>21</v>
      </c>
      <c r="P169" s="386" t="s">
        <v>447</v>
      </c>
      <c r="Q169" s="504" t="s">
        <v>526</v>
      </c>
      <c r="R169" s="375">
        <v>44286</v>
      </c>
    </row>
    <row r="170" spans="1:18" x14ac:dyDescent="0.25">
      <c r="A170" s="427"/>
      <c r="B170" s="385"/>
      <c r="C170" s="400"/>
      <c r="D170" s="385"/>
      <c r="E170" s="380"/>
      <c r="F170" s="385"/>
      <c r="G170" s="402"/>
      <c r="H170" s="430"/>
      <c r="I170" s="289" t="s">
        <v>26</v>
      </c>
      <c r="J170" s="306" t="s">
        <v>20</v>
      </c>
      <c r="K170" s="303" t="s">
        <v>16</v>
      </c>
      <c r="L170" s="306" t="s">
        <v>111</v>
      </c>
      <c r="M170" s="33">
        <v>1.82</v>
      </c>
      <c r="N170" s="380"/>
      <c r="O170" s="405"/>
      <c r="P170" s="388"/>
      <c r="Q170" s="505"/>
      <c r="R170" s="377"/>
    </row>
    <row r="171" spans="1:18" ht="30" x14ac:dyDescent="0.25">
      <c r="A171" s="419" t="s">
        <v>108</v>
      </c>
      <c r="B171" s="384">
        <v>83</v>
      </c>
      <c r="C171" s="180" t="s">
        <v>8</v>
      </c>
      <c r="D171" s="198" t="s">
        <v>37</v>
      </c>
      <c r="E171" s="180" t="s">
        <v>10</v>
      </c>
      <c r="F171" s="89" t="s">
        <v>343</v>
      </c>
      <c r="G171" s="108">
        <v>82.5</v>
      </c>
      <c r="H171" s="384">
        <v>0</v>
      </c>
      <c r="I171" s="159"/>
      <c r="J171" s="159"/>
      <c r="K171" s="159"/>
      <c r="L171" s="159"/>
      <c r="M171" s="250"/>
      <c r="N171" s="414" t="s">
        <v>11</v>
      </c>
      <c r="O171" s="435" t="s">
        <v>38</v>
      </c>
      <c r="P171" s="392" t="s">
        <v>447</v>
      </c>
      <c r="Q171" s="469" t="s">
        <v>589</v>
      </c>
      <c r="R171" s="451">
        <v>44286</v>
      </c>
    </row>
    <row r="172" spans="1:18" s="52" customFormat="1" x14ac:dyDescent="0.25">
      <c r="A172" s="420"/>
      <c r="B172" s="410"/>
      <c r="C172" s="180" t="s">
        <v>396</v>
      </c>
      <c r="D172" s="198" t="s">
        <v>37</v>
      </c>
      <c r="E172" s="180" t="s">
        <v>16</v>
      </c>
      <c r="F172" s="89" t="s">
        <v>111</v>
      </c>
      <c r="G172" s="108">
        <f>57.924343+0.343862</f>
        <v>58.268205000000002</v>
      </c>
      <c r="H172" s="410"/>
      <c r="I172" s="161"/>
      <c r="J172" s="161"/>
      <c r="K172" s="161"/>
      <c r="L172" s="161"/>
      <c r="M172" s="252"/>
      <c r="N172" s="414"/>
      <c r="O172" s="435"/>
      <c r="P172" s="392"/>
      <c r="Q172" s="469"/>
      <c r="R172" s="468"/>
    </row>
    <row r="173" spans="1:18" s="52" customFormat="1" ht="30" x14ac:dyDescent="0.25">
      <c r="A173" s="421"/>
      <c r="B173" s="385"/>
      <c r="C173" s="180" t="s">
        <v>396</v>
      </c>
      <c r="D173" s="198" t="s">
        <v>37</v>
      </c>
      <c r="E173" s="180" t="s">
        <v>10</v>
      </c>
      <c r="F173" s="89" t="s">
        <v>343</v>
      </c>
      <c r="G173" s="108">
        <v>-58.340210999999996</v>
      </c>
      <c r="H173" s="385"/>
      <c r="I173" s="160"/>
      <c r="J173" s="160"/>
      <c r="K173" s="160"/>
      <c r="L173" s="160"/>
      <c r="M173" s="251"/>
      <c r="N173" s="414"/>
      <c r="O173" s="435"/>
      <c r="P173" s="392"/>
      <c r="Q173" s="469"/>
      <c r="R173" s="468"/>
    </row>
    <row r="174" spans="1:18" s="52" customFormat="1" x14ac:dyDescent="0.25">
      <c r="A174" s="419" t="s">
        <v>109</v>
      </c>
      <c r="B174" s="384">
        <v>64</v>
      </c>
      <c r="C174" s="378" t="s">
        <v>396</v>
      </c>
      <c r="D174" s="384" t="s">
        <v>37</v>
      </c>
      <c r="E174" s="378" t="s">
        <v>16</v>
      </c>
      <c r="F174" s="384" t="s">
        <v>111</v>
      </c>
      <c r="G174" s="393">
        <f>0.697346+0.04+63.012274</f>
        <v>63.74962</v>
      </c>
      <c r="H174" s="384">
        <v>123</v>
      </c>
      <c r="I174" s="198" t="s">
        <v>467</v>
      </c>
      <c r="J174" s="198" t="s">
        <v>37</v>
      </c>
      <c r="K174" s="180" t="s">
        <v>16</v>
      </c>
      <c r="L174" s="89" t="s">
        <v>111</v>
      </c>
      <c r="M174" s="108">
        <v>122.29113599999999</v>
      </c>
      <c r="N174" s="378" t="s">
        <v>11</v>
      </c>
      <c r="O174" s="389" t="s">
        <v>38</v>
      </c>
      <c r="P174" s="378" t="s">
        <v>13</v>
      </c>
      <c r="Q174" s="378"/>
      <c r="R174" s="459"/>
    </row>
    <row r="175" spans="1:18" x14ac:dyDescent="0.25">
      <c r="A175" s="421"/>
      <c r="B175" s="385"/>
      <c r="C175" s="380"/>
      <c r="D175" s="385"/>
      <c r="E175" s="380"/>
      <c r="F175" s="385"/>
      <c r="G175" s="395"/>
      <c r="H175" s="385"/>
      <c r="I175" s="198" t="s">
        <v>467</v>
      </c>
      <c r="J175" s="198" t="s">
        <v>37</v>
      </c>
      <c r="K175" s="180" t="s">
        <v>10</v>
      </c>
      <c r="L175" s="198"/>
      <c r="M175" s="122">
        <v>0.33142100000000002</v>
      </c>
      <c r="N175" s="380"/>
      <c r="O175" s="391"/>
      <c r="P175" s="380"/>
      <c r="Q175" s="380"/>
      <c r="R175" s="460"/>
    </row>
    <row r="176" spans="1:18" ht="30" x14ac:dyDescent="0.25">
      <c r="A176" s="419" t="s">
        <v>353</v>
      </c>
      <c r="B176" s="384">
        <f>299+400</f>
        <v>699</v>
      </c>
      <c r="C176" s="191" t="s">
        <v>396</v>
      </c>
      <c r="D176" s="196" t="s">
        <v>110</v>
      </c>
      <c r="E176" s="180" t="s">
        <v>16</v>
      </c>
      <c r="F176" s="198" t="s">
        <v>111</v>
      </c>
      <c r="G176" s="108">
        <v>400</v>
      </c>
      <c r="H176" s="384">
        <v>375</v>
      </c>
      <c r="I176" s="393" t="s">
        <v>26</v>
      </c>
      <c r="J176" s="422" t="s">
        <v>110</v>
      </c>
      <c r="K176" s="393" t="s">
        <v>16</v>
      </c>
      <c r="L176" s="393" t="s">
        <v>111</v>
      </c>
      <c r="M176" s="393">
        <v>75</v>
      </c>
      <c r="N176" s="399" t="s">
        <v>11</v>
      </c>
      <c r="O176" s="403" t="s">
        <v>112</v>
      </c>
      <c r="P176" s="399" t="s">
        <v>19</v>
      </c>
      <c r="Q176" s="432" t="s">
        <v>451</v>
      </c>
      <c r="R176" s="461">
        <v>44260</v>
      </c>
    </row>
    <row r="177" spans="1:18" s="52" customFormat="1" ht="30" x14ac:dyDescent="0.25">
      <c r="A177" s="420"/>
      <c r="B177" s="410"/>
      <c r="C177" s="180" t="s">
        <v>396</v>
      </c>
      <c r="D177" s="56" t="s">
        <v>110</v>
      </c>
      <c r="E177" s="180" t="s">
        <v>16</v>
      </c>
      <c r="F177" s="198" t="s">
        <v>111</v>
      </c>
      <c r="G177" s="108">
        <f>705+120</f>
        <v>825</v>
      </c>
      <c r="H177" s="410"/>
      <c r="I177" s="394"/>
      <c r="J177" s="437"/>
      <c r="K177" s="394"/>
      <c r="L177" s="394"/>
      <c r="M177" s="394"/>
      <c r="N177" s="409"/>
      <c r="O177" s="404"/>
      <c r="P177" s="409"/>
      <c r="Q177" s="433"/>
      <c r="R177" s="462"/>
    </row>
    <row r="178" spans="1:18" s="52" customFormat="1" x14ac:dyDescent="0.25">
      <c r="A178" s="421"/>
      <c r="B178" s="385"/>
      <c r="C178" s="180" t="s">
        <v>396</v>
      </c>
      <c r="D178" s="198" t="s">
        <v>17</v>
      </c>
      <c r="E178" s="180" t="s">
        <v>16</v>
      </c>
      <c r="F178" s="198" t="s">
        <v>111</v>
      </c>
      <c r="G178" s="108">
        <v>-705</v>
      </c>
      <c r="H178" s="385"/>
      <c r="I178" s="395"/>
      <c r="J178" s="423"/>
      <c r="K178" s="395"/>
      <c r="L178" s="395"/>
      <c r="M178" s="395"/>
      <c r="N178" s="400"/>
      <c r="O178" s="405"/>
      <c r="P178" s="400"/>
      <c r="Q178" s="434"/>
      <c r="R178" s="463"/>
    </row>
    <row r="179" spans="1:18" ht="31.5" customHeight="1" x14ac:dyDescent="0.25">
      <c r="A179" s="187" t="s">
        <v>113</v>
      </c>
      <c r="B179" s="76">
        <v>25</v>
      </c>
      <c r="C179" s="191" t="s">
        <v>26</v>
      </c>
      <c r="D179" s="198" t="s">
        <v>9</v>
      </c>
      <c r="E179" s="180" t="s">
        <v>16</v>
      </c>
      <c r="F179" s="198" t="s">
        <v>111</v>
      </c>
      <c r="G179" s="108">
        <v>12.5</v>
      </c>
      <c r="H179" s="76">
        <v>0</v>
      </c>
      <c r="I179" s="198"/>
      <c r="J179" s="198"/>
      <c r="K179" s="180"/>
      <c r="L179" s="198"/>
      <c r="M179" s="108"/>
      <c r="N179" s="191" t="s">
        <v>11</v>
      </c>
      <c r="O179" s="176" t="s">
        <v>12</v>
      </c>
      <c r="P179" s="352" t="s">
        <v>447</v>
      </c>
      <c r="Q179" s="200" t="s">
        <v>668</v>
      </c>
      <c r="R179" s="189">
        <v>44286</v>
      </c>
    </row>
    <row r="180" spans="1:18" ht="60" x14ac:dyDescent="0.25">
      <c r="A180" s="427" t="s">
        <v>390</v>
      </c>
      <c r="B180" s="384">
        <f>513</f>
        <v>513</v>
      </c>
      <c r="C180" s="191" t="s">
        <v>26</v>
      </c>
      <c r="D180" s="198" t="s">
        <v>9</v>
      </c>
      <c r="E180" s="180" t="s">
        <v>16</v>
      </c>
      <c r="F180" s="198" t="s">
        <v>111</v>
      </c>
      <c r="G180" s="108">
        <v>25.795292</v>
      </c>
      <c r="H180" s="384">
        <v>37</v>
      </c>
      <c r="I180" s="198"/>
      <c r="J180" s="198"/>
      <c r="K180" s="180"/>
      <c r="L180" s="198"/>
      <c r="M180" s="108"/>
      <c r="N180" s="194" t="s">
        <v>11</v>
      </c>
      <c r="O180" s="176" t="s">
        <v>12</v>
      </c>
      <c r="P180" s="352" t="s">
        <v>447</v>
      </c>
      <c r="Q180" s="195" t="s">
        <v>669</v>
      </c>
      <c r="R180" s="189">
        <v>44286</v>
      </c>
    </row>
    <row r="181" spans="1:18" ht="60" x14ac:dyDescent="0.25">
      <c r="A181" s="427"/>
      <c r="B181" s="410"/>
      <c r="C181" s="191" t="s">
        <v>26</v>
      </c>
      <c r="D181" s="198" t="s">
        <v>66</v>
      </c>
      <c r="E181" s="180" t="s">
        <v>16</v>
      </c>
      <c r="F181" s="198" t="s">
        <v>111</v>
      </c>
      <c r="G181" s="108">
        <v>192.20470800000001</v>
      </c>
      <c r="H181" s="410"/>
      <c r="I181" s="198"/>
      <c r="J181" s="198"/>
      <c r="K181" s="180"/>
      <c r="L181" s="198"/>
      <c r="M181" s="108"/>
      <c r="N181" s="194" t="s">
        <v>11</v>
      </c>
      <c r="O181" s="176" t="s">
        <v>114</v>
      </c>
      <c r="P181" s="186" t="s">
        <v>447</v>
      </c>
      <c r="Q181" s="185" t="s">
        <v>540</v>
      </c>
      <c r="R181" s="189">
        <v>44286</v>
      </c>
    </row>
    <row r="182" spans="1:18" ht="60" x14ac:dyDescent="0.25">
      <c r="A182" s="427"/>
      <c r="B182" s="410"/>
      <c r="C182" s="191" t="s">
        <v>26</v>
      </c>
      <c r="D182" s="198" t="s">
        <v>68</v>
      </c>
      <c r="E182" s="180" t="s">
        <v>16</v>
      </c>
      <c r="F182" s="198" t="s">
        <v>111</v>
      </c>
      <c r="G182" s="108">
        <v>12</v>
      </c>
      <c r="H182" s="410"/>
      <c r="I182" s="198"/>
      <c r="J182" s="198"/>
      <c r="K182" s="180"/>
      <c r="L182" s="198"/>
      <c r="M182" s="108"/>
      <c r="N182" s="194" t="s">
        <v>11</v>
      </c>
      <c r="O182" s="176" t="s">
        <v>67</v>
      </c>
      <c r="P182" s="186" t="s">
        <v>447</v>
      </c>
      <c r="Q182" s="195" t="s">
        <v>487</v>
      </c>
      <c r="R182" s="189">
        <v>44286</v>
      </c>
    </row>
    <row r="183" spans="1:18" ht="60" x14ac:dyDescent="0.25">
      <c r="A183" s="427"/>
      <c r="B183" s="410"/>
      <c r="C183" s="191" t="s">
        <v>26</v>
      </c>
      <c r="D183" s="198" t="s">
        <v>70</v>
      </c>
      <c r="E183" s="180" t="s">
        <v>16</v>
      </c>
      <c r="F183" s="198" t="s">
        <v>111</v>
      </c>
      <c r="G183" s="108">
        <f>24.5133+20</f>
        <v>44.513300000000001</v>
      </c>
      <c r="H183" s="410"/>
      <c r="I183" s="198" t="s">
        <v>26</v>
      </c>
      <c r="J183" s="306" t="s">
        <v>70</v>
      </c>
      <c r="K183" s="303" t="s">
        <v>16</v>
      </c>
      <c r="L183" s="306" t="s">
        <v>111</v>
      </c>
      <c r="M183" s="108">
        <f>11.045+6</f>
        <v>17.045000000000002</v>
      </c>
      <c r="N183" s="194" t="s">
        <v>11</v>
      </c>
      <c r="O183" s="176" t="s">
        <v>115</v>
      </c>
      <c r="P183" s="186" t="s">
        <v>447</v>
      </c>
      <c r="Q183" s="185" t="s">
        <v>561</v>
      </c>
      <c r="R183" s="189">
        <v>44286</v>
      </c>
    </row>
    <row r="184" spans="1:18" ht="60" x14ac:dyDescent="0.25">
      <c r="A184" s="427"/>
      <c r="B184" s="410"/>
      <c r="C184" s="191" t="s">
        <v>8</v>
      </c>
      <c r="D184" s="198" t="s">
        <v>20</v>
      </c>
      <c r="E184" s="180" t="s">
        <v>10</v>
      </c>
      <c r="F184" s="198" t="s">
        <v>345</v>
      </c>
      <c r="G184" s="108">
        <v>-4.3365270000000002</v>
      </c>
      <c r="H184" s="410"/>
      <c r="I184" s="393" t="s">
        <v>26</v>
      </c>
      <c r="J184" s="393" t="s">
        <v>20</v>
      </c>
      <c r="K184" s="393" t="s">
        <v>16</v>
      </c>
      <c r="L184" s="393" t="s">
        <v>111</v>
      </c>
      <c r="M184" s="452">
        <f>0.152163</f>
        <v>0.15216299999999999</v>
      </c>
      <c r="N184" s="406" t="s">
        <v>11</v>
      </c>
      <c r="O184" s="403" t="s">
        <v>21</v>
      </c>
      <c r="P184" s="392" t="s">
        <v>447</v>
      </c>
      <c r="Q184" s="449" t="s">
        <v>523</v>
      </c>
      <c r="R184" s="375">
        <v>44286</v>
      </c>
    </row>
    <row r="185" spans="1:18" x14ac:dyDescent="0.25">
      <c r="A185" s="427"/>
      <c r="B185" s="410"/>
      <c r="C185" s="191" t="s">
        <v>8</v>
      </c>
      <c r="D185" s="198" t="s">
        <v>20</v>
      </c>
      <c r="E185" s="180" t="s">
        <v>16</v>
      </c>
      <c r="F185" s="202" t="s">
        <v>111</v>
      </c>
      <c r="G185" s="108">
        <v>3.6606359999999998</v>
      </c>
      <c r="H185" s="410"/>
      <c r="I185" s="395"/>
      <c r="J185" s="395"/>
      <c r="K185" s="395"/>
      <c r="L185" s="395"/>
      <c r="M185" s="453"/>
      <c r="N185" s="408"/>
      <c r="O185" s="405"/>
      <c r="P185" s="392"/>
      <c r="Q185" s="449"/>
      <c r="R185" s="377"/>
    </row>
    <row r="186" spans="1:18" ht="60" x14ac:dyDescent="0.25">
      <c r="A186" s="427"/>
      <c r="B186" s="410"/>
      <c r="C186" s="191" t="s">
        <v>26</v>
      </c>
      <c r="D186" s="198" t="s">
        <v>33</v>
      </c>
      <c r="E186" s="180" t="s">
        <v>10</v>
      </c>
      <c r="F186" s="198" t="s">
        <v>345</v>
      </c>
      <c r="G186" s="108">
        <v>10</v>
      </c>
      <c r="H186" s="410"/>
      <c r="I186" s="159"/>
      <c r="J186" s="159"/>
      <c r="K186" s="159"/>
      <c r="L186" s="159"/>
      <c r="M186" s="250"/>
      <c r="N186" s="399" t="s">
        <v>11</v>
      </c>
      <c r="O186" s="403" t="s">
        <v>38</v>
      </c>
      <c r="P186" s="392" t="s">
        <v>447</v>
      </c>
      <c r="Q186" s="456" t="s">
        <v>430</v>
      </c>
      <c r="R186" s="451">
        <v>44286</v>
      </c>
    </row>
    <row r="187" spans="1:18" s="52" customFormat="1" ht="60" x14ac:dyDescent="0.25">
      <c r="A187" s="427"/>
      <c r="B187" s="410"/>
      <c r="C187" s="191" t="s">
        <v>396</v>
      </c>
      <c r="D187" s="198" t="s">
        <v>33</v>
      </c>
      <c r="E187" s="180" t="s">
        <v>10</v>
      </c>
      <c r="F187" s="198" t="s">
        <v>345</v>
      </c>
      <c r="G187" s="108">
        <v>-2.4373580000000001</v>
      </c>
      <c r="H187" s="410"/>
      <c r="I187" s="161"/>
      <c r="J187" s="161"/>
      <c r="K187" s="161"/>
      <c r="L187" s="161"/>
      <c r="M187" s="252"/>
      <c r="N187" s="409"/>
      <c r="O187" s="404"/>
      <c r="P187" s="392"/>
      <c r="Q187" s="457"/>
      <c r="R187" s="451"/>
    </row>
    <row r="188" spans="1:18" s="52" customFormat="1" x14ac:dyDescent="0.25">
      <c r="A188" s="427"/>
      <c r="B188" s="410"/>
      <c r="C188" s="191" t="s">
        <v>396</v>
      </c>
      <c r="D188" s="198" t="s">
        <v>33</v>
      </c>
      <c r="E188" s="180" t="s">
        <v>16</v>
      </c>
      <c r="F188" s="198" t="s">
        <v>111</v>
      </c>
      <c r="G188" s="108">
        <v>2.4373580000000001</v>
      </c>
      <c r="H188" s="410"/>
      <c r="I188" s="160"/>
      <c r="J188" s="160"/>
      <c r="K188" s="160"/>
      <c r="L188" s="160"/>
      <c r="M188" s="251"/>
      <c r="N188" s="400"/>
      <c r="O188" s="405"/>
      <c r="P188" s="392"/>
      <c r="Q188" s="458"/>
      <c r="R188" s="451"/>
    </row>
    <row r="189" spans="1:18" ht="60" x14ac:dyDescent="0.25">
      <c r="A189" s="427"/>
      <c r="B189" s="410"/>
      <c r="C189" s="191" t="s">
        <v>26</v>
      </c>
      <c r="D189" s="198" t="s">
        <v>17</v>
      </c>
      <c r="E189" s="180" t="s">
        <v>10</v>
      </c>
      <c r="F189" s="198" t="s">
        <v>345</v>
      </c>
      <c r="G189" s="108">
        <v>177.06880000000001</v>
      </c>
      <c r="H189" s="410"/>
      <c r="I189" s="384" t="s">
        <v>467</v>
      </c>
      <c r="J189" s="384" t="s">
        <v>17</v>
      </c>
      <c r="K189" s="378" t="s">
        <v>16</v>
      </c>
      <c r="L189" s="384" t="s">
        <v>111</v>
      </c>
      <c r="M189" s="393">
        <v>37.200000000000003</v>
      </c>
      <c r="N189" s="450" t="s">
        <v>11</v>
      </c>
      <c r="O189" s="381" t="s">
        <v>80</v>
      </c>
      <c r="P189" s="450" t="s">
        <v>19</v>
      </c>
      <c r="Q189" s="449" t="s">
        <v>576</v>
      </c>
      <c r="R189" s="451">
        <v>44286</v>
      </c>
    </row>
    <row r="190" spans="1:18" ht="60" x14ac:dyDescent="0.25">
      <c r="A190" s="427"/>
      <c r="B190" s="410"/>
      <c r="C190" s="191" t="s">
        <v>8</v>
      </c>
      <c r="D190" s="198" t="s">
        <v>17</v>
      </c>
      <c r="E190" s="180" t="s">
        <v>10</v>
      </c>
      <c r="F190" s="198" t="s">
        <v>345</v>
      </c>
      <c r="G190" s="108">
        <v>-33.982059999999997</v>
      </c>
      <c r="H190" s="410"/>
      <c r="I190" s="410"/>
      <c r="J190" s="410"/>
      <c r="K190" s="379"/>
      <c r="L190" s="410"/>
      <c r="M190" s="394"/>
      <c r="N190" s="450"/>
      <c r="O190" s="381"/>
      <c r="P190" s="450"/>
      <c r="Q190" s="449"/>
      <c r="R190" s="451"/>
    </row>
    <row r="191" spans="1:18" x14ac:dyDescent="0.25">
      <c r="A191" s="427"/>
      <c r="B191" s="410"/>
      <c r="C191" s="180" t="s">
        <v>8</v>
      </c>
      <c r="D191" s="198" t="s">
        <v>17</v>
      </c>
      <c r="E191" s="180" t="s">
        <v>16</v>
      </c>
      <c r="F191" s="202" t="s">
        <v>111</v>
      </c>
      <c r="G191" s="108">
        <v>33.982059999999997</v>
      </c>
      <c r="H191" s="385"/>
      <c r="I191" s="385"/>
      <c r="J191" s="385"/>
      <c r="K191" s="380"/>
      <c r="L191" s="385"/>
      <c r="M191" s="395"/>
      <c r="N191" s="450"/>
      <c r="O191" s="381"/>
      <c r="P191" s="450"/>
      <c r="Q191" s="449"/>
      <c r="R191" s="451"/>
    </row>
    <row r="192" spans="1:18" s="52" customFormat="1" ht="60" x14ac:dyDescent="0.25">
      <c r="A192" s="419" t="s">
        <v>389</v>
      </c>
      <c r="B192" s="384">
        <v>88</v>
      </c>
      <c r="C192" s="191" t="s">
        <v>26</v>
      </c>
      <c r="D192" s="198" t="s">
        <v>20</v>
      </c>
      <c r="E192" s="180" t="s">
        <v>10</v>
      </c>
      <c r="F192" s="198" t="s">
        <v>345</v>
      </c>
      <c r="G192" s="108">
        <v>9.2881850000000004</v>
      </c>
      <c r="H192" s="384">
        <v>0</v>
      </c>
      <c r="I192" s="198"/>
      <c r="J192" s="198"/>
      <c r="K192" s="180"/>
      <c r="L192" s="198"/>
      <c r="M192" s="108"/>
      <c r="N192" s="169" t="s">
        <v>11</v>
      </c>
      <c r="O192" s="170" t="s">
        <v>21</v>
      </c>
      <c r="P192" s="186" t="s">
        <v>447</v>
      </c>
      <c r="Q192" s="188" t="s">
        <v>524</v>
      </c>
      <c r="R192" s="189">
        <v>44286</v>
      </c>
    </row>
    <row r="193" spans="1:18" s="52" customFormat="1" ht="60" x14ac:dyDescent="0.25">
      <c r="A193" s="420"/>
      <c r="B193" s="410"/>
      <c r="C193" s="191" t="s">
        <v>26</v>
      </c>
      <c r="D193" s="198" t="s">
        <v>17</v>
      </c>
      <c r="E193" s="180" t="s">
        <v>10</v>
      </c>
      <c r="F193" s="198" t="s">
        <v>345</v>
      </c>
      <c r="G193" s="108">
        <v>74.7</v>
      </c>
      <c r="H193" s="410"/>
      <c r="I193" s="159"/>
      <c r="J193" s="159"/>
      <c r="K193" s="159"/>
      <c r="L193" s="159"/>
      <c r="M193" s="250"/>
      <c r="N193" s="450" t="s">
        <v>11</v>
      </c>
      <c r="O193" s="381" t="s">
        <v>80</v>
      </c>
      <c r="P193" s="450" t="s">
        <v>19</v>
      </c>
      <c r="Q193" s="456" t="s">
        <v>577</v>
      </c>
      <c r="R193" s="451">
        <v>44316</v>
      </c>
    </row>
    <row r="194" spans="1:18" s="52" customFormat="1" ht="60" x14ac:dyDescent="0.25">
      <c r="A194" s="420"/>
      <c r="B194" s="410"/>
      <c r="C194" s="191" t="s">
        <v>8</v>
      </c>
      <c r="D194" s="198" t="s">
        <v>17</v>
      </c>
      <c r="E194" s="180" t="s">
        <v>10</v>
      </c>
      <c r="F194" s="198" t="s">
        <v>345</v>
      </c>
      <c r="G194" s="108">
        <v>-16.7</v>
      </c>
      <c r="H194" s="410"/>
      <c r="I194" s="161"/>
      <c r="J194" s="161"/>
      <c r="K194" s="161"/>
      <c r="L194" s="161"/>
      <c r="M194" s="252"/>
      <c r="N194" s="450"/>
      <c r="O194" s="381"/>
      <c r="P194" s="450"/>
      <c r="Q194" s="457"/>
      <c r="R194" s="451"/>
    </row>
    <row r="195" spans="1:18" s="52" customFormat="1" x14ac:dyDescent="0.25">
      <c r="A195" s="421"/>
      <c r="B195" s="385"/>
      <c r="C195" s="191" t="s">
        <v>8</v>
      </c>
      <c r="D195" s="198" t="s">
        <v>17</v>
      </c>
      <c r="E195" s="180" t="s">
        <v>16</v>
      </c>
      <c r="F195" s="198" t="s">
        <v>111</v>
      </c>
      <c r="G195" s="108">
        <v>16.7</v>
      </c>
      <c r="H195" s="385"/>
      <c r="I195" s="160"/>
      <c r="J195" s="160"/>
      <c r="K195" s="160"/>
      <c r="L195" s="160"/>
      <c r="M195" s="251"/>
      <c r="N195" s="450"/>
      <c r="O195" s="381"/>
      <c r="P195" s="450"/>
      <c r="Q195" s="458"/>
      <c r="R195" s="451"/>
    </row>
    <row r="196" spans="1:18" ht="45" x14ac:dyDescent="0.25">
      <c r="A196" s="187" t="s">
        <v>116</v>
      </c>
      <c r="B196" s="76">
        <v>194</v>
      </c>
      <c r="C196" s="191" t="s">
        <v>42</v>
      </c>
      <c r="D196" s="196" t="s">
        <v>117</v>
      </c>
      <c r="E196" s="191" t="s">
        <v>111</v>
      </c>
      <c r="F196" s="168" t="s">
        <v>356</v>
      </c>
      <c r="G196" s="108" t="s">
        <v>111</v>
      </c>
      <c r="H196" s="76">
        <v>17</v>
      </c>
      <c r="I196" s="196"/>
      <c r="J196" s="196"/>
      <c r="K196" s="191"/>
      <c r="L196" s="168"/>
      <c r="M196" s="108"/>
      <c r="N196" s="191" t="s">
        <v>11</v>
      </c>
      <c r="O196" s="168" t="s">
        <v>118</v>
      </c>
      <c r="P196" s="191" t="s">
        <v>19</v>
      </c>
      <c r="Q196" s="177" t="s">
        <v>364</v>
      </c>
      <c r="R196" s="189">
        <v>44158</v>
      </c>
    </row>
    <row r="197" spans="1:18" ht="60" x14ac:dyDescent="0.25">
      <c r="A197" s="427" t="s">
        <v>119</v>
      </c>
      <c r="B197" s="467">
        <v>64</v>
      </c>
      <c r="C197" s="191" t="s">
        <v>26</v>
      </c>
      <c r="D197" s="196" t="s">
        <v>110</v>
      </c>
      <c r="E197" s="180" t="s">
        <v>10</v>
      </c>
      <c r="F197" s="198" t="s">
        <v>345</v>
      </c>
      <c r="G197" s="108">
        <v>41</v>
      </c>
      <c r="H197" s="467">
        <v>0</v>
      </c>
      <c r="I197" s="203"/>
      <c r="J197" s="203"/>
      <c r="K197" s="203"/>
      <c r="L197" s="203"/>
      <c r="M197" s="281"/>
      <c r="N197" s="448" t="s">
        <v>11</v>
      </c>
      <c r="O197" s="381" t="s">
        <v>120</v>
      </c>
      <c r="P197" s="392" t="s">
        <v>447</v>
      </c>
      <c r="Q197" s="497" t="s">
        <v>520</v>
      </c>
      <c r="R197" s="451">
        <v>44286</v>
      </c>
    </row>
    <row r="198" spans="1:18" ht="30" x14ac:dyDescent="0.25">
      <c r="A198" s="427"/>
      <c r="B198" s="467"/>
      <c r="C198" s="191" t="s">
        <v>8</v>
      </c>
      <c r="D198" s="196" t="s">
        <v>110</v>
      </c>
      <c r="E198" s="180" t="s">
        <v>16</v>
      </c>
      <c r="F198" s="202" t="s">
        <v>111</v>
      </c>
      <c r="G198" s="108">
        <v>3.25</v>
      </c>
      <c r="H198" s="467"/>
      <c r="I198" s="203"/>
      <c r="J198" s="203"/>
      <c r="K198" s="203"/>
      <c r="L198" s="203"/>
      <c r="M198" s="281"/>
      <c r="N198" s="448"/>
      <c r="O198" s="381"/>
      <c r="P198" s="392"/>
      <c r="Q198" s="497"/>
      <c r="R198" s="451"/>
    </row>
    <row r="199" spans="1:18" ht="60" x14ac:dyDescent="0.25">
      <c r="A199" s="427"/>
      <c r="B199" s="467"/>
      <c r="C199" s="191" t="s">
        <v>8</v>
      </c>
      <c r="D199" s="196" t="s">
        <v>110</v>
      </c>
      <c r="E199" s="180" t="s">
        <v>10</v>
      </c>
      <c r="F199" s="198" t="s">
        <v>345</v>
      </c>
      <c r="G199" s="108">
        <v>18.05</v>
      </c>
      <c r="H199" s="467"/>
      <c r="I199" s="203"/>
      <c r="J199" s="203"/>
      <c r="K199" s="203"/>
      <c r="L199" s="203"/>
      <c r="M199" s="281"/>
      <c r="N199" s="448"/>
      <c r="O199" s="381"/>
      <c r="P199" s="392"/>
      <c r="Q199" s="497"/>
      <c r="R199" s="451"/>
    </row>
    <row r="200" spans="1:18" s="52" customFormat="1" ht="30" x14ac:dyDescent="0.25">
      <c r="A200" s="187" t="s">
        <v>619</v>
      </c>
      <c r="B200" s="198">
        <v>0</v>
      </c>
      <c r="C200" s="191" t="s">
        <v>42</v>
      </c>
      <c r="D200" s="196" t="s">
        <v>111</v>
      </c>
      <c r="E200" s="247" t="s">
        <v>111</v>
      </c>
      <c r="F200" s="247" t="s">
        <v>111</v>
      </c>
      <c r="G200" s="249" t="s">
        <v>111</v>
      </c>
      <c r="H200" s="244">
        <v>4000</v>
      </c>
      <c r="I200" s="203" t="s">
        <v>26</v>
      </c>
      <c r="J200" s="291" t="s">
        <v>35</v>
      </c>
      <c r="K200" s="203" t="s">
        <v>10</v>
      </c>
      <c r="L200" s="203" t="s">
        <v>641</v>
      </c>
      <c r="M200" s="281">
        <v>4000</v>
      </c>
      <c r="N200" s="196" t="s">
        <v>362</v>
      </c>
      <c r="O200" s="176"/>
      <c r="P200" s="186"/>
      <c r="Q200" s="177"/>
      <c r="R200" s="189"/>
    </row>
    <row r="201" spans="1:18" s="52" customFormat="1" ht="30" x14ac:dyDescent="0.25">
      <c r="A201" s="187" t="s">
        <v>620</v>
      </c>
      <c r="B201" s="198">
        <v>0</v>
      </c>
      <c r="C201" s="246" t="s">
        <v>42</v>
      </c>
      <c r="D201" s="247" t="s">
        <v>111</v>
      </c>
      <c r="E201" s="247" t="s">
        <v>111</v>
      </c>
      <c r="F201" s="247" t="s">
        <v>111</v>
      </c>
      <c r="G201" s="249" t="s">
        <v>111</v>
      </c>
      <c r="H201" s="244">
        <v>1000</v>
      </c>
      <c r="I201" s="203" t="s">
        <v>26</v>
      </c>
      <c r="J201" s="203" t="s">
        <v>14</v>
      </c>
      <c r="K201" s="203" t="s">
        <v>10</v>
      </c>
      <c r="L201" s="291" t="s">
        <v>642</v>
      </c>
      <c r="M201" s="281">
        <v>1000</v>
      </c>
      <c r="N201" s="196" t="s">
        <v>11</v>
      </c>
      <c r="O201" s="312" t="s">
        <v>15</v>
      </c>
      <c r="P201" s="318" t="s">
        <v>13</v>
      </c>
      <c r="Q201" s="177"/>
      <c r="R201" s="189"/>
    </row>
    <row r="202" spans="1:18" s="52" customFormat="1" x14ac:dyDescent="0.25">
      <c r="A202" s="187" t="s">
        <v>621</v>
      </c>
      <c r="B202" s="198">
        <v>0</v>
      </c>
      <c r="C202" s="246" t="s">
        <v>42</v>
      </c>
      <c r="D202" s="247" t="s">
        <v>111</v>
      </c>
      <c r="E202" s="247" t="s">
        <v>111</v>
      </c>
      <c r="F202" s="247" t="s">
        <v>111</v>
      </c>
      <c r="G202" s="249" t="s">
        <v>111</v>
      </c>
      <c r="H202" s="244">
        <v>30</v>
      </c>
      <c r="I202" s="203"/>
      <c r="J202" s="203"/>
      <c r="K202" s="203"/>
      <c r="L202" s="203"/>
      <c r="M202" s="281"/>
      <c r="N202" s="196"/>
      <c r="O202" s="176"/>
      <c r="P202" s="186"/>
      <c r="Q202" s="177"/>
      <c r="R202" s="189"/>
    </row>
    <row r="203" spans="1:18" s="52" customFormat="1" x14ac:dyDescent="0.25">
      <c r="A203" s="419" t="s">
        <v>644</v>
      </c>
      <c r="B203" s="384">
        <v>0</v>
      </c>
      <c r="C203" s="384" t="s">
        <v>42</v>
      </c>
      <c r="D203" s="384" t="s">
        <v>111</v>
      </c>
      <c r="E203" s="384" t="s">
        <v>111</v>
      </c>
      <c r="F203" s="384" t="s">
        <v>111</v>
      </c>
      <c r="G203" s="506" t="s">
        <v>111</v>
      </c>
      <c r="H203" s="396">
        <f>478.1+760.8</f>
        <v>1238.9000000000001</v>
      </c>
      <c r="I203" s="273" t="s">
        <v>26</v>
      </c>
      <c r="J203" s="317" t="s">
        <v>33</v>
      </c>
      <c r="K203" s="269" t="s">
        <v>16</v>
      </c>
      <c r="L203" s="273" t="s">
        <v>111</v>
      </c>
      <c r="M203" s="290">
        <f>38.993447+15+423.1</f>
        <v>477.09344700000003</v>
      </c>
      <c r="N203" s="424" t="s">
        <v>11</v>
      </c>
      <c r="O203" s="389" t="s">
        <v>38</v>
      </c>
      <c r="P203" s="378" t="s">
        <v>13</v>
      </c>
      <c r="Q203" s="403"/>
      <c r="R203" s="375"/>
    </row>
    <row r="204" spans="1:18" s="52" customFormat="1" x14ac:dyDescent="0.25">
      <c r="A204" s="421"/>
      <c r="B204" s="385"/>
      <c r="C204" s="385"/>
      <c r="D204" s="385"/>
      <c r="E204" s="385"/>
      <c r="F204" s="385"/>
      <c r="G204" s="507"/>
      <c r="H204" s="398"/>
      <c r="I204" s="306" t="s">
        <v>26</v>
      </c>
      <c r="J204" s="317" t="s">
        <v>33</v>
      </c>
      <c r="K204" s="303" t="s">
        <v>16</v>
      </c>
      <c r="L204" s="306" t="s">
        <v>111</v>
      </c>
      <c r="M204" s="308">
        <f>0.595729+760</f>
        <v>760.59572900000001</v>
      </c>
      <c r="N204" s="425"/>
      <c r="O204" s="390"/>
      <c r="P204" s="379"/>
      <c r="Q204" s="404"/>
      <c r="R204" s="376"/>
    </row>
    <row r="205" spans="1:18" s="52" customFormat="1" ht="15.75" thickBot="1" x14ac:dyDescent="0.3">
      <c r="A205" s="187" t="s">
        <v>622</v>
      </c>
      <c r="B205" s="198">
        <v>0</v>
      </c>
      <c r="C205" s="246" t="s">
        <v>42</v>
      </c>
      <c r="D205" s="247" t="s">
        <v>111</v>
      </c>
      <c r="E205" s="247" t="s">
        <v>111</v>
      </c>
      <c r="F205" s="247" t="s">
        <v>111</v>
      </c>
      <c r="G205" s="249" t="s">
        <v>111</v>
      </c>
      <c r="H205" s="244">
        <v>112</v>
      </c>
      <c r="I205" s="203" t="s">
        <v>26</v>
      </c>
      <c r="J205" s="203" t="s">
        <v>33</v>
      </c>
      <c r="K205" s="203" t="s">
        <v>16</v>
      </c>
      <c r="L205" s="203" t="s">
        <v>111</v>
      </c>
      <c r="M205" s="203">
        <v>112</v>
      </c>
      <c r="N205" s="508"/>
      <c r="O205" s="499"/>
      <c r="P205" s="500"/>
      <c r="Q205" s="501"/>
      <c r="R205" s="502"/>
    </row>
    <row r="206" spans="1:18" ht="15.75" thickBot="1" x14ac:dyDescent="0.3">
      <c r="A206" s="24" t="s">
        <v>121</v>
      </c>
      <c r="B206" s="81">
        <f>SUM(B4:B205)</f>
        <v>33675</v>
      </c>
      <c r="C206" s="22"/>
      <c r="D206" s="22"/>
      <c r="E206" s="22"/>
      <c r="F206" s="22"/>
      <c r="G206" s="37">
        <f>SUM(G4:G205)</f>
        <v>44213.446990999997</v>
      </c>
      <c r="H206" s="158">
        <f>SUM(H4:H205)</f>
        <v>17425.900000000001</v>
      </c>
      <c r="I206" s="158"/>
      <c r="J206" s="22"/>
      <c r="K206" s="22"/>
      <c r="L206" s="22"/>
      <c r="M206" s="37">
        <f>SUM(M4:M205)</f>
        <v>23209.440429000002</v>
      </c>
      <c r="N206" s="22"/>
      <c r="O206" s="22"/>
      <c r="P206" s="22"/>
      <c r="Q206" s="22"/>
      <c r="R206" s="23"/>
    </row>
    <row r="207" spans="1:18" s="52" customFormat="1" ht="15.75" thickBot="1" x14ac:dyDescent="0.3">
      <c r="A207" s="24" t="s">
        <v>477</v>
      </c>
      <c r="B207" s="71"/>
      <c r="C207" s="22"/>
      <c r="D207" s="22"/>
      <c r="E207" s="22"/>
      <c r="F207" s="22"/>
      <c r="G207" s="37">
        <f>SUMIF(C4:C205,"*Supps A*",G4:G205)</f>
        <v>4992.159369</v>
      </c>
      <c r="H207" s="71"/>
      <c r="I207" s="71"/>
      <c r="J207" s="22"/>
      <c r="K207" s="22"/>
      <c r="L207" s="22"/>
      <c r="M207" s="205" t="s">
        <v>111</v>
      </c>
      <c r="N207" s="22"/>
      <c r="O207" s="22"/>
      <c r="P207" s="22"/>
      <c r="Q207" s="22"/>
      <c r="R207" s="23"/>
    </row>
    <row r="208" spans="1:18" s="52" customFormat="1" ht="15.75" thickBot="1" x14ac:dyDescent="0.3">
      <c r="A208" s="24" t="s">
        <v>478</v>
      </c>
      <c r="B208" s="71"/>
      <c r="C208" s="22"/>
      <c r="D208" s="22"/>
      <c r="E208" s="22"/>
      <c r="F208" s="22"/>
      <c r="G208" s="37">
        <f>SUMIF(C4:C205,"*Supps B*",G4:G205)</f>
        <v>36195.198455999998</v>
      </c>
      <c r="H208" s="71"/>
      <c r="I208" s="71"/>
      <c r="J208" s="22"/>
      <c r="K208" s="22"/>
      <c r="L208" s="22"/>
      <c r="M208" s="205" t="s">
        <v>111</v>
      </c>
      <c r="N208" s="22"/>
      <c r="O208" s="22"/>
      <c r="P208" s="22"/>
      <c r="Q208" s="22"/>
      <c r="R208" s="23"/>
    </row>
    <row r="209" spans="1:18" s="52" customFormat="1" ht="15.75" thickBot="1" x14ac:dyDescent="0.3">
      <c r="A209" s="60" t="s">
        <v>479</v>
      </c>
      <c r="B209" s="141"/>
      <c r="C209" s="61"/>
      <c r="D209" s="61"/>
      <c r="E209" s="61"/>
      <c r="F209" s="61"/>
      <c r="G209" s="62">
        <f>SUMIF(C4:C205,"*Supps C*",G4:G205)</f>
        <v>3026.0891659999993</v>
      </c>
      <c r="H209" s="141"/>
      <c r="I209" s="141"/>
      <c r="J209" s="61"/>
      <c r="K209" s="61"/>
      <c r="L209" s="61"/>
      <c r="M209" s="205" t="s">
        <v>111</v>
      </c>
      <c r="N209" s="61"/>
      <c r="O209" s="61"/>
      <c r="P209" s="61"/>
      <c r="Q209" s="61"/>
      <c r="R209" s="63"/>
    </row>
    <row r="210" spans="1:18" s="52" customFormat="1" ht="15.75" thickBot="1" x14ac:dyDescent="0.3">
      <c r="A210" s="60" t="s">
        <v>480</v>
      </c>
      <c r="B210" s="206"/>
      <c r="C210" s="61"/>
      <c r="D210" s="61"/>
      <c r="E210" s="61"/>
      <c r="F210" s="61"/>
      <c r="G210" s="207" t="s">
        <v>111</v>
      </c>
      <c r="H210" s="141"/>
      <c r="I210" s="141"/>
      <c r="J210" s="61"/>
      <c r="K210" s="61"/>
      <c r="L210" s="61"/>
      <c r="M210" s="62">
        <f>SUMIF(I4:I205,"*Mains*",M4:M205)</f>
        <v>9741.5127630000043</v>
      </c>
      <c r="N210" s="61"/>
      <c r="O210" s="61"/>
      <c r="P210" s="61"/>
      <c r="Q210" s="61"/>
      <c r="R210" s="63"/>
    </row>
    <row r="211" spans="1:18" s="52" customFormat="1" ht="15.75" thickBot="1" x14ac:dyDescent="0.3">
      <c r="A211" s="24" t="s">
        <v>604</v>
      </c>
      <c r="B211" s="36"/>
      <c r="C211" s="22"/>
      <c r="D211" s="22"/>
      <c r="E211" s="22"/>
      <c r="F211" s="22"/>
      <c r="G211" s="205" t="s">
        <v>111</v>
      </c>
      <c r="H211" s="36"/>
      <c r="I211" s="36"/>
      <c r="J211" s="22"/>
      <c r="K211" s="22"/>
      <c r="L211" s="22"/>
      <c r="M211" s="37">
        <f>SUMIF(I4:I205,"*Supps A*",M4:M205)</f>
        <v>13467.927666</v>
      </c>
      <c r="N211" s="22"/>
      <c r="O211" s="22"/>
      <c r="P211" s="22"/>
      <c r="Q211" s="22"/>
      <c r="R211" s="23"/>
    </row>
    <row r="212" spans="1:18" s="52" customFormat="1" x14ac:dyDescent="0.25">
      <c r="A212" s="83"/>
      <c r="B212" s="83"/>
      <c r="C212" s="84"/>
      <c r="D212" s="84"/>
      <c r="E212" s="84"/>
      <c r="F212" s="84"/>
      <c r="G212" s="85"/>
      <c r="H212" s="83"/>
      <c r="I212" s="83"/>
      <c r="J212" s="84"/>
      <c r="K212" s="84"/>
      <c r="L212" s="84"/>
      <c r="M212" s="85"/>
      <c r="N212" s="84"/>
      <c r="O212" s="84"/>
      <c r="P212" s="84"/>
      <c r="Q212" s="84"/>
      <c r="R212" s="84"/>
    </row>
    <row r="213" spans="1:18" ht="17.25" x14ac:dyDescent="0.25">
      <c r="A213" s="82" t="s">
        <v>616</v>
      </c>
      <c r="H213" s="82"/>
      <c r="I213" s="82"/>
    </row>
    <row r="214" spans="1:18" s="143" customFormat="1" x14ac:dyDescent="0.25">
      <c r="A214" s="82" t="s">
        <v>494</v>
      </c>
      <c r="H214" s="82"/>
      <c r="I214" s="82"/>
    </row>
    <row r="215" spans="1:18" x14ac:dyDescent="0.25">
      <c r="A215" t="s">
        <v>391</v>
      </c>
    </row>
    <row r="216" spans="1:18" x14ac:dyDescent="0.25">
      <c r="A216" s="82" t="s">
        <v>617</v>
      </c>
      <c r="H216" s="82"/>
      <c r="I216" s="82"/>
      <c r="M216" s="100"/>
    </row>
    <row r="219" spans="1:18" x14ac:dyDescent="0.25">
      <c r="A219" s="292"/>
      <c r="H219" s="98"/>
      <c r="I219" s="98"/>
    </row>
    <row r="220" spans="1:18" s="52" customFormat="1" x14ac:dyDescent="0.25">
      <c r="A220" s="98"/>
      <c r="H220" s="98"/>
      <c r="I220" s="98"/>
    </row>
    <row r="221" spans="1:18" x14ac:dyDescent="0.25">
      <c r="A221" s="292"/>
      <c r="H221" s="98"/>
      <c r="I221" s="98"/>
    </row>
    <row r="222" spans="1:18" x14ac:dyDescent="0.25">
      <c r="A222" s="99"/>
      <c r="B222" s="100"/>
      <c r="H222" s="99"/>
      <c r="I222" s="99"/>
    </row>
    <row r="225" spans="1:9" x14ac:dyDescent="0.25">
      <c r="A225" s="100"/>
      <c r="H225" s="100"/>
      <c r="I225" s="100"/>
    </row>
    <row r="229" spans="1:9" x14ac:dyDescent="0.25">
      <c r="A229" s="100"/>
      <c r="H229" s="100"/>
      <c r="I229" s="100"/>
    </row>
  </sheetData>
  <mergeCells count="609">
    <mergeCell ref="P171:P173"/>
    <mergeCell ref="Q171:Q173"/>
    <mergeCell ref="R171:R173"/>
    <mergeCell ref="R154:R156"/>
    <mergeCell ref="R163:R166"/>
    <mergeCell ref="L124:L125"/>
    <mergeCell ref="N130:N132"/>
    <mergeCell ref="O130:O132"/>
    <mergeCell ref="R169:R170"/>
    <mergeCell ref="R143:R145"/>
    <mergeCell ref="O140:O142"/>
    <mergeCell ref="M126:M127"/>
    <mergeCell ref="P135:P136"/>
    <mergeCell ref="Q135:Q136"/>
    <mergeCell ref="P130:P132"/>
    <mergeCell ref="Q140:Q142"/>
    <mergeCell ref="M124:M125"/>
    <mergeCell ref="R126:R129"/>
    <mergeCell ref="Q126:Q129"/>
    <mergeCell ref="R124:R125"/>
    <mergeCell ref="L157:L161"/>
    <mergeCell ref="M157:M161"/>
    <mergeCell ref="L126:L127"/>
    <mergeCell ref="A203:A204"/>
    <mergeCell ref="B203:B204"/>
    <mergeCell ref="C203:C204"/>
    <mergeCell ref="D203:D204"/>
    <mergeCell ref="E203:E204"/>
    <mergeCell ref="F203:F204"/>
    <mergeCell ref="G203:G204"/>
    <mergeCell ref="H203:H204"/>
    <mergeCell ref="N203:N205"/>
    <mergeCell ref="N118:N119"/>
    <mergeCell ref="O118:O119"/>
    <mergeCell ref="P118:P119"/>
    <mergeCell ref="O203:O205"/>
    <mergeCell ref="P203:P205"/>
    <mergeCell ref="Q203:Q205"/>
    <mergeCell ref="R203:R205"/>
    <mergeCell ref="M165:M166"/>
    <mergeCell ref="R135:R136"/>
    <mergeCell ref="Q197:Q199"/>
    <mergeCell ref="O186:O188"/>
    <mergeCell ref="O176:O178"/>
    <mergeCell ref="N171:N173"/>
    <mergeCell ref="O171:O173"/>
    <mergeCell ref="Q146:Q151"/>
    <mergeCell ref="Q154:Q156"/>
    <mergeCell ref="N174:N175"/>
    <mergeCell ref="Q169:Q170"/>
    <mergeCell ref="R186:R188"/>
    <mergeCell ref="R197:R199"/>
    <mergeCell ref="R130:R132"/>
    <mergeCell ref="R140:R142"/>
    <mergeCell ref="R137:R138"/>
    <mergeCell ref="P140:P142"/>
    <mergeCell ref="C169:C170"/>
    <mergeCell ref="D169:D170"/>
    <mergeCell ref="E169:E170"/>
    <mergeCell ref="F169:F170"/>
    <mergeCell ref="G169:G170"/>
    <mergeCell ref="N169:N170"/>
    <mergeCell ref="O169:O170"/>
    <mergeCell ref="P169:P170"/>
    <mergeCell ref="F85:F86"/>
    <mergeCell ref="G85:G86"/>
    <mergeCell ref="O83:O90"/>
    <mergeCell ref="P83:P90"/>
    <mergeCell ref="N124:N125"/>
    <mergeCell ref="O124:O125"/>
    <mergeCell ref="O137:O138"/>
    <mergeCell ref="N146:N151"/>
    <mergeCell ref="O146:O151"/>
    <mergeCell ref="P146:P151"/>
    <mergeCell ref="N137:N138"/>
    <mergeCell ref="O135:O136"/>
    <mergeCell ref="N126:N129"/>
    <mergeCell ref="O143:O145"/>
    <mergeCell ref="N110:N111"/>
    <mergeCell ref="O110:O111"/>
    <mergeCell ref="A104:A109"/>
    <mergeCell ref="B104:B109"/>
    <mergeCell ref="C107:C109"/>
    <mergeCell ref="D107:D109"/>
    <mergeCell ref="E107:E109"/>
    <mergeCell ref="F107:F109"/>
    <mergeCell ref="H104:H109"/>
    <mergeCell ref="G107:G109"/>
    <mergeCell ref="C104:C106"/>
    <mergeCell ref="G104:G106"/>
    <mergeCell ref="A96:A99"/>
    <mergeCell ref="R59:R61"/>
    <mergeCell ref="R62:R69"/>
    <mergeCell ref="N71:N75"/>
    <mergeCell ref="O71:O75"/>
    <mergeCell ref="P71:P75"/>
    <mergeCell ref="Q71:Q75"/>
    <mergeCell ref="N41:N42"/>
    <mergeCell ref="Q56:Q58"/>
    <mergeCell ref="Q43:Q46"/>
    <mergeCell ref="R53:R54"/>
    <mergeCell ref="R43:R46"/>
    <mergeCell ref="R47:R50"/>
    <mergeCell ref="O41:O42"/>
    <mergeCell ref="N56:N58"/>
    <mergeCell ref="O43:O46"/>
    <mergeCell ref="P43:P46"/>
    <mergeCell ref="Q41:Q42"/>
    <mergeCell ref="Q53:Q54"/>
    <mergeCell ref="R56:R58"/>
    <mergeCell ref="K71:K74"/>
    <mergeCell ref="L71:L74"/>
    <mergeCell ref="M71:M74"/>
    <mergeCell ref="N83:N90"/>
    <mergeCell ref="N21:N24"/>
    <mergeCell ref="P7:P8"/>
    <mergeCell ref="Q7:Q8"/>
    <mergeCell ref="N36:N40"/>
    <mergeCell ref="R25:R26"/>
    <mergeCell ref="R41:R42"/>
    <mergeCell ref="H30:H33"/>
    <mergeCell ref="Q30:Q33"/>
    <mergeCell ref="N34:N35"/>
    <mergeCell ref="J28:J29"/>
    <mergeCell ref="R34:R35"/>
    <mergeCell ref="M30:M33"/>
    <mergeCell ref="K36:K40"/>
    <mergeCell ref="L36:L40"/>
    <mergeCell ref="M36:M40"/>
    <mergeCell ref="P30:P33"/>
    <mergeCell ref="Q34:Q35"/>
    <mergeCell ref="N28:N29"/>
    <mergeCell ref="P36:P40"/>
    <mergeCell ref="Q36:Q40"/>
    <mergeCell ref="H28:H29"/>
    <mergeCell ref="J36:J40"/>
    <mergeCell ref="J41:J42"/>
    <mergeCell ref="P34:P35"/>
    <mergeCell ref="O9:O16"/>
    <mergeCell ref="P9:P16"/>
    <mergeCell ref="R9:R16"/>
    <mergeCell ref="R36:R40"/>
    <mergeCell ref="O28:O29"/>
    <mergeCell ref="P28:P29"/>
    <mergeCell ref="Q28:Q29"/>
    <mergeCell ref="P17:P20"/>
    <mergeCell ref="Q17:Q20"/>
    <mergeCell ref="R17:R20"/>
    <mergeCell ref="Q9:Q16"/>
    <mergeCell ref="P41:P42"/>
    <mergeCell ref="J59:J61"/>
    <mergeCell ref="K59:K61"/>
    <mergeCell ref="R4:R6"/>
    <mergeCell ref="R28:R29"/>
    <mergeCell ref="B28:B29"/>
    <mergeCell ref="N7:N8"/>
    <mergeCell ref="K28:K29"/>
    <mergeCell ref="L28:L29"/>
    <mergeCell ref="M28:M29"/>
    <mergeCell ref="J30:J33"/>
    <mergeCell ref="K30:K33"/>
    <mergeCell ref="L30:L33"/>
    <mergeCell ref="R30:R33"/>
    <mergeCell ref="P21:P24"/>
    <mergeCell ref="Q21:Q24"/>
    <mergeCell ref="N25:N26"/>
    <mergeCell ref="O25:O26"/>
    <mergeCell ref="P25:P26"/>
    <mergeCell ref="Q25:Q26"/>
    <mergeCell ref="O21:O24"/>
    <mergeCell ref="R7:R8"/>
    <mergeCell ref="R21:R24"/>
    <mergeCell ref="N9:N16"/>
    <mergeCell ref="C89:C90"/>
    <mergeCell ref="D89:D90"/>
    <mergeCell ref="E89:E90"/>
    <mergeCell ref="F89:F90"/>
    <mergeCell ref="G89:G90"/>
    <mergeCell ref="C87:C88"/>
    <mergeCell ref="D87:D88"/>
    <mergeCell ref="E87:E88"/>
    <mergeCell ref="F87:F88"/>
    <mergeCell ref="G87:G88"/>
    <mergeCell ref="B2:G2"/>
    <mergeCell ref="H2:M2"/>
    <mergeCell ref="H34:H35"/>
    <mergeCell ref="H36:H40"/>
    <mergeCell ref="H41:H51"/>
    <mergeCell ref="H53:H70"/>
    <mergeCell ref="B30:B33"/>
    <mergeCell ref="B36:B40"/>
    <mergeCell ref="L43:L46"/>
    <mergeCell ref="M43:M46"/>
    <mergeCell ref="J47:J50"/>
    <mergeCell ref="C56:C58"/>
    <mergeCell ref="D56:D58"/>
    <mergeCell ref="E56:E58"/>
    <mergeCell ref="F56:F58"/>
    <mergeCell ref="G56:G58"/>
    <mergeCell ref="C53:C54"/>
    <mergeCell ref="D53:D54"/>
    <mergeCell ref="E53:E54"/>
    <mergeCell ref="F53:F54"/>
    <mergeCell ref="G53:G54"/>
    <mergeCell ref="K41:K42"/>
    <mergeCell ref="L41:L42"/>
    <mergeCell ref="M41:M42"/>
    <mergeCell ref="Q130:Q132"/>
    <mergeCell ref="P112:P113"/>
    <mergeCell ref="P137:P138"/>
    <mergeCell ref="Q137:Q138"/>
    <mergeCell ref="P124:P125"/>
    <mergeCell ref="Q124:Q125"/>
    <mergeCell ref="R76:R79"/>
    <mergeCell ref="R118:R119"/>
    <mergeCell ref="R110:R111"/>
    <mergeCell ref="Q101:Q103"/>
    <mergeCell ref="Q104:Q106"/>
    <mergeCell ref="Q62:Q69"/>
    <mergeCell ref="R96:R99"/>
    <mergeCell ref="Q96:Q99"/>
    <mergeCell ref="P115:P116"/>
    <mergeCell ref="Q115:Q116"/>
    <mergeCell ref="N101:N103"/>
    <mergeCell ref="O101:O103"/>
    <mergeCell ref="P101:P103"/>
    <mergeCell ref="N107:N109"/>
    <mergeCell ref="O107:O109"/>
    <mergeCell ref="P107:P109"/>
    <mergeCell ref="N104:N106"/>
    <mergeCell ref="O104:O106"/>
    <mergeCell ref="P104:P106"/>
    <mergeCell ref="R71:R75"/>
    <mergeCell ref="R91:R95"/>
    <mergeCell ref="Q80:Q82"/>
    <mergeCell ref="Q112:Q113"/>
    <mergeCell ref="R80:R82"/>
    <mergeCell ref="R101:R103"/>
    <mergeCell ref="R104:R106"/>
    <mergeCell ref="R112:R113"/>
    <mergeCell ref="R115:R116"/>
    <mergeCell ref="B197:B199"/>
    <mergeCell ref="A192:A195"/>
    <mergeCell ref="N135:N136"/>
    <mergeCell ref="H197:H199"/>
    <mergeCell ref="J189:J191"/>
    <mergeCell ref="K189:K191"/>
    <mergeCell ref="L189:L191"/>
    <mergeCell ref="M189:M191"/>
    <mergeCell ref="H140:H142"/>
    <mergeCell ref="H143:H145"/>
    <mergeCell ref="H146:H151"/>
    <mergeCell ref="H152:H153"/>
    <mergeCell ref="I189:I191"/>
    <mergeCell ref="H176:H178"/>
    <mergeCell ref="I176:I178"/>
    <mergeCell ref="J176:J178"/>
    <mergeCell ref="K176:K178"/>
    <mergeCell ref="L176:L178"/>
    <mergeCell ref="A180:A191"/>
    <mergeCell ref="G154:G156"/>
    <mergeCell ref="N140:N142"/>
    <mergeCell ref="N143:N145"/>
    <mergeCell ref="B180:B191"/>
    <mergeCell ref="B140:B142"/>
    <mergeCell ref="I184:I185"/>
    <mergeCell ref="H192:H195"/>
    <mergeCell ref="R146:R151"/>
    <mergeCell ref="Q193:Q195"/>
    <mergeCell ref="R193:R195"/>
    <mergeCell ref="N186:N188"/>
    <mergeCell ref="R174:R175"/>
    <mergeCell ref="M176:M178"/>
    <mergeCell ref="N154:N156"/>
    <mergeCell ref="Q186:Q188"/>
    <mergeCell ref="R176:R178"/>
    <mergeCell ref="R157:R161"/>
    <mergeCell ref="P176:P178"/>
    <mergeCell ref="O154:O156"/>
    <mergeCell ref="P154:P156"/>
    <mergeCell ref="O174:O175"/>
    <mergeCell ref="P174:P175"/>
    <mergeCell ref="I146:I151"/>
    <mergeCell ref="I165:I166"/>
    <mergeCell ref="J165:J166"/>
    <mergeCell ref="K165:K166"/>
    <mergeCell ref="L165:L166"/>
    <mergeCell ref="L146:L151"/>
    <mergeCell ref="M146:M151"/>
    <mergeCell ref="A197:A199"/>
    <mergeCell ref="N197:N199"/>
    <mergeCell ref="O197:O199"/>
    <mergeCell ref="P197:P199"/>
    <mergeCell ref="Q184:Q185"/>
    <mergeCell ref="R184:R185"/>
    <mergeCell ref="N189:N191"/>
    <mergeCell ref="O189:O191"/>
    <mergeCell ref="P189:P191"/>
    <mergeCell ref="Q189:Q191"/>
    <mergeCell ref="R189:R191"/>
    <mergeCell ref="N184:N185"/>
    <mergeCell ref="O184:O185"/>
    <mergeCell ref="P184:P185"/>
    <mergeCell ref="N193:N195"/>
    <mergeCell ref="O193:O195"/>
    <mergeCell ref="P193:P195"/>
    <mergeCell ref="J184:J185"/>
    <mergeCell ref="K184:K185"/>
    <mergeCell ref="L184:L185"/>
    <mergeCell ref="M184:M185"/>
    <mergeCell ref="B192:B195"/>
    <mergeCell ref="P186:P188"/>
    <mergeCell ref="H180:H191"/>
    <mergeCell ref="A176:A178"/>
    <mergeCell ref="A118:A119"/>
    <mergeCell ref="B118:B119"/>
    <mergeCell ref="B124:B125"/>
    <mergeCell ref="A36:A40"/>
    <mergeCell ref="A30:A33"/>
    <mergeCell ref="N176:N178"/>
    <mergeCell ref="Q176:Q178"/>
    <mergeCell ref="H135:H138"/>
    <mergeCell ref="C174:C175"/>
    <mergeCell ref="D174:D175"/>
    <mergeCell ref="E174:E175"/>
    <mergeCell ref="F174:F175"/>
    <mergeCell ref="G174:G175"/>
    <mergeCell ref="D154:D156"/>
    <mergeCell ref="E154:E156"/>
    <mergeCell ref="F154:F156"/>
    <mergeCell ref="B176:B178"/>
    <mergeCell ref="B146:B151"/>
    <mergeCell ref="B163:B170"/>
    <mergeCell ref="M76:M77"/>
    <mergeCell ref="I126:I127"/>
    <mergeCell ref="J146:J151"/>
    <mergeCell ref="K146:K151"/>
    <mergeCell ref="C154:C156"/>
    <mergeCell ref="C140:C141"/>
    <mergeCell ref="C144:C145"/>
    <mergeCell ref="K126:K127"/>
    <mergeCell ref="G101:G103"/>
    <mergeCell ref="D140:D141"/>
    <mergeCell ref="E140:E141"/>
    <mergeCell ref="F140:F141"/>
    <mergeCell ref="G140:G141"/>
    <mergeCell ref="D144:D145"/>
    <mergeCell ref="E144:E145"/>
    <mergeCell ref="F144:F145"/>
    <mergeCell ref="G144:G145"/>
    <mergeCell ref="H110:H111"/>
    <mergeCell ref="F110:F111"/>
    <mergeCell ref="G110:G111"/>
    <mergeCell ref="F118:F119"/>
    <mergeCell ref="G118:G119"/>
    <mergeCell ref="H112:H114"/>
    <mergeCell ref="J126:J127"/>
    <mergeCell ref="F104:F106"/>
    <mergeCell ref="H115:H117"/>
    <mergeCell ref="A28:A29"/>
    <mergeCell ref="B96:B99"/>
    <mergeCell ref="A143:A145"/>
    <mergeCell ref="P143:P145"/>
    <mergeCell ref="Q143:Q145"/>
    <mergeCell ref="H130:H133"/>
    <mergeCell ref="P126:P129"/>
    <mergeCell ref="O126:O129"/>
    <mergeCell ref="H118:H119"/>
    <mergeCell ref="H124:H125"/>
    <mergeCell ref="H126:H129"/>
    <mergeCell ref="Q118:Q119"/>
    <mergeCell ref="N115:N116"/>
    <mergeCell ref="O115:O116"/>
    <mergeCell ref="D118:D119"/>
    <mergeCell ref="E118:E119"/>
    <mergeCell ref="D101:D103"/>
    <mergeCell ref="E101:E103"/>
    <mergeCell ref="F101:F103"/>
    <mergeCell ref="E110:E111"/>
    <mergeCell ref="D110:D111"/>
    <mergeCell ref="H100:H103"/>
    <mergeCell ref="Q76:Q79"/>
    <mergeCell ref="E104:E106"/>
    <mergeCell ref="A53:A70"/>
    <mergeCell ref="B53:B70"/>
    <mergeCell ref="N4:N6"/>
    <mergeCell ref="O4:O6"/>
    <mergeCell ref="P4:P6"/>
    <mergeCell ref="Q4:Q6"/>
    <mergeCell ref="Q59:Q61"/>
    <mergeCell ref="N96:N99"/>
    <mergeCell ref="O96:O99"/>
    <mergeCell ref="P47:P50"/>
    <mergeCell ref="Q47:Q50"/>
    <mergeCell ref="N76:N79"/>
    <mergeCell ref="O76:O79"/>
    <mergeCell ref="P76:P79"/>
    <mergeCell ref="N17:N20"/>
    <mergeCell ref="O17:O20"/>
    <mergeCell ref="O7:O8"/>
    <mergeCell ref="N30:N33"/>
    <mergeCell ref="O30:O33"/>
    <mergeCell ref="O56:O58"/>
    <mergeCell ref="P56:P58"/>
    <mergeCell ref="H96:H99"/>
    <mergeCell ref="N43:N46"/>
    <mergeCell ref="P91:P95"/>
    <mergeCell ref="A34:A35"/>
    <mergeCell ref="B34:B35"/>
    <mergeCell ref="C34:C35"/>
    <mergeCell ref="D34:D35"/>
    <mergeCell ref="E34:E35"/>
    <mergeCell ref="F34:F35"/>
    <mergeCell ref="G34:G35"/>
    <mergeCell ref="A41:A51"/>
    <mergeCell ref="O34:O35"/>
    <mergeCell ref="N47:N50"/>
    <mergeCell ref="O47:O50"/>
    <mergeCell ref="O36:O40"/>
    <mergeCell ref="L47:L50"/>
    <mergeCell ref="M47:M50"/>
    <mergeCell ref="B41:B51"/>
    <mergeCell ref="M78:M79"/>
    <mergeCell ref="M83:M84"/>
    <mergeCell ref="K43:K46"/>
    <mergeCell ref="C85:C86"/>
    <mergeCell ref="D85:D86"/>
    <mergeCell ref="E85:E86"/>
    <mergeCell ref="P59:P61"/>
    <mergeCell ref="K47:K50"/>
    <mergeCell ref="J71:J74"/>
    <mergeCell ref="J76:J77"/>
    <mergeCell ref="N59:N61"/>
    <mergeCell ref="O59:O61"/>
    <mergeCell ref="N62:N69"/>
    <mergeCell ref="C83:C84"/>
    <mergeCell ref="D83:D84"/>
    <mergeCell ref="E83:E84"/>
    <mergeCell ref="F83:F84"/>
    <mergeCell ref="G83:G84"/>
    <mergeCell ref="N53:N54"/>
    <mergeCell ref="O53:O54"/>
    <mergeCell ref="P53:P54"/>
    <mergeCell ref="B100:B103"/>
    <mergeCell ref="A135:A138"/>
    <mergeCell ref="Q174:Q175"/>
    <mergeCell ref="H154:H156"/>
    <mergeCell ref="H157:H161"/>
    <mergeCell ref="H163:H170"/>
    <mergeCell ref="H174:H175"/>
    <mergeCell ref="O163:O166"/>
    <mergeCell ref="P163:P166"/>
    <mergeCell ref="Q163:Q166"/>
    <mergeCell ref="N157:N161"/>
    <mergeCell ref="O157:O161"/>
    <mergeCell ref="P157:P161"/>
    <mergeCell ref="Q157:Q161"/>
    <mergeCell ref="H171:H173"/>
    <mergeCell ref="N163:N166"/>
    <mergeCell ref="I157:I161"/>
    <mergeCell ref="J157:J161"/>
    <mergeCell ref="K157:K161"/>
    <mergeCell ref="B126:B129"/>
    <mergeCell ref="B152:B153"/>
    <mergeCell ref="B143:B145"/>
    <mergeCell ref="B171:B173"/>
    <mergeCell ref="B135:B138"/>
    <mergeCell ref="A110:A111"/>
    <mergeCell ref="B110:B111"/>
    <mergeCell ref="C118:C119"/>
    <mergeCell ref="I47:I50"/>
    <mergeCell ref="I59:I61"/>
    <mergeCell ref="I62:I65"/>
    <mergeCell ref="I66:I68"/>
    <mergeCell ref="C110:C111"/>
    <mergeCell ref="A126:A129"/>
    <mergeCell ref="D104:D106"/>
    <mergeCell ref="C101:C103"/>
    <mergeCell ref="I71:I74"/>
    <mergeCell ref="I76:I77"/>
    <mergeCell ref="I78:I79"/>
    <mergeCell ref="I83:I84"/>
    <mergeCell ref="I85:I86"/>
    <mergeCell ref="I91:I94"/>
    <mergeCell ref="I96:I97"/>
    <mergeCell ref="I98:I99"/>
    <mergeCell ref="A115:A117"/>
    <mergeCell ref="B115:B117"/>
    <mergeCell ref="A112:A114"/>
    <mergeCell ref="B112:B114"/>
    <mergeCell ref="A100:A103"/>
    <mergeCell ref="A174:A175"/>
    <mergeCell ref="B174:B175"/>
    <mergeCell ref="A140:A142"/>
    <mergeCell ref="A146:A151"/>
    <mergeCell ref="B130:B133"/>
    <mergeCell ref="B157:B161"/>
    <mergeCell ref="A171:A173"/>
    <mergeCell ref="A157:A161"/>
    <mergeCell ref="A163:A170"/>
    <mergeCell ref="A154:A156"/>
    <mergeCell ref="B154:B156"/>
    <mergeCell ref="A152:A153"/>
    <mergeCell ref="A130:A133"/>
    <mergeCell ref="A4:A27"/>
    <mergeCell ref="H4:H27"/>
    <mergeCell ref="A121:A123"/>
    <mergeCell ref="B121:B123"/>
    <mergeCell ref="H121:H123"/>
    <mergeCell ref="I124:I125"/>
    <mergeCell ref="J124:J125"/>
    <mergeCell ref="K124:K125"/>
    <mergeCell ref="I21:I24"/>
    <mergeCell ref="J21:J24"/>
    <mergeCell ref="K21:K24"/>
    <mergeCell ref="A71:A95"/>
    <mergeCell ref="B71:B95"/>
    <mergeCell ref="C94:C95"/>
    <mergeCell ref="D94:D95"/>
    <mergeCell ref="E94:E95"/>
    <mergeCell ref="F94:F95"/>
    <mergeCell ref="G94:G95"/>
    <mergeCell ref="I28:I29"/>
    <mergeCell ref="I30:I33"/>
    <mergeCell ref="I36:I40"/>
    <mergeCell ref="I41:I42"/>
    <mergeCell ref="I43:I46"/>
    <mergeCell ref="A124:A125"/>
    <mergeCell ref="H71:H95"/>
    <mergeCell ref="J78:J79"/>
    <mergeCell ref="K78:K79"/>
    <mergeCell ref="L78:L79"/>
    <mergeCell ref="J83:J84"/>
    <mergeCell ref="K83:K84"/>
    <mergeCell ref="L83:L84"/>
    <mergeCell ref="J85:J86"/>
    <mergeCell ref="K85:K86"/>
    <mergeCell ref="J91:J94"/>
    <mergeCell ref="L85:L86"/>
    <mergeCell ref="K91:K94"/>
    <mergeCell ref="L91:L94"/>
    <mergeCell ref="C80:C82"/>
    <mergeCell ref="D80:D82"/>
    <mergeCell ref="E80:E82"/>
    <mergeCell ref="F80:F82"/>
    <mergeCell ref="G80:G82"/>
    <mergeCell ref="C74:C75"/>
    <mergeCell ref="D74:D75"/>
    <mergeCell ref="E74:E75"/>
    <mergeCell ref="F74:F75"/>
    <mergeCell ref="G74:G75"/>
    <mergeCell ref="B4:B27"/>
    <mergeCell ref="C68:C69"/>
    <mergeCell ref="D68:D69"/>
    <mergeCell ref="E68:E69"/>
    <mergeCell ref="F68:F69"/>
    <mergeCell ref="G68:G69"/>
    <mergeCell ref="O62:O69"/>
    <mergeCell ref="P62:P69"/>
    <mergeCell ref="I9:I16"/>
    <mergeCell ref="J9:J16"/>
    <mergeCell ref="K9:K16"/>
    <mergeCell ref="L9:L16"/>
    <mergeCell ref="M9:M16"/>
    <mergeCell ref="I17:I20"/>
    <mergeCell ref="J17:J20"/>
    <mergeCell ref="K17:K20"/>
    <mergeCell ref="L17:L20"/>
    <mergeCell ref="M17:M20"/>
    <mergeCell ref="J62:J65"/>
    <mergeCell ref="K62:K65"/>
    <mergeCell ref="L62:L65"/>
    <mergeCell ref="M62:M65"/>
    <mergeCell ref="J66:J68"/>
    <mergeCell ref="L21:L24"/>
    <mergeCell ref="P80:P82"/>
    <mergeCell ref="O91:O95"/>
    <mergeCell ref="N80:N82"/>
    <mergeCell ref="O80:O82"/>
    <mergeCell ref="N91:N95"/>
    <mergeCell ref="P96:P99"/>
    <mergeCell ref="J98:J99"/>
    <mergeCell ref="K98:K99"/>
    <mergeCell ref="M21:M24"/>
    <mergeCell ref="K76:K77"/>
    <mergeCell ref="L76:L77"/>
    <mergeCell ref="J43:J46"/>
    <mergeCell ref="L98:L99"/>
    <mergeCell ref="M98:M99"/>
    <mergeCell ref="L59:L61"/>
    <mergeCell ref="M59:M61"/>
    <mergeCell ref="M85:M86"/>
    <mergeCell ref="K66:K68"/>
    <mergeCell ref="L66:L68"/>
    <mergeCell ref="M66:M68"/>
    <mergeCell ref="M91:M94"/>
    <mergeCell ref="K96:K97"/>
    <mergeCell ref="L96:L97"/>
    <mergeCell ref="M96:M97"/>
    <mergeCell ref="N112:N113"/>
    <mergeCell ref="Q83:Q90"/>
    <mergeCell ref="R83:R90"/>
    <mergeCell ref="Q107:Q109"/>
    <mergeCell ref="R107:R109"/>
    <mergeCell ref="Q110:Q111"/>
    <mergeCell ref="O112:O113"/>
    <mergeCell ref="P110:P111"/>
    <mergeCell ref="J96:J97"/>
    <mergeCell ref="Q91:Q95"/>
  </mergeCells>
  <hyperlinks>
    <hyperlink ref="O9" r:id="rId1" display="https://www.pbo-dpb.gc.ca/web/default/files/Documents/Info%20Requests/2020/IR0528_PHAC_COVID19_update_request_e.pdf" xr:uid="{5E1AF3C0-608B-484F-8F1A-F8EF363B1388}"/>
    <hyperlink ref="O9:O16" r:id="rId2" display="IR0528" xr:uid="{9F697695-9EF8-4513-836E-235754965479}"/>
    <hyperlink ref="O4" r:id="rId3" xr:uid="{98A3D79B-89F0-4EBE-B2EB-A8AA8D1AF938}"/>
    <hyperlink ref="O17:O18" r:id="rId4" display="IR0551" xr:uid="{B2E5726E-6EDF-47B6-BF06-A62099AFE345}"/>
    <hyperlink ref="O7:O8" r:id="rId5" display="IR0550" xr:uid="{E8467A6B-359F-40D7-A396-C0A74B563F2C}"/>
    <hyperlink ref="O21:O24" r:id="rId6" display="IR0559" xr:uid="{6A7D4DB4-A292-4738-9D4C-14377B44FB2A}"/>
    <hyperlink ref="O28:O29" r:id="rId7" display="IR0550" xr:uid="{C3E69B43-942B-4FD5-8719-6ED10EB11C8B}"/>
    <hyperlink ref="O30" r:id="rId8" display="https://www.pbo-dpb.gc.ca/web/default/files/Documents/Info%20Requests/2020/IR0462_CIRNAC_COVID-19_Measures_request_e_signed.pdf" xr:uid="{CD0CB7C4-C4BD-4E83-B557-DEB8495691F2}"/>
    <hyperlink ref="O30:O32" r:id="rId9" display="IR0462" xr:uid="{9F6F9DF6-3869-4C73-B45A-3A4B08E1388D}"/>
    <hyperlink ref="O34" r:id="rId10" xr:uid="{37D8571E-C0DA-4440-8E0A-A1D79F07E845}"/>
    <hyperlink ref="O36" r:id="rId11" display="https://www.pbo-dpb.gc.ca/web/default/files/Documents/Info%20Requests/2020/IR0470_ISC_COVID-19_Measures_request_e_signed.pdf" xr:uid="{3E6F8919-AF9C-4CB1-90EF-FB4802546C17}"/>
    <hyperlink ref="O36:O37" r:id="rId12" display="IR0470" xr:uid="{91259797-5B94-48C1-9CF2-A7CA43F19F35}"/>
    <hyperlink ref="O43" r:id="rId13" xr:uid="{CAD7B032-2805-4C40-8FEF-B25B6C5C93E8}"/>
    <hyperlink ref="O47" r:id="rId14" xr:uid="{1EC43AF1-4BA5-4F16-9059-D2BA0D2CDEC4}"/>
    <hyperlink ref="O41" r:id="rId15" xr:uid="{C57B1A1F-DDC2-470C-A93F-DFFEE3F7232F}"/>
    <hyperlink ref="O56" r:id="rId16" xr:uid="{88E5E475-EB12-4C20-8039-92C2C344C228}"/>
    <hyperlink ref="O59" r:id="rId17" display="https://www.pbo-dpb.gc.ca/web/default/files/Documents/Info%20Requests/2020/IR0478_CIHR_COVID-19_ltr_e.pdf" xr:uid="{7AC59A19-A165-4C86-AD0D-230CB38467D9}"/>
    <hyperlink ref="O59:O61" r:id="rId18" display="IR0478" xr:uid="{615A14A4-65D4-4C93-994A-BEE159D0B59E}"/>
    <hyperlink ref="O62" r:id="rId19" display="https://www.pbo-dpb.gc.ca/web/default/files/Documents/Info%20Requests/2020/IR0528_PHAC_COVID19_update_request_e.pdf" xr:uid="{AD7CF7CF-621F-46AF-AB79-2EE3EEF6079F}"/>
    <hyperlink ref="O53" r:id="rId20" xr:uid="{C3759209-5DB8-4081-AFE7-1D3716A53FB8}"/>
    <hyperlink ref="O55" r:id="rId21" xr:uid="{6B9A4E81-F5C6-4EC1-8DF0-27637AB5E32B}"/>
    <hyperlink ref="O96" r:id="rId22" xr:uid="{DAF5CEF6-6D14-47FB-A37A-6E17BA8A98C7}"/>
    <hyperlink ref="O112" r:id="rId23" xr:uid="{3D56289E-D585-4763-ABFA-BB309361F700}"/>
    <hyperlink ref="O115" r:id="rId24" xr:uid="{CFA8FD06-B76A-4C6C-A641-0A12D521C0B2}"/>
    <hyperlink ref="O125" r:id="rId25" display="IR0475" xr:uid="{BD1D4B67-A68A-437E-90E7-8F3C5FF0EE6F}"/>
    <hyperlink ref="O130" r:id="rId26" xr:uid="{74E78B6C-301F-48B1-8AD6-4C26CBECB477}"/>
    <hyperlink ref="O135" r:id="rId27" display="https://www.pbo-dpb.gc.ca/web/default/files/Documents/Info%20Requests/2020/IR0456_AAFC_COVID-19_Allocations_request_e_signed.pdf" xr:uid="{0F56A4BB-4FC1-4C3C-9FE3-D564916E436B}"/>
    <hyperlink ref="O135:O136" r:id="rId28" display="IR0456" xr:uid="{8E9E598D-2694-442E-9FD6-5C0F611922C1}"/>
    <hyperlink ref="O137:O138" r:id="rId29" display="IR0549" xr:uid="{5668EE98-1A94-4BF9-9188-2DABEEBE8EDF}"/>
    <hyperlink ref="O140:O142" r:id="rId30" display="IR0549" xr:uid="{599AA572-55BD-4997-B604-37CA434DA5D0}"/>
    <hyperlink ref="O146" r:id="rId31" xr:uid="{37900696-DA95-4B66-B9D1-E9A430B089DC}"/>
    <hyperlink ref="O157" r:id="rId32" display="https://www.pbo-dpb.gc.ca/web/default/files/Documents/Info%20Requests/2020/IR0529_PSEP_COVID19_update_request_e.pdf" xr:uid="{F6BE9027-F26C-43E3-A412-854ABC69557E}"/>
    <hyperlink ref="O157:O161" r:id="rId33" display="IR0529" xr:uid="{1F09D47B-B149-4EB1-B42F-4066027C1AE2}"/>
    <hyperlink ref="O163" r:id="rId34" xr:uid="{8A800D6D-0430-48AC-948E-143A153CE891}"/>
    <hyperlink ref="O167" r:id="rId35" xr:uid="{31655FC9-F83E-4102-B579-40D5DFDCD437}"/>
    <hyperlink ref="O171" r:id="rId36" xr:uid="{A60C6F04-4BF0-4805-9C24-8A3532DB94D5}"/>
    <hyperlink ref="O176" r:id="rId37" xr:uid="{DFF3EC50-F409-4965-A881-76F6E2BCC5DA}"/>
    <hyperlink ref="O179" r:id="rId38" xr:uid="{64B662C7-AFE2-42A3-8FF0-7A2A45BF588F}"/>
    <hyperlink ref="O189" r:id="rId39" xr:uid="{ABA7F3FD-2896-48B8-82FD-C286E9A4239C}"/>
    <hyperlink ref="O183" r:id="rId40" xr:uid="{1B5E6ACE-458F-45AD-AF23-4183496BC6BA}"/>
    <hyperlink ref="O181" r:id="rId41" xr:uid="{5915D695-AC74-4B82-9A2C-1B438E100DEF}"/>
    <hyperlink ref="O180" r:id="rId42" xr:uid="{F3AC792C-EE5D-4220-A79A-3B611D6C65D6}"/>
    <hyperlink ref="O186" r:id="rId43" xr:uid="{B694104C-5824-4AF8-B350-BAE20A926D87}"/>
    <hyperlink ref="O182" r:id="rId44" xr:uid="{E7A4A0BE-966F-4397-8724-4CD4BCBEEA89}"/>
    <hyperlink ref="O196" r:id="rId45" xr:uid="{CFFD0A30-A463-4651-9C39-3E1055E04D8F}"/>
    <hyperlink ref="O197:O199" r:id="rId46" display="IR0467" xr:uid="{1B5A0DD9-A937-46B4-AFA1-B746A4B995C6}"/>
    <hyperlink ref="O197" r:id="rId47" display="IR0477" xr:uid="{91EF7E35-6555-41C2-BACD-CE47DEB82BB3}"/>
    <hyperlink ref="O83" r:id="rId48" display="https://www.pbo-dpb.gc.ca/web/default/files/Documents/Info%20Requests/2020/IR0528_PHAC_COVID19_update_request_e.pdf" xr:uid="{24FD82CB-C5E4-4B1B-80C8-EB29B4970903}"/>
    <hyperlink ref="O83:O86" r:id="rId49" display="IR0528" xr:uid="{786BBC3B-177F-483B-8196-7DBF0BEEB9DF}"/>
    <hyperlink ref="O126" r:id="rId50" display="https://www.pbo-dpb.gc.ca/web/default/files/Documents/Info%20Requests/2020/IR0528_PHAC_COVID19_update_request_e.pdf" xr:uid="{34FDD6E9-FCE3-43A8-BE58-68D2B2EC844C}"/>
    <hyperlink ref="O126:O129" r:id="rId51" display="IR0528" xr:uid="{37B5F041-A841-421A-AF29-DF3D6CEC481A}"/>
    <hyperlink ref="O71" r:id="rId52" xr:uid="{C04EB2B7-F791-4485-961F-757DECD4DD5E}"/>
    <hyperlink ref="O80" r:id="rId53" xr:uid="{BABCF34B-4DAE-404B-8E75-C4FE45CFBD49}"/>
    <hyperlink ref="F196" r:id="rId54" xr:uid="{9A795CD9-C7AB-48A0-882E-12856C727026}"/>
    <hyperlink ref="O104" r:id="rId55" display="https://www.pbo-dpb.gc.ca/web/default/files/Documents/Info%20Requests/2020/IR0528_PHAC_COVID19_update_request_e.pdf" xr:uid="{A3BC3CE5-A122-4CDC-8A15-F9A4DF5B6C83}"/>
    <hyperlink ref="O76:O77" r:id="rId56" display="IR0551" xr:uid="{CAFFF4D2-728D-4D1E-83DF-310D725813A3}"/>
    <hyperlink ref="O134" r:id="rId57" xr:uid="{0F73F9F6-EB20-4399-ADF7-7660DBB045B7}"/>
    <hyperlink ref="O174" r:id="rId58" xr:uid="{3E411D73-5EFC-49A2-88BB-C60B10E7FD01}"/>
    <hyperlink ref="O101" r:id="rId59" display="https://www.pbo-dpb.gc.ca/web/default/files/Documents/Info%20Requests/2020/IR0528_PHAC_COVID19_update_request_e.pdf" xr:uid="{C5CFDF4F-1304-4307-9AF7-55397DB40CF2}"/>
    <hyperlink ref="O110" r:id="rId60" display="IR05484" xr:uid="{88494409-7F0F-4339-A972-792B90964480}"/>
    <hyperlink ref="O120:O121" r:id="rId61" display="IR0550" xr:uid="{AE291354-101B-49C0-A357-F07DB89E82B1}"/>
    <hyperlink ref="O118" r:id="rId62" display="https://www.pbo-dpb.gc.ca/web/default/files/Documents/Info%20Requests/2020/IR0528_PHAC_COVID19_update_request_e.pdf" xr:uid="{A3E237D4-7945-482F-B90D-B6AE8559CFBA}"/>
    <hyperlink ref="O133" r:id="rId63" xr:uid="{E7CD0A81-D900-44F8-AFD2-83C257B160DA}"/>
    <hyperlink ref="O193" r:id="rId64" xr:uid="{0007A19B-1A02-4132-8EF6-0750737B0A34}"/>
    <hyperlink ref="O153" r:id="rId65" display="https://www.pbo-dpb.gc.ca/web/default/files/Documents/Info%20Requests/2020/IR0528_PHAC_COVID19_update_request_e.pdf" xr:uid="{3C7DA16A-85C4-4B22-BFFC-B56C9776BCE5}"/>
    <hyperlink ref="O121" r:id="rId66" xr:uid="{C730BD94-1CB9-4A67-8C1D-5C97FBB57573}"/>
    <hyperlink ref="O91" r:id="rId67" xr:uid="{43FA455F-0123-4B51-A9AE-27DB505B0474}"/>
    <hyperlink ref="O168" r:id="rId68" display="https://www.pbo-dpb.gc.ca/web/default/files/Documents/Info%20Requests/2020/IR0528_PHAC_COVID19_update_request_e.pdf" xr:uid="{03EC6693-D872-4808-A3FD-106571C4F819}"/>
    <hyperlink ref="P7:P8" r:id="rId69" display="TBS Data: COVID-19 Economic Response Plan - Estimated Expenditures" xr:uid="{8AB294E8-88FD-4356-9FF9-ED6F11BC1978}"/>
    <hyperlink ref="P25:P26" r:id="rId70" display="TBS Data: COVID-19 Economic Response Plan - Estimated Expenditures" xr:uid="{23F9C9EC-D9C2-43D6-81FD-AD8617EF0733}"/>
    <hyperlink ref="P41:P42" r:id="rId71" display="TBS Data: COVID-19 Economic Response Plan - Estimated Expenditures" xr:uid="{F1BA277C-F8E3-4736-AF71-A922FF706B09}"/>
    <hyperlink ref="P17:P20" r:id="rId72" display="TBS Data: COVID-19 Economic Response Plan - Estimated Expenditures" xr:uid="{0D65EF19-B325-4F46-8454-72CAED5F4B08}"/>
    <hyperlink ref="P21:P24" r:id="rId73" display="TBS Data: COVID-19 Economic Response Plan - Estimated Expenditures" xr:uid="{D6AF3E6B-54B6-456A-8DB1-C17A610EE90E}"/>
    <hyperlink ref="P30:P33" r:id="rId74" display="TBS Data: COVID-19 Economic Response Plan - Estimated Expenditures" xr:uid="{5DA9EE2B-69D8-445A-A69E-77BDED752562}"/>
    <hyperlink ref="P36:P40" r:id="rId75" display="TBS Data: COVID-19 Economic Response Plan - Estimated Expenditures" xr:uid="{3B779C0D-4BAF-4EFA-ACBA-C2AFB6C1F478}"/>
    <hyperlink ref="P43:P46" r:id="rId76" display="TBS Data: COVID-19 Economic Response Plan - Estimated Expenditures" xr:uid="{CB50B70E-7132-41B8-804B-F95DAAF00B31}"/>
    <hyperlink ref="P53" r:id="rId77" xr:uid="{FC2EFE5C-9618-4E89-9010-42FE2E90CB6C}"/>
    <hyperlink ref="P56" r:id="rId78" xr:uid="{2EDE3A38-8782-4D24-A7FA-5071139E133C}"/>
    <hyperlink ref="P76:P79" r:id="rId79" display="TBS Data: COVID-19 Economic Response Plan - Estimated Expenditures" xr:uid="{FD6B69DA-3684-4D4F-8C35-5446970869ED}"/>
    <hyperlink ref="P91:P94" r:id="rId80" display="TBS Data: COVID-19 Economic Response Plan - Estimated Expenditures" xr:uid="{D61D0C7D-1FB5-4D19-9300-06548D27AF84}"/>
    <hyperlink ref="P96:P99" r:id="rId81" display="TBS Data: COVID-19 Economic Response Plan - Estimated Expenditures" xr:uid="{A7A93819-C254-4FCE-BF1C-2BA2F479A52B}"/>
    <hyperlink ref="P115:P116" r:id="rId82" display="TBS Data: COVID-19 Economic Response Plan - Estimated Expenditures" xr:uid="{7F4405E5-E7D6-4CB8-BD08-992C6CB7D97D}"/>
    <hyperlink ref="P124:P125" r:id="rId83" display="TBS Data: COVID-19 Economic Response Plan - Estimated Expenditures" xr:uid="{4494E6DA-48F5-497C-973B-6F6E110B075F}"/>
    <hyperlink ref="P133" r:id="rId84" xr:uid="{F71EE480-6E30-40DC-87CA-A995B41FCF87}"/>
    <hyperlink ref="P137:P138" r:id="rId85" display="TBS Data: COVID-19 Economic Response Plan - Estimated Expenditures" xr:uid="{CA59FCF7-3E41-4876-87FA-B0BDDE3320F2}"/>
    <hyperlink ref="P140:P142" r:id="rId86" display="TBS Data: COVID-19 Economic Response Plan - Estimated Expenditures" xr:uid="{5761D00F-7074-442B-8B68-9972029D8C7F}"/>
    <hyperlink ref="P146:P151" r:id="rId87" display="TBS Data: COVID-19 Economic Response Plan - Estimated Expenditures" xr:uid="{F6DF886B-D726-45CD-AB14-E20BFB566495}"/>
    <hyperlink ref="P157:P161" r:id="rId88" display="TBS Data: COVID-19 Economic Response Plan - Estimated Expenditures" xr:uid="{130966C2-995B-46F5-9EC0-C808DA22C80A}"/>
    <hyperlink ref="P163:P166" r:id="rId89" display="TBS Data: COVID-19 Economic Response Plan - Estimated Expenditures" xr:uid="{BC183B8E-C672-49DB-A242-2009E8D5DCB9}"/>
    <hyperlink ref="P171:P173" r:id="rId90" display="TBS Data: COVID-19 Economic Response Plan - Estimated Expenditures" xr:uid="{EA9DAC8D-9771-45FB-B567-BAEA26BA56B3}"/>
    <hyperlink ref="P182" r:id="rId91" xr:uid="{419646FD-E666-41A2-9157-58322DEA3C8B}"/>
    <hyperlink ref="P186:P188" r:id="rId92" display="TBS Data: COVID-19 Economic Response Plan - Estimated Expenditures" xr:uid="{CD836F34-24C3-46EB-B035-B624267BA7D3}"/>
    <hyperlink ref="P197:P199" r:id="rId93" display="TBS Data: COVID-19 Economic Response Plan - Estimated Expenditures" xr:uid="{474C0B95-87F0-41EC-92F3-A7FB50796F04}"/>
    <hyperlink ref="P71:P74" r:id="rId94" display="TBS Data: COVID-19 Economic Response Plan - Estimated Expenditures" xr:uid="{B75B4BF7-2CDA-4C84-AA72-5C991624A10E}"/>
    <hyperlink ref="P192" r:id="rId95" xr:uid="{6330BF3A-7D24-4618-A2D9-9D3A4906EA8D}"/>
    <hyperlink ref="P183" r:id="rId96" xr:uid="{EE3ADE61-4725-44DD-87C8-78CD73D97B38}"/>
    <hyperlink ref="P184:P185" r:id="rId97" display="TBS Data: COVID-19 Economic Response Plan - Estimated Expenditures" xr:uid="{5AA356C2-7BDC-43CE-91FA-3C90CD73D92E}"/>
    <hyperlink ref="O70" r:id="rId98" xr:uid="{14B46112-22A0-4B73-9517-7910DECFA09A}"/>
    <hyperlink ref="P53:P54" r:id="rId99" display="TBS Data: COVID-19 Economic Response Plan - Estimated Expenditures" xr:uid="{A0CC93BB-6590-45FD-86D9-D3912D3AA198}"/>
    <hyperlink ref="P56:P58" r:id="rId100" display="TBS Data: COVID-19 Economic Response Plan - Estimated Expenditures" xr:uid="{C48864B4-E5AF-417B-9248-BFDF1F4A6EBF}"/>
    <hyperlink ref="P135:P136" r:id="rId101" display="TBS Data: COVID-19 Economic Response Plan - Estimated Expenditures" xr:uid="{1EC2B79D-D4EC-40EC-839C-011DD394C816}"/>
    <hyperlink ref="P130:P132" r:id="rId102" display="TBS Data: COVID-19 Economic Response Plan - Estimated Expenditures" xr:uid="{0A35BC11-BFDD-481D-921B-157F34832B58}"/>
    <hyperlink ref="P28:P29" r:id="rId103" display="TBS Data: COVID-19 Economic Response Plan - Estimated Expenditures" xr:uid="{9C5FA65C-4B4F-409C-BF4A-418DCED63991}"/>
    <hyperlink ref="P152" r:id="rId104" xr:uid="{57C4FA2E-DF0D-4C1E-BBFD-50425E215D8B}"/>
    <hyperlink ref="P107:P108" r:id="rId105" display="TBS Data: COVID-19 Economic Response Plan - Estimated Expenditures" xr:uid="{4D67D417-141F-440B-87B5-5E515DE76EBF}"/>
    <hyperlink ref="P181" r:id="rId106" xr:uid="{CF7B50BF-C331-4F78-B40C-0D29219C6EAA}"/>
    <hyperlink ref="P34:P35" r:id="rId107" display="TBS Data: COVID-19 Economic Response Plan - Estimated Expenditures" xr:uid="{15F93B5D-0554-47E6-BD6B-470DB6DF0B83}"/>
    <hyperlink ref="P55" r:id="rId108" xr:uid="{3B8A5E0F-B628-4202-90C0-0E2429CCC855}"/>
    <hyperlink ref="P110:P111" r:id="rId109" display="TBS Data: COVID-19 Economic Response Plan - Estimated Expenditures" xr:uid="{F918A52E-CFB8-4B5B-914A-62177508FD36}"/>
    <hyperlink ref="P139" r:id="rId110" xr:uid="{3EF913C8-FDBE-462A-A219-73C36E9F861C}"/>
    <hyperlink ref="P143:P145" r:id="rId111" display="TBS Data: COVID-19 Economic Response Plan - Estimated Expenditures" xr:uid="{C7A7AE3B-A3E9-419D-B4B3-8A0678ADC3E3}"/>
    <hyperlink ref="P70" r:id="rId112" xr:uid="{D6BB48A7-B657-43ED-A3C3-2D9DD241314A}"/>
    <hyperlink ref="P80" r:id="rId113" xr:uid="{C0168C03-6381-46EF-9E3A-FE75E6B9446D}"/>
    <hyperlink ref="P117" r:id="rId114" xr:uid="{2B22233C-AD3B-45ED-96F0-BE000D45C978}"/>
    <hyperlink ref="P114" r:id="rId115" xr:uid="{5A4488EB-94C4-48CA-BD51-1727D3755650}"/>
    <hyperlink ref="P169" r:id="rId116" xr:uid="{0A444E92-C16D-423F-907E-B628513C4C4F}"/>
    <hyperlink ref="O91:O95" r:id="rId117" display="IR0526" xr:uid="{5296F302-C314-4F06-9243-D1112683CFA0}"/>
    <hyperlink ref="O186:O188" r:id="rId118" display="IR0523" xr:uid="{9082B68A-254A-4C42-B583-5F4C94B78BB5}"/>
    <hyperlink ref="O123" r:id="rId119" xr:uid="{65A848C1-196E-4E5A-AED8-A505A766C58E}"/>
    <hyperlink ref="O201" r:id="rId120" xr:uid="{605EF610-6AFC-4E06-AA34-F064CFA830C1}"/>
    <hyperlink ref="O203" r:id="rId121" xr:uid="{2AAF9396-D4A0-44CC-9F44-B7CD2B417175}"/>
    <hyperlink ref="P4" r:id="rId122" xr:uid="{C87879E5-3A04-4E51-9849-9FF2D85B5632}"/>
    <hyperlink ref="P4:P6" r:id="rId123" display="TBS Data: COVID-19 Economic Response Plan - Estimated Expenditures" xr:uid="{8AEEF0E8-453E-4EC2-B6EC-3D1627409D99}"/>
    <hyperlink ref="P59" r:id="rId124" xr:uid="{53A64AC5-C138-4596-8363-FB0BC9F800BB}"/>
    <hyperlink ref="P59:P61" r:id="rId125" display="TBS Data: COVID-19 Economic Response Plan - Estimated Expenditures" xr:uid="{6F02D173-789D-41A2-9EDD-A0DD897B246F}"/>
    <hyperlink ref="P179" r:id="rId126" xr:uid="{D93ACFEB-615A-4B0B-993F-088AFFE291D1}"/>
    <hyperlink ref="P180" r:id="rId127" xr:uid="{51C09EAA-4100-437D-963C-1BB32192F009}"/>
  </hyperlinks>
  <pageMargins left="0.7" right="0.7" top="0.75" bottom="0.75" header="0.3" footer="0.3"/>
  <pageSetup orientation="portrait" r:id="rId12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192A6-9CA6-4C91-8D4F-C56CF7D6786B}">
  <sheetPr>
    <tabColor theme="4"/>
  </sheetPr>
  <dimension ref="A1:T338"/>
  <sheetViews>
    <sheetView showGridLines="0" zoomScale="70" zoomScaleNormal="70" workbookViewId="0">
      <selection activeCell="A2" sqref="A2"/>
    </sheetView>
  </sheetViews>
  <sheetFormatPr defaultRowHeight="15" x14ac:dyDescent="0.25"/>
  <cols>
    <col min="1" max="1" width="72.5703125" customWidth="1"/>
    <col min="2" max="2" width="42" style="52" bestFit="1" customWidth="1"/>
    <col min="3" max="3" width="24.42578125" bestFit="1" customWidth="1"/>
    <col min="4" max="4" width="42.140625" customWidth="1"/>
    <col min="5" max="5" width="23.7109375" bestFit="1" customWidth="1"/>
    <col min="6" max="6" width="52.85546875" style="52" customWidth="1"/>
    <col min="7" max="7" width="34.7109375" bestFit="1" customWidth="1"/>
    <col min="8" max="8" width="42" style="52" bestFit="1" customWidth="1"/>
    <col min="9" max="9" width="24.42578125" style="52" bestFit="1" customWidth="1"/>
    <col min="10" max="10" width="42.140625" style="52" customWidth="1"/>
    <col min="11" max="11" width="23.7109375" style="52" bestFit="1" customWidth="1"/>
    <col min="12" max="12" width="52.85546875" style="52" customWidth="1"/>
    <col min="13" max="13" width="34.7109375" style="52" bestFit="1" customWidth="1"/>
    <col min="14" max="14" width="25" customWidth="1"/>
    <col min="15" max="15" width="13.7109375" bestFit="1" customWidth="1"/>
    <col min="16" max="16" width="24.5703125" customWidth="1"/>
    <col min="17" max="17" width="49.28515625" customWidth="1"/>
    <col min="18" max="18" width="26.85546875" customWidth="1"/>
    <col min="20" max="20" width="14" bestFit="1" customWidth="1"/>
  </cols>
  <sheetData>
    <row r="1" spans="1:18" ht="15.75" thickBot="1" x14ac:dyDescent="0.3">
      <c r="A1" s="2" t="s">
        <v>49</v>
      </c>
      <c r="B1" s="2"/>
      <c r="H1" s="2"/>
    </row>
    <row r="2" spans="1:18" ht="15.75" thickBot="1" x14ac:dyDescent="0.3">
      <c r="A2" s="1"/>
      <c r="B2" s="477" t="s">
        <v>463</v>
      </c>
      <c r="C2" s="478"/>
      <c r="D2" s="478"/>
      <c r="E2" s="478"/>
      <c r="F2" s="478"/>
      <c r="G2" s="479"/>
      <c r="H2" s="477" t="s">
        <v>464</v>
      </c>
      <c r="I2" s="478"/>
      <c r="J2" s="478"/>
      <c r="K2" s="478"/>
      <c r="L2" s="478"/>
      <c r="M2" s="479"/>
    </row>
    <row r="3" spans="1:18" ht="17.25" x14ac:dyDescent="0.25">
      <c r="A3" s="26" t="s">
        <v>49</v>
      </c>
      <c r="B3" s="70" t="s">
        <v>366</v>
      </c>
      <c r="C3" s="147" t="s">
        <v>465</v>
      </c>
      <c r="D3" s="147" t="s">
        <v>1</v>
      </c>
      <c r="E3" s="147" t="s">
        <v>471</v>
      </c>
      <c r="F3" s="27" t="s">
        <v>335</v>
      </c>
      <c r="G3" s="147" t="s">
        <v>468</v>
      </c>
      <c r="H3" s="70" t="s">
        <v>574</v>
      </c>
      <c r="I3" s="147" t="s">
        <v>466</v>
      </c>
      <c r="J3" s="147" t="s">
        <v>1</v>
      </c>
      <c r="K3" s="147" t="s">
        <v>471</v>
      </c>
      <c r="L3" s="27" t="s">
        <v>335</v>
      </c>
      <c r="M3" s="147" t="s">
        <v>469</v>
      </c>
      <c r="N3" s="28" t="s">
        <v>2</v>
      </c>
      <c r="O3" s="28" t="s">
        <v>3</v>
      </c>
      <c r="P3" s="28" t="s">
        <v>4</v>
      </c>
      <c r="Q3" s="28" t="s">
        <v>5</v>
      </c>
      <c r="R3" s="29" t="s">
        <v>6</v>
      </c>
    </row>
    <row r="4" spans="1:18" ht="107.25" customHeight="1" x14ac:dyDescent="0.25">
      <c r="A4" s="233" t="s">
        <v>615</v>
      </c>
      <c r="B4" s="86">
        <f>84590</f>
        <v>84590</v>
      </c>
      <c r="C4" s="222" t="s">
        <v>42</v>
      </c>
      <c r="D4" s="222" t="s">
        <v>140</v>
      </c>
      <c r="E4" s="222" t="s">
        <v>111</v>
      </c>
      <c r="F4" s="214" t="s">
        <v>352</v>
      </c>
      <c r="G4" s="108" t="s">
        <v>111</v>
      </c>
      <c r="H4" s="86">
        <v>25955</v>
      </c>
      <c r="I4" s="151"/>
      <c r="J4" s="218"/>
      <c r="K4" s="218"/>
      <c r="L4" s="218"/>
      <c r="M4" s="250"/>
      <c r="N4" s="215" t="s">
        <v>11</v>
      </c>
      <c r="O4" s="230" t="s">
        <v>141</v>
      </c>
      <c r="P4" s="225" t="s">
        <v>142</v>
      </c>
      <c r="Q4" s="226" t="s">
        <v>605</v>
      </c>
      <c r="R4" s="219">
        <v>44332</v>
      </c>
    </row>
    <row r="5" spans="1:18" s="31" customFormat="1" ht="45" x14ac:dyDescent="0.25">
      <c r="A5" s="58" t="s">
        <v>143</v>
      </c>
      <c r="B5" s="78">
        <v>3240</v>
      </c>
      <c r="C5" s="241" t="s">
        <v>42</v>
      </c>
      <c r="D5" s="214" t="s">
        <v>35</v>
      </c>
      <c r="E5" s="222" t="s">
        <v>111</v>
      </c>
      <c r="F5" s="144"/>
      <c r="G5" s="108" t="s">
        <v>111</v>
      </c>
      <c r="H5" s="78">
        <v>9806</v>
      </c>
      <c r="I5" s="241"/>
      <c r="J5" s="214"/>
      <c r="K5" s="222"/>
      <c r="L5" s="144"/>
      <c r="M5" s="108"/>
      <c r="N5" s="222" t="s">
        <v>11</v>
      </c>
      <c r="O5" s="223" t="s">
        <v>383</v>
      </c>
      <c r="P5" s="352" t="s">
        <v>671</v>
      </c>
      <c r="Q5" s="370" t="s">
        <v>672</v>
      </c>
      <c r="R5" s="369">
        <v>44332</v>
      </c>
    </row>
    <row r="6" spans="1:18" s="31" customFormat="1" ht="45" customHeight="1" x14ac:dyDescent="0.25">
      <c r="A6" s="233" t="s">
        <v>272</v>
      </c>
      <c r="B6" s="76">
        <v>5</v>
      </c>
      <c r="C6" s="222" t="s">
        <v>42</v>
      </c>
      <c r="D6" s="214" t="s">
        <v>35</v>
      </c>
      <c r="E6" s="222" t="s">
        <v>111</v>
      </c>
      <c r="F6" s="231" t="s">
        <v>354</v>
      </c>
      <c r="G6" s="108" t="s">
        <v>111</v>
      </c>
      <c r="H6" s="76">
        <v>-1</v>
      </c>
      <c r="I6" s="222"/>
      <c r="J6" s="214"/>
      <c r="K6" s="222"/>
      <c r="L6" s="231"/>
      <c r="M6" s="108"/>
      <c r="N6" s="222" t="s">
        <v>11</v>
      </c>
      <c r="O6" s="223" t="s">
        <v>36</v>
      </c>
      <c r="P6" s="214" t="s">
        <v>19</v>
      </c>
      <c r="Q6" s="234" t="s">
        <v>39</v>
      </c>
      <c r="R6" s="131">
        <v>44166</v>
      </c>
    </row>
    <row r="7" spans="1:18" s="31" customFormat="1" ht="90" x14ac:dyDescent="0.25">
      <c r="A7" s="445" t="s">
        <v>144</v>
      </c>
      <c r="B7" s="520">
        <v>14462</v>
      </c>
      <c r="C7" s="222" t="s">
        <v>396</v>
      </c>
      <c r="D7" s="214" t="s">
        <v>35</v>
      </c>
      <c r="E7" s="222" t="s">
        <v>10</v>
      </c>
      <c r="F7" s="214" t="s">
        <v>459</v>
      </c>
      <c r="G7" s="108">
        <v>10095</v>
      </c>
      <c r="H7" s="520">
        <v>12332</v>
      </c>
      <c r="I7" s="222" t="s">
        <v>467</v>
      </c>
      <c r="J7" s="214" t="s">
        <v>35</v>
      </c>
      <c r="K7" s="222" t="s">
        <v>10</v>
      </c>
      <c r="L7" s="214" t="s">
        <v>491</v>
      </c>
      <c r="M7" s="108">
        <v>3430</v>
      </c>
      <c r="N7" s="214" t="s">
        <v>424</v>
      </c>
      <c r="O7" s="222" t="s">
        <v>111</v>
      </c>
      <c r="P7" s="223" t="s">
        <v>145</v>
      </c>
      <c r="Q7" s="224" t="s">
        <v>606</v>
      </c>
      <c r="R7" s="227">
        <v>44330</v>
      </c>
    </row>
    <row r="8" spans="1:18" s="31" customFormat="1" ht="45" x14ac:dyDescent="0.25">
      <c r="A8" s="447"/>
      <c r="B8" s="521"/>
      <c r="C8" s="222" t="s">
        <v>42</v>
      </c>
      <c r="D8" s="214" t="s">
        <v>22</v>
      </c>
      <c r="E8" s="222" t="s">
        <v>111</v>
      </c>
      <c r="F8" s="214" t="s">
        <v>111</v>
      </c>
      <c r="G8" s="108" t="s">
        <v>111</v>
      </c>
      <c r="H8" s="521"/>
      <c r="I8" s="222" t="s">
        <v>26</v>
      </c>
      <c r="J8" s="273" t="s">
        <v>35</v>
      </c>
      <c r="K8" s="222" t="s">
        <v>10</v>
      </c>
      <c r="L8" s="214" t="s">
        <v>643</v>
      </c>
      <c r="M8" s="108">
        <v>8902</v>
      </c>
      <c r="N8" s="214" t="s">
        <v>424</v>
      </c>
      <c r="O8" s="222" t="s">
        <v>111</v>
      </c>
      <c r="P8" s="231" t="s">
        <v>447</v>
      </c>
      <c r="Q8" s="224" t="s">
        <v>597</v>
      </c>
      <c r="R8" s="227">
        <v>44286</v>
      </c>
    </row>
    <row r="9" spans="1:18" ht="60" x14ac:dyDescent="0.25">
      <c r="A9" s="419" t="s">
        <v>146</v>
      </c>
      <c r="B9" s="396">
        <f>456</f>
        <v>456</v>
      </c>
      <c r="C9" s="378" t="s">
        <v>396</v>
      </c>
      <c r="D9" s="384" t="s">
        <v>35</v>
      </c>
      <c r="E9" s="384" t="s">
        <v>10</v>
      </c>
      <c r="F9" s="384" t="s">
        <v>459</v>
      </c>
      <c r="G9" s="401">
        <v>780</v>
      </c>
      <c r="H9" s="396">
        <f>282</f>
        <v>282</v>
      </c>
      <c r="I9" s="222" t="s">
        <v>467</v>
      </c>
      <c r="J9" s="214" t="s">
        <v>35</v>
      </c>
      <c r="K9" s="222" t="s">
        <v>10</v>
      </c>
      <c r="L9" s="214" t="s">
        <v>491</v>
      </c>
      <c r="M9" s="108">
        <v>2380</v>
      </c>
      <c r="N9" s="384" t="s">
        <v>424</v>
      </c>
      <c r="O9" s="378" t="s">
        <v>111</v>
      </c>
      <c r="P9" s="389" t="s">
        <v>148</v>
      </c>
      <c r="Q9" s="474" t="s">
        <v>607</v>
      </c>
      <c r="R9" s="375">
        <v>44330</v>
      </c>
    </row>
    <row r="10" spans="1:18" s="52" customFormat="1" ht="30" x14ac:dyDescent="0.25">
      <c r="A10" s="421"/>
      <c r="B10" s="398"/>
      <c r="C10" s="380"/>
      <c r="D10" s="385"/>
      <c r="E10" s="385"/>
      <c r="F10" s="385"/>
      <c r="G10" s="402"/>
      <c r="H10" s="398"/>
      <c r="I10" s="269" t="s">
        <v>26</v>
      </c>
      <c r="J10" s="273" t="s">
        <v>35</v>
      </c>
      <c r="K10" s="269" t="s">
        <v>10</v>
      </c>
      <c r="L10" s="273" t="s">
        <v>643</v>
      </c>
      <c r="M10" s="108">
        <v>-2098</v>
      </c>
      <c r="N10" s="385"/>
      <c r="O10" s="380"/>
      <c r="P10" s="391"/>
      <c r="Q10" s="476"/>
      <c r="R10" s="377"/>
    </row>
    <row r="11" spans="1:18" ht="60" x14ac:dyDescent="0.25">
      <c r="A11" s="419" t="s">
        <v>149</v>
      </c>
      <c r="B11" s="396">
        <v>1953</v>
      </c>
      <c r="C11" s="378" t="s">
        <v>396</v>
      </c>
      <c r="D11" s="384" t="s">
        <v>35</v>
      </c>
      <c r="E11" s="384" t="s">
        <v>10</v>
      </c>
      <c r="F11" s="384" t="s">
        <v>459</v>
      </c>
      <c r="G11" s="401">
        <v>2897</v>
      </c>
      <c r="H11" s="396">
        <v>1593</v>
      </c>
      <c r="I11" s="222" t="s">
        <v>467</v>
      </c>
      <c r="J11" s="214" t="s">
        <v>35</v>
      </c>
      <c r="K11" s="222" t="s">
        <v>10</v>
      </c>
      <c r="L11" s="214" t="s">
        <v>491</v>
      </c>
      <c r="M11" s="108">
        <v>4525</v>
      </c>
      <c r="N11" s="384" t="s">
        <v>424</v>
      </c>
      <c r="O11" s="378" t="s">
        <v>111</v>
      </c>
      <c r="P11" s="389" t="s">
        <v>147</v>
      </c>
      <c r="Q11" s="474" t="s">
        <v>608</v>
      </c>
      <c r="R11" s="375">
        <v>44330</v>
      </c>
    </row>
    <row r="12" spans="1:18" s="52" customFormat="1" ht="30" x14ac:dyDescent="0.25">
      <c r="A12" s="421"/>
      <c r="B12" s="398"/>
      <c r="C12" s="380"/>
      <c r="D12" s="385"/>
      <c r="E12" s="385"/>
      <c r="F12" s="385"/>
      <c r="G12" s="402"/>
      <c r="H12" s="398"/>
      <c r="I12" s="257" t="s">
        <v>26</v>
      </c>
      <c r="J12" s="273" t="s">
        <v>35</v>
      </c>
      <c r="K12" s="257" t="s">
        <v>10</v>
      </c>
      <c r="L12" s="273" t="s">
        <v>643</v>
      </c>
      <c r="M12" s="266">
        <v>-2932</v>
      </c>
      <c r="N12" s="385"/>
      <c r="O12" s="380"/>
      <c r="P12" s="391"/>
      <c r="Q12" s="476"/>
      <c r="R12" s="377"/>
    </row>
    <row r="13" spans="1:18" ht="45" x14ac:dyDescent="0.25">
      <c r="A13" s="233" t="s">
        <v>151</v>
      </c>
      <c r="B13" s="86">
        <v>4065</v>
      </c>
      <c r="C13" s="222" t="s">
        <v>42</v>
      </c>
      <c r="D13" s="214" t="s">
        <v>150</v>
      </c>
      <c r="E13" s="222" t="s">
        <v>111</v>
      </c>
      <c r="F13" s="214" t="s">
        <v>350</v>
      </c>
      <c r="G13" s="108" t="s">
        <v>111</v>
      </c>
      <c r="H13" s="86">
        <v>4340</v>
      </c>
      <c r="I13" s="218"/>
      <c r="J13" s="218"/>
      <c r="K13" s="218"/>
      <c r="L13" s="218"/>
      <c r="M13" s="250"/>
      <c r="N13" s="215" t="s">
        <v>424</v>
      </c>
      <c r="O13" s="204" t="s">
        <v>111</v>
      </c>
      <c r="P13" s="225" t="s">
        <v>419</v>
      </c>
      <c r="Q13" s="226" t="s">
        <v>609</v>
      </c>
      <c r="R13" s="219">
        <v>44332</v>
      </c>
    </row>
    <row r="14" spans="1:18" ht="45" x14ac:dyDescent="0.25">
      <c r="A14" s="233" t="s">
        <v>152</v>
      </c>
      <c r="B14" s="285">
        <v>12618</v>
      </c>
      <c r="C14" s="222" t="s">
        <v>42</v>
      </c>
      <c r="D14" s="214" t="s">
        <v>307</v>
      </c>
      <c r="E14" s="222" t="s">
        <v>111</v>
      </c>
      <c r="F14" s="214" t="s">
        <v>343</v>
      </c>
      <c r="G14" s="108" t="s">
        <v>111</v>
      </c>
      <c r="H14" s="285">
        <f>1205+2</f>
        <v>1207</v>
      </c>
      <c r="I14" s="222" t="s">
        <v>26</v>
      </c>
      <c r="J14" s="214" t="s">
        <v>231</v>
      </c>
      <c r="K14" s="222" t="s">
        <v>16</v>
      </c>
      <c r="L14" s="214" t="s">
        <v>111</v>
      </c>
      <c r="M14" s="108">
        <f>186.50456-117</f>
        <v>69.504559999999998</v>
      </c>
      <c r="N14" s="222" t="s">
        <v>11</v>
      </c>
      <c r="O14" s="223" t="s">
        <v>308</v>
      </c>
      <c r="P14" s="223" t="s">
        <v>310</v>
      </c>
      <c r="Q14" s="224" t="s">
        <v>610</v>
      </c>
      <c r="R14" s="227">
        <v>44336</v>
      </c>
    </row>
    <row r="15" spans="1:18" ht="30" customHeight="1" x14ac:dyDescent="0.25">
      <c r="A15" s="419" t="s">
        <v>417</v>
      </c>
      <c r="B15" s="396">
        <f>666+455.7+287+144.3+165</f>
        <v>1718</v>
      </c>
      <c r="C15" s="222" t="s">
        <v>26</v>
      </c>
      <c r="D15" s="214" t="s">
        <v>153</v>
      </c>
      <c r="E15" s="222" t="s">
        <v>10</v>
      </c>
      <c r="F15" s="214" t="s">
        <v>343</v>
      </c>
      <c r="G15" s="108">
        <v>31</v>
      </c>
      <c r="H15" s="396">
        <f>88</f>
        <v>88</v>
      </c>
      <c r="I15" s="503" t="s">
        <v>26</v>
      </c>
      <c r="J15" s="503" t="s">
        <v>153</v>
      </c>
      <c r="K15" s="503" t="s">
        <v>16</v>
      </c>
      <c r="L15" s="503" t="s">
        <v>111</v>
      </c>
      <c r="M15" s="491">
        <f>0.793805+28.532</f>
        <v>29.325804999999999</v>
      </c>
      <c r="N15" s="378" t="s">
        <v>11</v>
      </c>
      <c r="O15" s="389" t="s">
        <v>114</v>
      </c>
      <c r="P15" s="386" t="s">
        <v>447</v>
      </c>
      <c r="Q15" s="469" t="s">
        <v>500</v>
      </c>
      <c r="R15" s="451">
        <v>44286</v>
      </c>
    </row>
    <row r="16" spans="1:18" x14ac:dyDescent="0.25">
      <c r="A16" s="420"/>
      <c r="B16" s="397"/>
      <c r="C16" s="222" t="s">
        <v>26</v>
      </c>
      <c r="D16" s="214" t="s">
        <v>153</v>
      </c>
      <c r="E16" s="222" t="s">
        <v>16</v>
      </c>
      <c r="F16" s="214" t="s">
        <v>111</v>
      </c>
      <c r="G16" s="108">
        <v>35.580812000000002</v>
      </c>
      <c r="H16" s="397"/>
      <c r="I16" s="503"/>
      <c r="J16" s="503"/>
      <c r="K16" s="503"/>
      <c r="L16" s="503"/>
      <c r="M16" s="491"/>
      <c r="N16" s="379"/>
      <c r="O16" s="390"/>
      <c r="P16" s="387"/>
      <c r="Q16" s="469"/>
      <c r="R16" s="451"/>
    </row>
    <row r="17" spans="1:18" s="52" customFormat="1" x14ac:dyDescent="0.25">
      <c r="A17" s="420"/>
      <c r="B17" s="397"/>
      <c r="C17" s="222" t="s">
        <v>8</v>
      </c>
      <c r="D17" s="222" t="s">
        <v>153</v>
      </c>
      <c r="E17" s="222" t="s">
        <v>16</v>
      </c>
      <c r="F17" s="214" t="s">
        <v>111</v>
      </c>
      <c r="G17" s="108">
        <f>0.354884+41.778</f>
        <v>42.132883999999997</v>
      </c>
      <c r="H17" s="397"/>
      <c r="I17" s="503"/>
      <c r="J17" s="503"/>
      <c r="K17" s="503"/>
      <c r="L17" s="503"/>
      <c r="M17" s="491"/>
      <c r="N17" s="379"/>
      <c r="O17" s="390"/>
      <c r="P17" s="387"/>
      <c r="Q17" s="469"/>
      <c r="R17" s="451"/>
    </row>
    <row r="18" spans="1:18" s="52" customFormat="1" ht="30" customHeight="1" x14ac:dyDescent="0.25">
      <c r="A18" s="420"/>
      <c r="B18" s="397"/>
      <c r="C18" s="222" t="s">
        <v>396</v>
      </c>
      <c r="D18" s="214" t="s">
        <v>153</v>
      </c>
      <c r="E18" s="222" t="s">
        <v>10</v>
      </c>
      <c r="F18" s="214" t="s">
        <v>493</v>
      </c>
      <c r="G18" s="108">
        <v>10.5</v>
      </c>
      <c r="H18" s="397"/>
      <c r="I18" s="503" t="s">
        <v>26</v>
      </c>
      <c r="J18" s="467" t="s">
        <v>153</v>
      </c>
      <c r="K18" s="467" t="s">
        <v>16</v>
      </c>
      <c r="L18" s="467" t="s">
        <v>111</v>
      </c>
      <c r="M18" s="489">
        <v>5</v>
      </c>
      <c r="N18" s="379"/>
      <c r="O18" s="390"/>
      <c r="P18" s="387"/>
      <c r="Q18" s="469"/>
      <c r="R18" s="451"/>
    </row>
    <row r="19" spans="1:18" s="52" customFormat="1" ht="30" x14ac:dyDescent="0.25">
      <c r="A19" s="420"/>
      <c r="B19" s="397"/>
      <c r="C19" s="222" t="s">
        <v>26</v>
      </c>
      <c r="D19" s="214" t="s">
        <v>153</v>
      </c>
      <c r="E19" s="222" t="s">
        <v>10</v>
      </c>
      <c r="F19" s="214" t="s">
        <v>343</v>
      </c>
      <c r="G19" s="108">
        <v>9</v>
      </c>
      <c r="H19" s="397"/>
      <c r="I19" s="503"/>
      <c r="J19" s="467"/>
      <c r="K19" s="467"/>
      <c r="L19" s="467"/>
      <c r="M19" s="519"/>
      <c r="N19" s="379"/>
      <c r="O19" s="390"/>
      <c r="P19" s="387"/>
      <c r="Q19" s="469"/>
      <c r="R19" s="451"/>
    </row>
    <row r="20" spans="1:18" s="52" customFormat="1" x14ac:dyDescent="0.25">
      <c r="A20" s="420"/>
      <c r="B20" s="397"/>
      <c r="C20" s="222" t="s">
        <v>26</v>
      </c>
      <c r="D20" s="214" t="s">
        <v>153</v>
      </c>
      <c r="E20" s="222" t="s">
        <v>16</v>
      </c>
      <c r="F20" s="214" t="s">
        <v>111</v>
      </c>
      <c r="G20" s="108">
        <v>34.299999999999997</v>
      </c>
      <c r="H20" s="397"/>
      <c r="I20" s="503"/>
      <c r="J20" s="467"/>
      <c r="K20" s="467"/>
      <c r="L20" s="467"/>
      <c r="M20" s="490"/>
      <c r="N20" s="379"/>
      <c r="O20" s="390"/>
      <c r="P20" s="387"/>
      <c r="Q20" s="469"/>
      <c r="R20" s="451"/>
    </row>
    <row r="21" spans="1:18" s="52" customFormat="1" ht="15" customHeight="1" x14ac:dyDescent="0.25">
      <c r="A21" s="420"/>
      <c r="B21" s="397"/>
      <c r="C21" s="222" t="s">
        <v>8</v>
      </c>
      <c r="D21" s="222" t="s">
        <v>153</v>
      </c>
      <c r="E21" s="222" t="s">
        <v>16</v>
      </c>
      <c r="F21" s="214" t="s">
        <v>111</v>
      </c>
      <c r="G21" s="108">
        <v>18</v>
      </c>
      <c r="H21" s="397"/>
      <c r="I21" s="393" t="s">
        <v>26</v>
      </c>
      <c r="J21" s="393" t="s">
        <v>153</v>
      </c>
      <c r="K21" s="393" t="s">
        <v>16</v>
      </c>
      <c r="L21" s="393" t="s">
        <v>111</v>
      </c>
      <c r="M21" s="489">
        <v>18</v>
      </c>
      <c r="N21" s="379"/>
      <c r="O21" s="390"/>
      <c r="P21" s="387"/>
      <c r="Q21" s="469"/>
      <c r="R21" s="451"/>
    </row>
    <row r="22" spans="1:18" s="52" customFormat="1" ht="30" x14ac:dyDescent="0.25">
      <c r="A22" s="420"/>
      <c r="B22" s="397"/>
      <c r="C22" s="222" t="s">
        <v>396</v>
      </c>
      <c r="D22" s="222" t="s">
        <v>153</v>
      </c>
      <c r="E22" s="222" t="s">
        <v>10</v>
      </c>
      <c r="F22" s="214" t="s">
        <v>493</v>
      </c>
      <c r="G22" s="108">
        <v>20.3</v>
      </c>
      <c r="H22" s="397"/>
      <c r="I22" s="395"/>
      <c r="J22" s="395"/>
      <c r="K22" s="395"/>
      <c r="L22" s="395"/>
      <c r="M22" s="490"/>
      <c r="N22" s="379"/>
      <c r="O22" s="390"/>
      <c r="P22" s="387"/>
      <c r="Q22" s="469"/>
      <c r="R22" s="451"/>
    </row>
    <row r="23" spans="1:18" ht="30" x14ac:dyDescent="0.25">
      <c r="A23" s="420"/>
      <c r="B23" s="397"/>
      <c r="C23" s="222" t="s">
        <v>26</v>
      </c>
      <c r="D23" s="214" t="s">
        <v>154</v>
      </c>
      <c r="E23" s="222" t="s">
        <v>10</v>
      </c>
      <c r="F23" s="214" t="s">
        <v>343</v>
      </c>
      <c r="G23" s="108">
        <v>2.5</v>
      </c>
      <c r="H23" s="397"/>
      <c r="I23" s="503" t="s">
        <v>26</v>
      </c>
      <c r="J23" s="512" t="s">
        <v>154</v>
      </c>
      <c r="K23" s="503" t="s">
        <v>16</v>
      </c>
      <c r="L23" s="503" t="s">
        <v>111</v>
      </c>
      <c r="M23" s="503">
        <v>4</v>
      </c>
      <c r="N23" s="379"/>
      <c r="O23" s="390"/>
      <c r="P23" s="387"/>
      <c r="Q23" s="469" t="s">
        <v>507</v>
      </c>
      <c r="R23" s="451">
        <v>44255</v>
      </c>
    </row>
    <row r="24" spans="1:18" ht="30" customHeight="1" x14ac:dyDescent="0.25">
      <c r="A24" s="420"/>
      <c r="B24" s="397"/>
      <c r="C24" s="222" t="s">
        <v>26</v>
      </c>
      <c r="D24" s="214" t="s">
        <v>154</v>
      </c>
      <c r="E24" s="222" t="s">
        <v>16</v>
      </c>
      <c r="F24" s="214" t="s">
        <v>111</v>
      </c>
      <c r="G24" s="108">
        <v>20</v>
      </c>
      <c r="H24" s="397"/>
      <c r="I24" s="503"/>
      <c r="J24" s="512"/>
      <c r="K24" s="503"/>
      <c r="L24" s="503"/>
      <c r="M24" s="503"/>
      <c r="N24" s="379"/>
      <c r="O24" s="390"/>
      <c r="P24" s="387"/>
      <c r="Q24" s="469"/>
      <c r="R24" s="468"/>
    </row>
    <row r="25" spans="1:18" s="52" customFormat="1" ht="30" x14ac:dyDescent="0.25">
      <c r="A25" s="420"/>
      <c r="B25" s="397"/>
      <c r="C25" s="222" t="s">
        <v>26</v>
      </c>
      <c r="D25" s="214" t="s">
        <v>154</v>
      </c>
      <c r="E25" s="222" t="s">
        <v>10</v>
      </c>
      <c r="F25" s="214" t="s">
        <v>343</v>
      </c>
      <c r="G25" s="108">
        <v>2.5</v>
      </c>
      <c r="H25" s="397"/>
      <c r="I25" s="503"/>
      <c r="J25" s="512"/>
      <c r="K25" s="503"/>
      <c r="L25" s="503"/>
      <c r="M25" s="503"/>
      <c r="N25" s="379"/>
      <c r="O25" s="390"/>
      <c r="P25" s="387"/>
      <c r="Q25" s="469"/>
      <c r="R25" s="468"/>
    </row>
    <row r="26" spans="1:18" s="52" customFormat="1" ht="30" x14ac:dyDescent="0.25">
      <c r="A26" s="420"/>
      <c r="B26" s="397"/>
      <c r="C26" s="222" t="s">
        <v>26</v>
      </c>
      <c r="D26" s="214" t="s">
        <v>154</v>
      </c>
      <c r="E26" s="222" t="s">
        <v>16</v>
      </c>
      <c r="F26" s="214" t="s">
        <v>111</v>
      </c>
      <c r="G26" s="108">
        <v>9.3000000000000007</v>
      </c>
      <c r="H26" s="397"/>
      <c r="I26" s="503"/>
      <c r="J26" s="512"/>
      <c r="K26" s="503"/>
      <c r="L26" s="503"/>
      <c r="M26" s="503"/>
      <c r="N26" s="379"/>
      <c r="O26" s="390"/>
      <c r="P26" s="387"/>
      <c r="Q26" s="469"/>
      <c r="R26" s="468"/>
    </row>
    <row r="27" spans="1:18" ht="15" customHeight="1" x14ac:dyDescent="0.25">
      <c r="A27" s="420"/>
      <c r="B27" s="397"/>
      <c r="C27" s="222" t="s">
        <v>26</v>
      </c>
      <c r="D27" s="214" t="s">
        <v>66</v>
      </c>
      <c r="E27" s="222" t="s">
        <v>16</v>
      </c>
      <c r="F27" s="214" t="s">
        <v>111</v>
      </c>
      <c r="G27" s="108">
        <v>23.826981</v>
      </c>
      <c r="H27" s="397"/>
      <c r="I27" s="503" t="s">
        <v>26</v>
      </c>
      <c r="J27" s="503" t="s">
        <v>66</v>
      </c>
      <c r="K27" s="503" t="s">
        <v>16</v>
      </c>
      <c r="L27" s="503" t="s">
        <v>111</v>
      </c>
      <c r="M27" s="491">
        <v>16.059999999999999</v>
      </c>
      <c r="N27" s="379"/>
      <c r="O27" s="390"/>
      <c r="P27" s="387"/>
      <c r="Q27" s="469" t="s">
        <v>538</v>
      </c>
      <c r="R27" s="451">
        <v>44286</v>
      </c>
    </row>
    <row r="28" spans="1:18" s="52" customFormat="1" ht="60" x14ac:dyDescent="0.25">
      <c r="A28" s="420"/>
      <c r="B28" s="397"/>
      <c r="C28" s="222" t="s">
        <v>8</v>
      </c>
      <c r="D28" s="222" t="s">
        <v>66</v>
      </c>
      <c r="E28" s="222" t="s">
        <v>10</v>
      </c>
      <c r="F28" s="214" t="s">
        <v>345</v>
      </c>
      <c r="G28" s="108">
        <v>8</v>
      </c>
      <c r="H28" s="397"/>
      <c r="I28" s="503"/>
      <c r="J28" s="503"/>
      <c r="K28" s="503"/>
      <c r="L28" s="503"/>
      <c r="M28" s="491"/>
      <c r="N28" s="379"/>
      <c r="O28" s="390"/>
      <c r="P28" s="387"/>
      <c r="Q28" s="469"/>
      <c r="R28" s="468"/>
    </row>
    <row r="29" spans="1:18" s="52" customFormat="1" x14ac:dyDescent="0.25">
      <c r="A29" s="420"/>
      <c r="B29" s="397"/>
      <c r="C29" s="222" t="s">
        <v>8</v>
      </c>
      <c r="D29" s="222" t="s">
        <v>66</v>
      </c>
      <c r="E29" s="222" t="s">
        <v>16</v>
      </c>
      <c r="F29" s="214" t="s">
        <v>111</v>
      </c>
      <c r="G29" s="108">
        <v>8.3000000000000007</v>
      </c>
      <c r="H29" s="397"/>
      <c r="I29" s="503"/>
      <c r="J29" s="503"/>
      <c r="K29" s="503"/>
      <c r="L29" s="503"/>
      <c r="M29" s="491"/>
      <c r="N29" s="379"/>
      <c r="O29" s="390"/>
      <c r="P29" s="387"/>
      <c r="Q29" s="469"/>
      <c r="R29" s="468"/>
    </row>
    <row r="30" spans="1:18" s="52" customFormat="1" ht="30" customHeight="1" x14ac:dyDescent="0.25">
      <c r="A30" s="420"/>
      <c r="B30" s="397"/>
      <c r="C30" s="222" t="s">
        <v>396</v>
      </c>
      <c r="D30" s="222" t="s">
        <v>66</v>
      </c>
      <c r="E30" s="222" t="s">
        <v>10</v>
      </c>
      <c r="F30" s="214" t="s">
        <v>493</v>
      </c>
      <c r="G30" s="108">
        <v>8.4600000000000009</v>
      </c>
      <c r="H30" s="397"/>
      <c r="I30" s="503"/>
      <c r="J30" s="503"/>
      <c r="K30" s="503"/>
      <c r="L30" s="503"/>
      <c r="M30" s="491"/>
      <c r="N30" s="379"/>
      <c r="O30" s="390"/>
      <c r="P30" s="387"/>
      <c r="Q30" s="469"/>
      <c r="R30" s="468"/>
    </row>
    <row r="31" spans="1:18" s="52" customFormat="1" ht="60" x14ac:dyDescent="0.25">
      <c r="A31" s="420"/>
      <c r="B31" s="397"/>
      <c r="C31" s="222" t="s">
        <v>396</v>
      </c>
      <c r="D31" s="222" t="s">
        <v>66</v>
      </c>
      <c r="E31" s="222" t="s">
        <v>10</v>
      </c>
      <c r="F31" s="214" t="s">
        <v>345</v>
      </c>
      <c r="G31" s="108">
        <v>-5.3229490000000004</v>
      </c>
      <c r="H31" s="397"/>
      <c r="I31" s="503"/>
      <c r="J31" s="503"/>
      <c r="K31" s="503"/>
      <c r="L31" s="503"/>
      <c r="M31" s="491"/>
      <c r="N31" s="379"/>
      <c r="O31" s="390"/>
      <c r="P31" s="387"/>
      <c r="Q31" s="469"/>
      <c r="R31" s="468"/>
    </row>
    <row r="32" spans="1:18" s="52" customFormat="1" x14ac:dyDescent="0.25">
      <c r="A32" s="420"/>
      <c r="B32" s="397"/>
      <c r="C32" s="222" t="s">
        <v>396</v>
      </c>
      <c r="D32" s="222" t="s">
        <v>66</v>
      </c>
      <c r="E32" s="222" t="s">
        <v>16</v>
      </c>
      <c r="F32" s="214" t="s">
        <v>111</v>
      </c>
      <c r="G32" s="110">
        <v>5.3229490000000004</v>
      </c>
      <c r="H32" s="397"/>
      <c r="I32" s="503" t="s">
        <v>26</v>
      </c>
      <c r="J32" s="503" t="s">
        <v>66</v>
      </c>
      <c r="K32" s="503" t="s">
        <v>16</v>
      </c>
      <c r="L32" s="503" t="s">
        <v>111</v>
      </c>
      <c r="M32" s="491">
        <v>17.899999999999999</v>
      </c>
      <c r="N32" s="379"/>
      <c r="O32" s="390"/>
      <c r="P32" s="387"/>
      <c r="Q32" s="469"/>
      <c r="R32" s="468"/>
    </row>
    <row r="33" spans="1:18" s="52" customFormat="1" ht="15" customHeight="1" x14ac:dyDescent="0.25">
      <c r="A33" s="420"/>
      <c r="B33" s="397"/>
      <c r="C33" s="222" t="s">
        <v>26</v>
      </c>
      <c r="D33" s="214" t="s">
        <v>66</v>
      </c>
      <c r="E33" s="222" t="s">
        <v>16</v>
      </c>
      <c r="F33" s="214" t="s">
        <v>111</v>
      </c>
      <c r="G33" s="108">
        <v>25.5</v>
      </c>
      <c r="H33" s="397"/>
      <c r="I33" s="503"/>
      <c r="J33" s="503"/>
      <c r="K33" s="503"/>
      <c r="L33" s="503"/>
      <c r="M33" s="491"/>
      <c r="N33" s="379"/>
      <c r="O33" s="390"/>
      <c r="P33" s="387"/>
      <c r="Q33" s="469"/>
      <c r="R33" s="468"/>
    </row>
    <row r="34" spans="1:18" s="52" customFormat="1" ht="60" x14ac:dyDescent="0.25">
      <c r="A34" s="420"/>
      <c r="B34" s="397"/>
      <c r="C34" s="222" t="s">
        <v>8</v>
      </c>
      <c r="D34" s="214" t="s">
        <v>66</v>
      </c>
      <c r="E34" s="222" t="s">
        <v>10</v>
      </c>
      <c r="F34" s="214" t="s">
        <v>345</v>
      </c>
      <c r="G34" s="108">
        <v>6</v>
      </c>
      <c r="H34" s="397"/>
      <c r="I34" s="503"/>
      <c r="J34" s="503"/>
      <c r="K34" s="503"/>
      <c r="L34" s="503"/>
      <c r="M34" s="491"/>
      <c r="N34" s="379"/>
      <c r="O34" s="390"/>
      <c r="P34" s="387"/>
      <c r="Q34" s="469"/>
      <c r="R34" s="468"/>
    </row>
    <row r="35" spans="1:18" s="52" customFormat="1" x14ac:dyDescent="0.25">
      <c r="A35" s="420"/>
      <c r="B35" s="397"/>
      <c r="C35" s="222" t="s">
        <v>396</v>
      </c>
      <c r="D35" s="214" t="s">
        <v>66</v>
      </c>
      <c r="E35" s="222" t="s">
        <v>16</v>
      </c>
      <c r="F35" s="214" t="s">
        <v>111</v>
      </c>
      <c r="G35" s="108">
        <v>6</v>
      </c>
      <c r="H35" s="397"/>
      <c r="I35" s="503" t="s">
        <v>26</v>
      </c>
      <c r="J35" s="503" t="s">
        <v>66</v>
      </c>
      <c r="K35" s="503" t="s">
        <v>16</v>
      </c>
      <c r="L35" s="503" t="s">
        <v>111</v>
      </c>
      <c r="M35" s="491">
        <v>6</v>
      </c>
      <c r="N35" s="379"/>
      <c r="O35" s="390"/>
      <c r="P35" s="387"/>
      <c r="Q35" s="469"/>
      <c r="R35" s="468"/>
    </row>
    <row r="36" spans="1:18" s="52" customFormat="1" ht="60" x14ac:dyDescent="0.25">
      <c r="A36" s="420"/>
      <c r="B36" s="397"/>
      <c r="C36" s="222" t="s">
        <v>396</v>
      </c>
      <c r="D36" s="214" t="s">
        <v>66</v>
      </c>
      <c r="E36" s="222" t="s">
        <v>10</v>
      </c>
      <c r="F36" s="214" t="s">
        <v>345</v>
      </c>
      <c r="G36" s="108">
        <v>-6</v>
      </c>
      <c r="H36" s="397"/>
      <c r="I36" s="503"/>
      <c r="J36" s="503"/>
      <c r="K36" s="503"/>
      <c r="L36" s="503"/>
      <c r="M36" s="491"/>
      <c r="N36" s="379"/>
      <c r="O36" s="390"/>
      <c r="P36" s="387"/>
      <c r="Q36" s="469"/>
      <c r="R36" s="468"/>
    </row>
    <row r="37" spans="1:18" s="52" customFormat="1" ht="30" x14ac:dyDescent="0.25">
      <c r="A37" s="420"/>
      <c r="B37" s="397"/>
      <c r="C37" s="222" t="s">
        <v>396</v>
      </c>
      <c r="D37" s="214" t="s">
        <v>66</v>
      </c>
      <c r="E37" s="222" t="s">
        <v>10</v>
      </c>
      <c r="F37" s="214" t="s">
        <v>493</v>
      </c>
      <c r="G37" s="108">
        <v>17.899999999999999</v>
      </c>
      <c r="H37" s="397"/>
      <c r="I37" s="503"/>
      <c r="J37" s="503"/>
      <c r="K37" s="503"/>
      <c r="L37" s="503"/>
      <c r="M37" s="491"/>
      <c r="N37" s="379"/>
      <c r="O37" s="390"/>
      <c r="P37" s="387"/>
      <c r="Q37" s="469"/>
      <c r="R37" s="468"/>
    </row>
    <row r="38" spans="1:18" ht="30" x14ac:dyDescent="0.25">
      <c r="A38" s="420"/>
      <c r="B38" s="397"/>
      <c r="C38" s="222" t="s">
        <v>26</v>
      </c>
      <c r="D38" s="214" t="s">
        <v>68</v>
      </c>
      <c r="E38" s="222" t="s">
        <v>10</v>
      </c>
      <c r="F38" s="214" t="s">
        <v>343</v>
      </c>
      <c r="G38" s="108">
        <v>202.755</v>
      </c>
      <c r="H38" s="397"/>
      <c r="I38" s="516" t="s">
        <v>26</v>
      </c>
      <c r="J38" s="512" t="s">
        <v>68</v>
      </c>
      <c r="K38" s="503" t="s">
        <v>16</v>
      </c>
      <c r="L38" s="503" t="s">
        <v>111</v>
      </c>
      <c r="M38" s="503">
        <f>3.78+166.364</f>
        <v>170.14400000000001</v>
      </c>
      <c r="N38" s="379"/>
      <c r="O38" s="390"/>
      <c r="P38" s="387"/>
      <c r="Q38" s="469" t="s">
        <v>548</v>
      </c>
      <c r="R38" s="451">
        <v>44286</v>
      </c>
    </row>
    <row r="39" spans="1:18" ht="30" customHeight="1" x14ac:dyDescent="0.25">
      <c r="A39" s="420"/>
      <c r="B39" s="397"/>
      <c r="C39" s="222" t="s">
        <v>26</v>
      </c>
      <c r="D39" s="214" t="s">
        <v>68</v>
      </c>
      <c r="E39" s="222" t="s">
        <v>16</v>
      </c>
      <c r="F39" s="214" t="s">
        <v>111</v>
      </c>
      <c r="G39" s="108">
        <v>5.1315189999999999</v>
      </c>
      <c r="H39" s="397"/>
      <c r="I39" s="517"/>
      <c r="J39" s="512"/>
      <c r="K39" s="503"/>
      <c r="L39" s="503"/>
      <c r="M39" s="503"/>
      <c r="N39" s="379"/>
      <c r="O39" s="390"/>
      <c r="P39" s="387"/>
      <c r="Q39" s="469"/>
      <c r="R39" s="468"/>
    </row>
    <row r="40" spans="1:18" s="52" customFormat="1" ht="60" x14ac:dyDescent="0.25">
      <c r="A40" s="420"/>
      <c r="B40" s="397"/>
      <c r="C40" s="222" t="s">
        <v>8</v>
      </c>
      <c r="D40" s="214" t="s">
        <v>68</v>
      </c>
      <c r="E40" s="222" t="s">
        <v>10</v>
      </c>
      <c r="F40" s="214" t="s">
        <v>345</v>
      </c>
      <c r="G40" s="108">
        <v>131.19999999999999</v>
      </c>
      <c r="H40" s="397"/>
      <c r="I40" s="517"/>
      <c r="J40" s="512"/>
      <c r="K40" s="503"/>
      <c r="L40" s="503"/>
      <c r="M40" s="503"/>
      <c r="N40" s="379"/>
      <c r="O40" s="390"/>
      <c r="P40" s="387"/>
      <c r="Q40" s="469"/>
      <c r="R40" s="468"/>
    </row>
    <row r="41" spans="1:18" s="52" customFormat="1" ht="30" x14ac:dyDescent="0.25">
      <c r="A41" s="420"/>
      <c r="B41" s="397"/>
      <c r="C41" s="222" t="s">
        <v>8</v>
      </c>
      <c r="D41" s="214" t="s">
        <v>68</v>
      </c>
      <c r="E41" s="222" t="s">
        <v>16</v>
      </c>
      <c r="F41" s="214" t="s">
        <v>111</v>
      </c>
      <c r="G41" s="108">
        <f>3.594906+61.566</f>
        <v>65.160905999999997</v>
      </c>
      <c r="H41" s="397"/>
      <c r="I41" s="517"/>
      <c r="J41" s="512"/>
      <c r="K41" s="503"/>
      <c r="L41" s="503"/>
      <c r="M41" s="503"/>
      <c r="N41" s="379"/>
      <c r="O41" s="390"/>
      <c r="P41" s="387"/>
      <c r="Q41" s="469"/>
      <c r="R41" s="468"/>
    </row>
    <row r="42" spans="1:18" s="52" customFormat="1" ht="60" x14ac:dyDescent="0.25">
      <c r="A42" s="420"/>
      <c r="B42" s="397"/>
      <c r="C42" s="222" t="s">
        <v>396</v>
      </c>
      <c r="D42" s="214" t="s">
        <v>68</v>
      </c>
      <c r="E42" s="222" t="s">
        <v>10</v>
      </c>
      <c r="F42" s="214" t="s">
        <v>345</v>
      </c>
      <c r="G42" s="108">
        <v>-125</v>
      </c>
      <c r="H42" s="397"/>
      <c r="I42" s="518"/>
      <c r="J42" s="512"/>
      <c r="K42" s="503"/>
      <c r="L42" s="503"/>
      <c r="M42" s="503"/>
      <c r="N42" s="379"/>
      <c r="O42" s="390"/>
      <c r="P42" s="387"/>
      <c r="Q42" s="469"/>
      <c r="R42" s="468"/>
    </row>
    <row r="43" spans="1:18" s="52" customFormat="1" ht="30" x14ac:dyDescent="0.25">
      <c r="A43" s="420"/>
      <c r="B43" s="397"/>
      <c r="C43" s="222" t="s">
        <v>396</v>
      </c>
      <c r="D43" s="214" t="s">
        <v>68</v>
      </c>
      <c r="E43" s="222" t="s">
        <v>16</v>
      </c>
      <c r="F43" s="214" t="s">
        <v>111</v>
      </c>
      <c r="G43" s="108">
        <v>125</v>
      </c>
      <c r="H43" s="397"/>
      <c r="I43" s="393" t="s">
        <v>26</v>
      </c>
      <c r="J43" s="512" t="s">
        <v>68</v>
      </c>
      <c r="K43" s="503" t="s">
        <v>16</v>
      </c>
      <c r="L43" s="503" t="s">
        <v>111</v>
      </c>
      <c r="M43" s="503">
        <v>45</v>
      </c>
      <c r="N43" s="379"/>
      <c r="O43" s="390"/>
      <c r="P43" s="387"/>
      <c r="Q43" s="469"/>
      <c r="R43" s="468"/>
    </row>
    <row r="44" spans="1:18" s="52" customFormat="1" ht="30" x14ac:dyDescent="0.25">
      <c r="A44" s="420"/>
      <c r="B44" s="397"/>
      <c r="C44" s="222" t="s">
        <v>396</v>
      </c>
      <c r="D44" s="214" t="s">
        <v>68</v>
      </c>
      <c r="E44" s="222" t="s">
        <v>10</v>
      </c>
      <c r="F44" s="214" t="s">
        <v>493</v>
      </c>
      <c r="G44" s="108">
        <v>85.7</v>
      </c>
      <c r="H44" s="397"/>
      <c r="I44" s="394"/>
      <c r="J44" s="512"/>
      <c r="K44" s="503"/>
      <c r="L44" s="503"/>
      <c r="M44" s="503"/>
      <c r="N44" s="379"/>
      <c r="O44" s="390"/>
      <c r="P44" s="387"/>
      <c r="Q44" s="469"/>
      <c r="R44" s="468"/>
    </row>
    <row r="45" spans="1:18" s="52" customFormat="1" ht="30" customHeight="1" x14ac:dyDescent="0.25">
      <c r="A45" s="420"/>
      <c r="B45" s="397"/>
      <c r="C45" s="222" t="s">
        <v>26</v>
      </c>
      <c r="D45" s="214" t="s">
        <v>68</v>
      </c>
      <c r="E45" s="222" t="s">
        <v>10</v>
      </c>
      <c r="F45" s="214" t="s">
        <v>343</v>
      </c>
      <c r="G45" s="108">
        <v>95.7</v>
      </c>
      <c r="H45" s="397"/>
      <c r="I45" s="394"/>
      <c r="J45" s="512"/>
      <c r="K45" s="503"/>
      <c r="L45" s="503"/>
      <c r="M45" s="503"/>
      <c r="N45" s="379"/>
      <c r="O45" s="390"/>
      <c r="P45" s="387"/>
      <c r="Q45" s="469"/>
      <c r="R45" s="468"/>
    </row>
    <row r="46" spans="1:18" s="52" customFormat="1" ht="60" x14ac:dyDescent="0.25">
      <c r="A46" s="420"/>
      <c r="B46" s="397"/>
      <c r="C46" s="222" t="s">
        <v>8</v>
      </c>
      <c r="D46" s="214" t="s">
        <v>68</v>
      </c>
      <c r="E46" s="222" t="s">
        <v>10</v>
      </c>
      <c r="F46" s="214" t="s">
        <v>345</v>
      </c>
      <c r="G46" s="108">
        <v>67</v>
      </c>
      <c r="H46" s="397"/>
      <c r="I46" s="394"/>
      <c r="J46" s="512"/>
      <c r="K46" s="503"/>
      <c r="L46" s="503"/>
      <c r="M46" s="503"/>
      <c r="N46" s="379"/>
      <c r="O46" s="390"/>
      <c r="P46" s="387"/>
      <c r="Q46" s="469"/>
      <c r="R46" s="468"/>
    </row>
    <row r="47" spans="1:18" s="52" customFormat="1" ht="30" x14ac:dyDescent="0.25">
      <c r="A47" s="420"/>
      <c r="B47" s="397"/>
      <c r="C47" s="222" t="s">
        <v>396</v>
      </c>
      <c r="D47" s="214" t="s">
        <v>68</v>
      </c>
      <c r="E47" s="222" t="s">
        <v>10</v>
      </c>
      <c r="F47" s="214" t="s">
        <v>493</v>
      </c>
      <c r="G47" s="148">
        <v>63.8</v>
      </c>
      <c r="H47" s="397"/>
      <c r="I47" s="395"/>
      <c r="J47" s="512"/>
      <c r="K47" s="503"/>
      <c r="L47" s="503"/>
      <c r="M47" s="503"/>
      <c r="N47" s="379"/>
      <c r="O47" s="390"/>
      <c r="P47" s="387"/>
      <c r="Q47" s="469"/>
      <c r="R47" s="468"/>
    </row>
    <row r="48" spans="1:18" ht="30" customHeight="1" x14ac:dyDescent="0.25">
      <c r="A48" s="420"/>
      <c r="B48" s="397"/>
      <c r="C48" s="222" t="s">
        <v>26</v>
      </c>
      <c r="D48" s="214" t="s">
        <v>155</v>
      </c>
      <c r="E48" s="222" t="s">
        <v>10</v>
      </c>
      <c r="F48" s="214" t="s">
        <v>343</v>
      </c>
      <c r="G48" s="108">
        <v>25</v>
      </c>
      <c r="H48" s="397"/>
      <c r="I48" s="516" t="s">
        <v>26</v>
      </c>
      <c r="J48" s="512" t="s">
        <v>155</v>
      </c>
      <c r="K48" s="503" t="s">
        <v>16</v>
      </c>
      <c r="L48" s="503" t="s">
        <v>111</v>
      </c>
      <c r="M48" s="503">
        <f>0.848+61.7</f>
        <v>62.548000000000002</v>
      </c>
      <c r="N48" s="379"/>
      <c r="O48" s="390"/>
      <c r="P48" s="387"/>
      <c r="Q48" s="469" t="s">
        <v>551</v>
      </c>
      <c r="R48" s="451">
        <v>44286</v>
      </c>
    </row>
    <row r="49" spans="1:18" ht="30" x14ac:dyDescent="0.25">
      <c r="A49" s="420"/>
      <c r="B49" s="397"/>
      <c r="C49" s="222" t="s">
        <v>26</v>
      </c>
      <c r="D49" s="214" t="s">
        <v>155</v>
      </c>
      <c r="E49" s="222" t="s">
        <v>16</v>
      </c>
      <c r="F49" s="214" t="s">
        <v>111</v>
      </c>
      <c r="G49" s="108">
        <v>114.82145800000001</v>
      </c>
      <c r="H49" s="397"/>
      <c r="I49" s="517"/>
      <c r="J49" s="512"/>
      <c r="K49" s="503"/>
      <c r="L49" s="503"/>
      <c r="M49" s="503"/>
      <c r="N49" s="379"/>
      <c r="O49" s="390"/>
      <c r="P49" s="387"/>
      <c r="Q49" s="469"/>
      <c r="R49" s="468"/>
    </row>
    <row r="50" spans="1:18" ht="30" x14ac:dyDescent="0.25">
      <c r="A50" s="420"/>
      <c r="B50" s="397"/>
      <c r="C50" s="222" t="s">
        <v>8</v>
      </c>
      <c r="D50" s="214" t="s">
        <v>155</v>
      </c>
      <c r="E50" s="222" t="s">
        <v>16</v>
      </c>
      <c r="F50" s="214" t="s">
        <v>111</v>
      </c>
      <c r="G50" s="108">
        <v>46.5</v>
      </c>
      <c r="H50" s="397"/>
      <c r="I50" s="518"/>
      <c r="J50" s="512"/>
      <c r="K50" s="503"/>
      <c r="L50" s="503"/>
      <c r="M50" s="503"/>
      <c r="N50" s="379"/>
      <c r="O50" s="390"/>
      <c r="P50" s="387"/>
      <c r="Q50" s="469"/>
      <c r="R50" s="468"/>
    </row>
    <row r="51" spans="1:18" ht="30" customHeight="1" x14ac:dyDescent="0.25">
      <c r="A51" s="420"/>
      <c r="B51" s="397"/>
      <c r="C51" s="222" t="s">
        <v>26</v>
      </c>
      <c r="D51" s="214" t="s">
        <v>155</v>
      </c>
      <c r="E51" s="222" t="s">
        <v>10</v>
      </c>
      <c r="F51" s="214" t="s">
        <v>343</v>
      </c>
      <c r="G51" s="108">
        <v>53</v>
      </c>
      <c r="H51" s="397"/>
      <c r="I51" s="393" t="s">
        <v>26</v>
      </c>
      <c r="J51" s="512" t="s">
        <v>155</v>
      </c>
      <c r="K51" s="503" t="s">
        <v>16</v>
      </c>
      <c r="L51" s="503" t="s">
        <v>111</v>
      </c>
      <c r="M51" s="503">
        <v>3</v>
      </c>
      <c r="N51" s="379"/>
      <c r="O51" s="390"/>
      <c r="P51" s="387"/>
      <c r="Q51" s="469"/>
      <c r="R51" s="468"/>
    </row>
    <row r="52" spans="1:18" ht="30" x14ac:dyDescent="0.25">
      <c r="A52" s="420"/>
      <c r="B52" s="397"/>
      <c r="C52" s="222" t="s">
        <v>26</v>
      </c>
      <c r="D52" s="214" t="s">
        <v>155</v>
      </c>
      <c r="E52" s="222" t="s">
        <v>16</v>
      </c>
      <c r="F52" s="214" t="s">
        <v>111</v>
      </c>
      <c r="G52" s="108">
        <v>18.3</v>
      </c>
      <c r="H52" s="397"/>
      <c r="I52" s="395"/>
      <c r="J52" s="512"/>
      <c r="K52" s="503"/>
      <c r="L52" s="503"/>
      <c r="M52" s="503"/>
      <c r="N52" s="379"/>
      <c r="O52" s="390"/>
      <c r="P52" s="387"/>
      <c r="Q52" s="469"/>
      <c r="R52" s="468"/>
    </row>
    <row r="53" spans="1:18" ht="60" x14ac:dyDescent="0.25">
      <c r="A53" s="420"/>
      <c r="B53" s="397"/>
      <c r="C53" s="222" t="s">
        <v>8</v>
      </c>
      <c r="D53" s="214" t="s">
        <v>155</v>
      </c>
      <c r="E53" s="222" t="s">
        <v>10</v>
      </c>
      <c r="F53" s="214" t="s">
        <v>345</v>
      </c>
      <c r="G53" s="108">
        <v>12</v>
      </c>
      <c r="H53" s="397"/>
      <c r="I53" s="393" t="s">
        <v>26</v>
      </c>
      <c r="J53" s="512" t="s">
        <v>155</v>
      </c>
      <c r="K53" s="503" t="s">
        <v>16</v>
      </c>
      <c r="L53" s="503" t="s">
        <v>111</v>
      </c>
      <c r="M53" s="503">
        <v>6</v>
      </c>
      <c r="N53" s="379"/>
      <c r="O53" s="390"/>
      <c r="P53" s="387"/>
      <c r="Q53" s="469"/>
      <c r="R53" s="468"/>
    </row>
    <row r="54" spans="1:18" ht="30" customHeight="1" x14ac:dyDescent="0.25">
      <c r="A54" s="420"/>
      <c r="B54" s="397"/>
      <c r="C54" s="222" t="s">
        <v>8</v>
      </c>
      <c r="D54" s="214" t="s">
        <v>155</v>
      </c>
      <c r="E54" s="222" t="s">
        <v>16</v>
      </c>
      <c r="F54" s="214" t="s">
        <v>111</v>
      </c>
      <c r="G54" s="108">
        <v>11.3</v>
      </c>
      <c r="H54" s="397"/>
      <c r="I54" s="395"/>
      <c r="J54" s="512"/>
      <c r="K54" s="503"/>
      <c r="L54" s="503"/>
      <c r="M54" s="503"/>
      <c r="N54" s="379"/>
      <c r="O54" s="390"/>
      <c r="P54" s="387"/>
      <c r="Q54" s="469"/>
      <c r="R54" s="468"/>
    </row>
    <row r="55" spans="1:18" ht="30" x14ac:dyDescent="0.25">
      <c r="A55" s="420"/>
      <c r="B55" s="397"/>
      <c r="C55" s="222" t="s">
        <v>26</v>
      </c>
      <c r="D55" s="214" t="s">
        <v>156</v>
      </c>
      <c r="E55" s="222" t="s">
        <v>10</v>
      </c>
      <c r="F55" s="214" t="s">
        <v>343</v>
      </c>
      <c r="G55" s="108">
        <v>109.37899899999999</v>
      </c>
      <c r="H55" s="397"/>
      <c r="I55" s="393" t="s">
        <v>26</v>
      </c>
      <c r="J55" s="422" t="s">
        <v>156</v>
      </c>
      <c r="K55" s="393" t="s">
        <v>16</v>
      </c>
      <c r="L55" s="393" t="s">
        <v>111</v>
      </c>
      <c r="M55" s="393">
        <f>2.644444+96.5</f>
        <v>99.144443999999993</v>
      </c>
      <c r="N55" s="379"/>
      <c r="O55" s="390"/>
      <c r="P55" s="387"/>
      <c r="Q55" s="469" t="s">
        <v>554</v>
      </c>
      <c r="R55" s="451">
        <v>44286</v>
      </c>
    </row>
    <row r="56" spans="1:18" ht="30" x14ac:dyDescent="0.25">
      <c r="A56" s="420"/>
      <c r="B56" s="397"/>
      <c r="C56" s="222" t="s">
        <v>26</v>
      </c>
      <c r="D56" s="214" t="s">
        <v>156</v>
      </c>
      <c r="E56" s="222" t="s">
        <v>16</v>
      </c>
      <c r="F56" s="214" t="s">
        <v>111</v>
      </c>
      <c r="G56" s="108">
        <v>103.03525</v>
      </c>
      <c r="H56" s="397"/>
      <c r="I56" s="394"/>
      <c r="J56" s="437"/>
      <c r="K56" s="394"/>
      <c r="L56" s="394"/>
      <c r="M56" s="394"/>
      <c r="N56" s="379"/>
      <c r="O56" s="390"/>
      <c r="P56" s="387"/>
      <c r="Q56" s="469"/>
      <c r="R56" s="468"/>
    </row>
    <row r="57" spans="1:18" ht="60" x14ac:dyDescent="0.25">
      <c r="A57" s="420"/>
      <c r="B57" s="397"/>
      <c r="C57" s="222" t="s">
        <v>8</v>
      </c>
      <c r="D57" s="214" t="s">
        <v>156</v>
      </c>
      <c r="E57" s="222" t="s">
        <v>10</v>
      </c>
      <c r="F57" s="214" t="s">
        <v>345</v>
      </c>
      <c r="G57" s="108">
        <v>88.2</v>
      </c>
      <c r="H57" s="397"/>
      <c r="I57" s="394"/>
      <c r="J57" s="437"/>
      <c r="K57" s="394"/>
      <c r="L57" s="394"/>
      <c r="M57" s="394"/>
      <c r="N57" s="379"/>
      <c r="O57" s="390"/>
      <c r="P57" s="387"/>
      <c r="Q57" s="469"/>
      <c r="R57" s="468"/>
    </row>
    <row r="58" spans="1:18" s="52" customFormat="1" ht="30" x14ac:dyDescent="0.25">
      <c r="A58" s="420"/>
      <c r="B58" s="397"/>
      <c r="C58" s="222" t="s">
        <v>8</v>
      </c>
      <c r="D58" s="214" t="s">
        <v>156</v>
      </c>
      <c r="E58" s="222" t="s">
        <v>16</v>
      </c>
      <c r="F58" s="214" t="s">
        <v>111</v>
      </c>
      <c r="G58" s="108">
        <f>1.943603+63.631</f>
        <v>65.574602999999996</v>
      </c>
      <c r="H58" s="397"/>
      <c r="I58" s="394"/>
      <c r="J58" s="437"/>
      <c r="K58" s="394"/>
      <c r="L58" s="394"/>
      <c r="M58" s="394"/>
      <c r="N58" s="379"/>
      <c r="O58" s="390"/>
      <c r="P58" s="387"/>
      <c r="Q58" s="469"/>
      <c r="R58" s="468"/>
    </row>
    <row r="59" spans="1:18" s="52" customFormat="1" ht="60" x14ac:dyDescent="0.25">
      <c r="A59" s="420"/>
      <c r="B59" s="397"/>
      <c r="C59" s="238" t="s">
        <v>396</v>
      </c>
      <c r="D59" s="214" t="s">
        <v>156</v>
      </c>
      <c r="E59" s="222" t="s">
        <v>10</v>
      </c>
      <c r="F59" s="214" t="s">
        <v>345</v>
      </c>
      <c r="G59" s="108">
        <v>-13.706882999999999</v>
      </c>
      <c r="H59" s="397"/>
      <c r="I59" s="394"/>
      <c r="J59" s="437"/>
      <c r="K59" s="394"/>
      <c r="L59" s="394"/>
      <c r="M59" s="394"/>
      <c r="N59" s="379"/>
      <c r="O59" s="390"/>
      <c r="P59" s="387"/>
      <c r="Q59" s="469"/>
      <c r="R59" s="468"/>
    </row>
    <row r="60" spans="1:18" s="52" customFormat="1" ht="30" customHeight="1" x14ac:dyDescent="0.25">
      <c r="A60" s="420"/>
      <c r="B60" s="397"/>
      <c r="C60" s="238" t="s">
        <v>396</v>
      </c>
      <c r="D60" s="214" t="s">
        <v>156</v>
      </c>
      <c r="E60" s="238" t="s">
        <v>16</v>
      </c>
      <c r="F60" s="238" t="s">
        <v>111</v>
      </c>
      <c r="G60" s="110">
        <v>13.706882999999999</v>
      </c>
      <c r="H60" s="397"/>
      <c r="I60" s="394"/>
      <c r="J60" s="437"/>
      <c r="K60" s="394"/>
      <c r="L60" s="394"/>
      <c r="M60" s="394"/>
      <c r="N60" s="379"/>
      <c r="O60" s="390"/>
      <c r="P60" s="387"/>
      <c r="Q60" s="469"/>
      <c r="R60" s="468"/>
    </row>
    <row r="61" spans="1:18" ht="30" x14ac:dyDescent="0.25">
      <c r="A61" s="420"/>
      <c r="B61" s="397"/>
      <c r="C61" s="222" t="s">
        <v>26</v>
      </c>
      <c r="D61" s="214" t="s">
        <v>156</v>
      </c>
      <c r="E61" s="222" t="s">
        <v>10</v>
      </c>
      <c r="F61" s="214" t="s">
        <v>343</v>
      </c>
      <c r="G61" s="108">
        <v>39.4</v>
      </c>
      <c r="H61" s="397"/>
      <c r="I61" s="394"/>
      <c r="J61" s="437"/>
      <c r="K61" s="394"/>
      <c r="L61" s="394"/>
      <c r="M61" s="394"/>
      <c r="N61" s="379"/>
      <c r="O61" s="390"/>
      <c r="P61" s="387"/>
      <c r="Q61" s="469"/>
      <c r="R61" s="468"/>
    </row>
    <row r="62" spans="1:18" ht="60" x14ac:dyDescent="0.25">
      <c r="A62" s="420"/>
      <c r="B62" s="397"/>
      <c r="C62" s="222" t="s">
        <v>8</v>
      </c>
      <c r="D62" s="214" t="s">
        <v>156</v>
      </c>
      <c r="E62" s="222" t="s">
        <v>10</v>
      </c>
      <c r="F62" s="214" t="s">
        <v>345</v>
      </c>
      <c r="G62" s="108">
        <v>15</v>
      </c>
      <c r="H62" s="397"/>
      <c r="I62" s="394"/>
      <c r="J62" s="437"/>
      <c r="K62" s="394"/>
      <c r="L62" s="394"/>
      <c r="M62" s="394"/>
      <c r="N62" s="379"/>
      <c r="O62" s="390"/>
      <c r="P62" s="387"/>
      <c r="Q62" s="469"/>
      <c r="R62" s="468"/>
    </row>
    <row r="63" spans="1:18" ht="30" customHeight="1" x14ac:dyDescent="0.25">
      <c r="A63" s="420"/>
      <c r="B63" s="397"/>
      <c r="C63" s="222" t="s">
        <v>8</v>
      </c>
      <c r="D63" s="214" t="s">
        <v>156</v>
      </c>
      <c r="E63" s="222" t="s">
        <v>16</v>
      </c>
      <c r="F63" s="214" t="s">
        <v>111</v>
      </c>
      <c r="G63" s="108">
        <v>15</v>
      </c>
      <c r="H63" s="397"/>
      <c r="I63" s="394"/>
      <c r="J63" s="437"/>
      <c r="K63" s="394"/>
      <c r="L63" s="394"/>
      <c r="M63" s="394"/>
      <c r="N63" s="379"/>
      <c r="O63" s="390"/>
      <c r="P63" s="387"/>
      <c r="Q63" s="469"/>
      <c r="R63" s="468"/>
    </row>
    <row r="64" spans="1:18" s="52" customFormat="1" ht="30" x14ac:dyDescent="0.25">
      <c r="A64" s="420"/>
      <c r="B64" s="397"/>
      <c r="C64" s="222" t="s">
        <v>396</v>
      </c>
      <c r="D64" s="214" t="s">
        <v>156</v>
      </c>
      <c r="E64" s="222" t="s">
        <v>16</v>
      </c>
      <c r="F64" s="214" t="s">
        <v>111</v>
      </c>
      <c r="G64" s="108">
        <v>0.75226300000000001</v>
      </c>
      <c r="H64" s="397"/>
      <c r="I64" s="394"/>
      <c r="J64" s="437"/>
      <c r="K64" s="394"/>
      <c r="L64" s="394"/>
      <c r="M64" s="394"/>
      <c r="N64" s="379"/>
      <c r="O64" s="390"/>
      <c r="P64" s="387"/>
      <c r="Q64" s="469"/>
      <c r="R64" s="468"/>
    </row>
    <row r="65" spans="1:18" s="52" customFormat="1" ht="60" x14ac:dyDescent="0.25">
      <c r="A65" s="420"/>
      <c r="B65" s="397"/>
      <c r="C65" s="222" t="s">
        <v>396</v>
      </c>
      <c r="D65" s="214" t="s">
        <v>156</v>
      </c>
      <c r="E65" s="222" t="s">
        <v>10</v>
      </c>
      <c r="F65" s="214" t="s">
        <v>345</v>
      </c>
      <c r="G65" s="108">
        <v>-0.75226300000000001</v>
      </c>
      <c r="H65" s="397"/>
      <c r="I65" s="395"/>
      <c r="J65" s="423"/>
      <c r="K65" s="395"/>
      <c r="L65" s="395"/>
      <c r="M65" s="395"/>
      <c r="N65" s="379"/>
      <c r="O65" s="390"/>
      <c r="P65" s="388"/>
      <c r="Q65" s="469"/>
      <c r="R65" s="468"/>
    </row>
    <row r="66" spans="1:18" ht="35.25" customHeight="1" x14ac:dyDescent="0.25">
      <c r="A66" s="233" t="s">
        <v>158</v>
      </c>
      <c r="B66" s="76">
        <v>3</v>
      </c>
      <c r="C66" s="222" t="s">
        <v>396</v>
      </c>
      <c r="D66" s="214" t="s">
        <v>154</v>
      </c>
      <c r="E66" s="222" t="s">
        <v>16</v>
      </c>
      <c r="F66" s="238" t="s">
        <v>111</v>
      </c>
      <c r="G66" s="148">
        <v>3</v>
      </c>
      <c r="H66" s="76">
        <v>0</v>
      </c>
      <c r="I66" s="222"/>
      <c r="J66" s="214"/>
      <c r="K66" s="222"/>
      <c r="L66" s="238"/>
      <c r="M66" s="148"/>
      <c r="N66" s="222" t="s">
        <v>11</v>
      </c>
      <c r="O66" s="223" t="s">
        <v>157</v>
      </c>
      <c r="P66" s="222" t="s">
        <v>13</v>
      </c>
      <c r="Q66" s="234"/>
      <c r="R66" s="228"/>
    </row>
    <row r="67" spans="1:18" x14ac:dyDescent="0.25">
      <c r="A67" s="419" t="s">
        <v>122</v>
      </c>
      <c r="B67" s="384">
        <v>0</v>
      </c>
      <c r="C67" s="414" t="s">
        <v>42</v>
      </c>
      <c r="D67" s="222" t="s">
        <v>192</v>
      </c>
      <c r="E67" s="222" t="s">
        <v>111</v>
      </c>
      <c r="F67" s="214" t="s">
        <v>111</v>
      </c>
      <c r="G67" s="108" t="s">
        <v>111</v>
      </c>
      <c r="H67" s="384">
        <v>182</v>
      </c>
      <c r="I67" s="269" t="s">
        <v>26</v>
      </c>
      <c r="J67" s="269" t="s">
        <v>192</v>
      </c>
      <c r="K67" s="269" t="s">
        <v>16</v>
      </c>
      <c r="L67" s="273" t="s">
        <v>111</v>
      </c>
      <c r="M67" s="108">
        <f>1.258224+63.338845</f>
        <v>64.597069000000005</v>
      </c>
      <c r="N67" s="222" t="s">
        <v>362</v>
      </c>
      <c r="O67" s="222"/>
      <c r="P67" s="222"/>
      <c r="Q67" s="234"/>
      <c r="R67" s="228"/>
    </row>
    <row r="68" spans="1:18" s="52" customFormat="1" x14ac:dyDescent="0.25">
      <c r="A68" s="421"/>
      <c r="B68" s="385"/>
      <c r="C68" s="414"/>
      <c r="D68" s="222" t="s">
        <v>190</v>
      </c>
      <c r="E68" s="222" t="s">
        <v>111</v>
      </c>
      <c r="F68" s="214" t="s">
        <v>111</v>
      </c>
      <c r="G68" s="108" t="s">
        <v>111</v>
      </c>
      <c r="H68" s="385"/>
      <c r="I68" s="269" t="s">
        <v>26</v>
      </c>
      <c r="J68" s="269" t="s">
        <v>190</v>
      </c>
      <c r="K68" s="222" t="s">
        <v>16</v>
      </c>
      <c r="L68" s="214" t="s">
        <v>111</v>
      </c>
      <c r="M68" s="108">
        <v>116.5</v>
      </c>
      <c r="N68" s="222" t="s">
        <v>362</v>
      </c>
      <c r="O68" s="222"/>
      <c r="P68" s="222"/>
      <c r="Q68" s="234"/>
      <c r="R68" s="228"/>
    </row>
    <row r="69" spans="1:18" ht="30" x14ac:dyDescent="0.25">
      <c r="A69" s="419" t="s">
        <v>123</v>
      </c>
      <c r="B69" s="384">
        <f>30+5+50</f>
        <v>85</v>
      </c>
      <c r="C69" s="222" t="s">
        <v>26</v>
      </c>
      <c r="D69" s="214" t="s">
        <v>124</v>
      </c>
      <c r="E69" s="222" t="s">
        <v>16</v>
      </c>
      <c r="F69" s="214" t="s">
        <v>111</v>
      </c>
      <c r="G69" s="108">
        <v>22.2</v>
      </c>
      <c r="H69" s="384">
        <v>0</v>
      </c>
      <c r="I69" s="393"/>
      <c r="J69" s="393"/>
      <c r="K69" s="393"/>
      <c r="L69" s="393"/>
      <c r="M69" s="393"/>
      <c r="N69" s="378" t="s">
        <v>11</v>
      </c>
      <c r="O69" s="389" t="s">
        <v>125</v>
      </c>
      <c r="P69" s="392" t="s">
        <v>447</v>
      </c>
      <c r="Q69" s="372" t="s">
        <v>594</v>
      </c>
      <c r="R69" s="375">
        <v>44286</v>
      </c>
    </row>
    <row r="70" spans="1:18" s="52" customFormat="1" ht="30" x14ac:dyDescent="0.25">
      <c r="A70" s="421"/>
      <c r="B70" s="385"/>
      <c r="C70" s="222" t="s">
        <v>396</v>
      </c>
      <c r="D70" s="214" t="s">
        <v>124</v>
      </c>
      <c r="E70" s="222" t="s">
        <v>16</v>
      </c>
      <c r="F70" s="214" t="s">
        <v>111</v>
      </c>
      <c r="G70" s="108">
        <v>50</v>
      </c>
      <c r="H70" s="385"/>
      <c r="I70" s="395"/>
      <c r="J70" s="395"/>
      <c r="K70" s="395"/>
      <c r="L70" s="395"/>
      <c r="M70" s="395"/>
      <c r="N70" s="380"/>
      <c r="O70" s="391"/>
      <c r="P70" s="392"/>
      <c r="Q70" s="374"/>
      <c r="R70" s="460"/>
    </row>
    <row r="71" spans="1:18" ht="45" x14ac:dyDescent="0.25">
      <c r="A71" s="233" t="s">
        <v>127</v>
      </c>
      <c r="B71" s="76">
        <v>5</v>
      </c>
      <c r="C71" s="222" t="s">
        <v>396</v>
      </c>
      <c r="D71" s="222" t="s">
        <v>381</v>
      </c>
      <c r="E71" s="222" t="s">
        <v>16</v>
      </c>
      <c r="F71" s="214" t="s">
        <v>111</v>
      </c>
      <c r="G71" s="111">
        <v>4.74</v>
      </c>
      <c r="H71" s="76">
        <v>0</v>
      </c>
      <c r="I71" s="222"/>
      <c r="J71" s="222"/>
      <c r="K71" s="222"/>
      <c r="L71" s="214"/>
      <c r="M71" s="112"/>
      <c r="N71" s="222" t="s">
        <v>424</v>
      </c>
      <c r="O71" s="222" t="s">
        <v>111</v>
      </c>
      <c r="P71" s="231" t="s">
        <v>447</v>
      </c>
      <c r="Q71" s="234" t="s">
        <v>599</v>
      </c>
      <c r="R71" s="227">
        <v>44286</v>
      </c>
    </row>
    <row r="72" spans="1:18" ht="30" x14ac:dyDescent="0.25">
      <c r="A72" s="419" t="s">
        <v>128</v>
      </c>
      <c r="B72" s="384">
        <v>50</v>
      </c>
      <c r="C72" s="222" t="s">
        <v>8</v>
      </c>
      <c r="D72" s="214" t="s">
        <v>129</v>
      </c>
      <c r="E72" s="222" t="s">
        <v>10</v>
      </c>
      <c r="F72" s="214" t="s">
        <v>343</v>
      </c>
      <c r="G72" s="108">
        <v>50</v>
      </c>
      <c r="H72" s="384">
        <v>0</v>
      </c>
      <c r="I72" s="393" t="s">
        <v>26</v>
      </c>
      <c r="J72" s="384" t="s">
        <v>129</v>
      </c>
      <c r="K72" s="384" t="s">
        <v>16</v>
      </c>
      <c r="L72" s="384" t="s">
        <v>111</v>
      </c>
      <c r="M72" s="393">
        <v>49</v>
      </c>
      <c r="N72" s="378" t="s">
        <v>11</v>
      </c>
      <c r="O72" s="389" t="s">
        <v>130</v>
      </c>
      <c r="P72" s="392" t="s">
        <v>447</v>
      </c>
      <c r="Q72" s="372" t="s">
        <v>567</v>
      </c>
      <c r="R72" s="375">
        <v>11413</v>
      </c>
    </row>
    <row r="73" spans="1:18" s="52" customFormat="1" ht="30" x14ac:dyDescent="0.25">
      <c r="A73" s="420"/>
      <c r="B73" s="410"/>
      <c r="C73" s="222" t="s">
        <v>396</v>
      </c>
      <c r="D73" s="214" t="s">
        <v>129</v>
      </c>
      <c r="E73" s="222" t="s">
        <v>10</v>
      </c>
      <c r="F73" s="214" t="s">
        <v>343</v>
      </c>
      <c r="G73" s="108">
        <v>-49.654000000000003</v>
      </c>
      <c r="H73" s="410"/>
      <c r="I73" s="394"/>
      <c r="J73" s="410"/>
      <c r="K73" s="410" t="s">
        <v>16</v>
      </c>
      <c r="L73" s="410" t="s">
        <v>111</v>
      </c>
      <c r="M73" s="394"/>
      <c r="N73" s="379"/>
      <c r="O73" s="390"/>
      <c r="P73" s="392"/>
      <c r="Q73" s="373"/>
      <c r="R73" s="376"/>
    </row>
    <row r="74" spans="1:18" s="52" customFormat="1" x14ac:dyDescent="0.25">
      <c r="A74" s="421"/>
      <c r="B74" s="385"/>
      <c r="C74" s="222" t="s">
        <v>396</v>
      </c>
      <c r="D74" s="214" t="s">
        <v>129</v>
      </c>
      <c r="E74" s="222" t="s">
        <v>16</v>
      </c>
      <c r="F74" s="214" t="s">
        <v>111</v>
      </c>
      <c r="G74" s="108">
        <v>49.654000000000003</v>
      </c>
      <c r="H74" s="385"/>
      <c r="I74" s="395"/>
      <c r="J74" s="385"/>
      <c r="K74" s="385" t="s">
        <v>16</v>
      </c>
      <c r="L74" s="385" t="s">
        <v>111</v>
      </c>
      <c r="M74" s="395"/>
      <c r="N74" s="380"/>
      <c r="O74" s="391"/>
      <c r="P74" s="392"/>
      <c r="Q74" s="374"/>
      <c r="R74" s="377"/>
    </row>
    <row r="75" spans="1:18" x14ac:dyDescent="0.25">
      <c r="A75" s="419" t="s">
        <v>131</v>
      </c>
      <c r="B75" s="384">
        <v>50</v>
      </c>
      <c r="C75" s="378" t="s">
        <v>396</v>
      </c>
      <c r="D75" s="384" t="s">
        <v>153</v>
      </c>
      <c r="E75" s="378" t="s">
        <v>16</v>
      </c>
      <c r="F75" s="378" t="s">
        <v>111</v>
      </c>
      <c r="G75" s="513">
        <v>10</v>
      </c>
      <c r="H75" s="384">
        <v>156</v>
      </c>
      <c r="I75" s="222" t="s">
        <v>467</v>
      </c>
      <c r="J75" s="222" t="s">
        <v>153</v>
      </c>
      <c r="K75" s="222" t="s">
        <v>16</v>
      </c>
      <c r="L75" s="214" t="s">
        <v>111</v>
      </c>
      <c r="M75" s="112">
        <v>30.888862</v>
      </c>
      <c r="N75" s="378" t="s">
        <v>11</v>
      </c>
      <c r="O75" s="389" t="s">
        <v>157</v>
      </c>
      <c r="P75" s="466" t="s">
        <v>13</v>
      </c>
      <c r="Q75" s="466"/>
      <c r="R75" s="535"/>
    </row>
    <row r="76" spans="1:18" s="52" customFormat="1" x14ac:dyDescent="0.25">
      <c r="A76" s="420"/>
      <c r="B76" s="410"/>
      <c r="C76" s="379"/>
      <c r="D76" s="410"/>
      <c r="E76" s="379"/>
      <c r="F76" s="379"/>
      <c r="G76" s="514"/>
      <c r="H76" s="410"/>
      <c r="I76" s="222" t="s">
        <v>467</v>
      </c>
      <c r="J76" s="222" t="s">
        <v>153</v>
      </c>
      <c r="K76" s="222" t="s">
        <v>10</v>
      </c>
      <c r="L76" s="214"/>
      <c r="M76" s="139">
        <v>0.19092600000000001</v>
      </c>
      <c r="N76" s="379"/>
      <c r="O76" s="390"/>
      <c r="P76" s="466"/>
      <c r="Q76" s="466"/>
      <c r="R76" s="535"/>
    </row>
    <row r="77" spans="1:18" s="52" customFormat="1" x14ac:dyDescent="0.25">
      <c r="A77" s="420"/>
      <c r="B77" s="410"/>
      <c r="C77" s="380"/>
      <c r="D77" s="385"/>
      <c r="E77" s="380"/>
      <c r="F77" s="380"/>
      <c r="G77" s="515"/>
      <c r="H77" s="410"/>
      <c r="I77" s="269" t="s">
        <v>26</v>
      </c>
      <c r="J77" s="269" t="s">
        <v>153</v>
      </c>
      <c r="K77" s="269" t="s">
        <v>16</v>
      </c>
      <c r="L77" s="273" t="s">
        <v>111</v>
      </c>
      <c r="M77" s="112">
        <v>10</v>
      </c>
      <c r="N77" s="379"/>
      <c r="O77" s="390"/>
      <c r="P77" s="279"/>
      <c r="Q77" s="279"/>
      <c r="R77" s="283"/>
    </row>
    <row r="78" spans="1:18" s="52" customFormat="1" ht="30" x14ac:dyDescent="0.25">
      <c r="A78" s="420"/>
      <c r="B78" s="410"/>
      <c r="C78" s="378" t="s">
        <v>396</v>
      </c>
      <c r="D78" s="384" t="s">
        <v>154</v>
      </c>
      <c r="E78" s="378" t="s">
        <v>16</v>
      </c>
      <c r="F78" s="378" t="s">
        <v>111</v>
      </c>
      <c r="G78" s="393">
        <v>0.625</v>
      </c>
      <c r="H78" s="410"/>
      <c r="I78" s="222" t="s">
        <v>467</v>
      </c>
      <c r="J78" s="214" t="s">
        <v>154</v>
      </c>
      <c r="K78" s="222" t="s">
        <v>16</v>
      </c>
      <c r="L78" s="214" t="s">
        <v>111</v>
      </c>
      <c r="M78" s="112">
        <v>1.9279999999999999</v>
      </c>
      <c r="N78" s="379"/>
      <c r="O78" s="390"/>
      <c r="P78" s="466" t="s">
        <v>13</v>
      </c>
      <c r="Q78" s="466"/>
      <c r="R78" s="535"/>
    </row>
    <row r="79" spans="1:18" s="52" customFormat="1" ht="30" x14ac:dyDescent="0.25">
      <c r="A79" s="420"/>
      <c r="B79" s="410"/>
      <c r="C79" s="379"/>
      <c r="D79" s="410"/>
      <c r="E79" s="379"/>
      <c r="F79" s="379"/>
      <c r="G79" s="394"/>
      <c r="H79" s="410"/>
      <c r="I79" s="222" t="s">
        <v>467</v>
      </c>
      <c r="J79" s="214" t="s">
        <v>154</v>
      </c>
      <c r="K79" s="222" t="s">
        <v>10</v>
      </c>
      <c r="L79" s="214"/>
      <c r="M79" s="293">
        <v>1.35E-2</v>
      </c>
      <c r="N79" s="379"/>
      <c r="O79" s="390"/>
      <c r="P79" s="466"/>
      <c r="Q79" s="466"/>
      <c r="R79" s="535"/>
    </row>
    <row r="80" spans="1:18" s="52" customFormat="1" ht="30" x14ac:dyDescent="0.25">
      <c r="A80" s="420"/>
      <c r="B80" s="410"/>
      <c r="C80" s="380"/>
      <c r="D80" s="385"/>
      <c r="E80" s="380"/>
      <c r="F80" s="380"/>
      <c r="G80" s="395"/>
      <c r="H80" s="410"/>
      <c r="I80" s="269" t="s">
        <v>26</v>
      </c>
      <c r="J80" s="273" t="s">
        <v>154</v>
      </c>
      <c r="K80" s="269" t="s">
        <v>16</v>
      </c>
      <c r="L80" s="273" t="s">
        <v>111</v>
      </c>
      <c r="M80" s="293">
        <v>0.625</v>
      </c>
      <c r="N80" s="379"/>
      <c r="O80" s="390"/>
      <c r="P80" s="279"/>
      <c r="Q80" s="279"/>
      <c r="R80" s="283"/>
    </row>
    <row r="81" spans="1:18" s="52" customFormat="1" x14ac:dyDescent="0.25">
      <c r="A81" s="420"/>
      <c r="B81" s="410"/>
      <c r="C81" s="378" t="s">
        <v>396</v>
      </c>
      <c r="D81" s="384" t="s">
        <v>66</v>
      </c>
      <c r="E81" s="378" t="s">
        <v>16</v>
      </c>
      <c r="F81" s="384" t="s">
        <v>111</v>
      </c>
      <c r="G81" s="393">
        <v>5.875</v>
      </c>
      <c r="H81" s="410"/>
      <c r="I81" s="222" t="s">
        <v>467</v>
      </c>
      <c r="J81" s="222" t="s">
        <v>66</v>
      </c>
      <c r="K81" s="222" t="s">
        <v>16</v>
      </c>
      <c r="L81" s="214" t="s">
        <v>111</v>
      </c>
      <c r="M81" s="112">
        <v>18.128205000000001</v>
      </c>
      <c r="N81" s="379"/>
      <c r="O81" s="390"/>
      <c r="P81" s="392" t="s">
        <v>447</v>
      </c>
      <c r="Q81" s="522" t="s">
        <v>596</v>
      </c>
      <c r="R81" s="536">
        <v>44286</v>
      </c>
    </row>
    <row r="82" spans="1:18" s="52" customFormat="1" x14ac:dyDescent="0.25">
      <c r="A82" s="420"/>
      <c r="B82" s="410"/>
      <c r="C82" s="380"/>
      <c r="D82" s="385"/>
      <c r="E82" s="380"/>
      <c r="F82" s="385"/>
      <c r="G82" s="395"/>
      <c r="H82" s="410"/>
      <c r="I82" s="222" t="s">
        <v>467</v>
      </c>
      <c r="J82" s="222" t="s">
        <v>66</v>
      </c>
      <c r="K82" s="222" t="s">
        <v>10</v>
      </c>
      <c r="L82" s="214"/>
      <c r="M82" s="139">
        <v>0.12382899999999999</v>
      </c>
      <c r="N82" s="379"/>
      <c r="O82" s="390"/>
      <c r="P82" s="392"/>
      <c r="Q82" s="522"/>
      <c r="R82" s="537"/>
    </row>
    <row r="83" spans="1:18" s="52" customFormat="1" ht="30" x14ac:dyDescent="0.25">
      <c r="A83" s="420"/>
      <c r="B83" s="410"/>
      <c r="C83" s="378" t="s">
        <v>396</v>
      </c>
      <c r="D83" s="384" t="s">
        <v>68</v>
      </c>
      <c r="E83" s="378" t="s">
        <v>16</v>
      </c>
      <c r="F83" s="378" t="s">
        <v>111</v>
      </c>
      <c r="G83" s="393">
        <v>13.25</v>
      </c>
      <c r="H83" s="410"/>
      <c r="I83" s="222" t="s">
        <v>467</v>
      </c>
      <c r="J83" s="214" t="s">
        <v>68</v>
      </c>
      <c r="K83" s="222" t="s">
        <v>16</v>
      </c>
      <c r="L83" s="214" t="s">
        <v>111</v>
      </c>
      <c r="M83" s="112">
        <v>40.9</v>
      </c>
      <c r="N83" s="379"/>
      <c r="O83" s="390"/>
      <c r="P83" s="466" t="s">
        <v>13</v>
      </c>
      <c r="Q83" s="466"/>
      <c r="R83" s="535"/>
    </row>
    <row r="84" spans="1:18" s="52" customFormat="1" ht="30" x14ac:dyDescent="0.25">
      <c r="A84" s="420"/>
      <c r="B84" s="410"/>
      <c r="C84" s="379"/>
      <c r="D84" s="410"/>
      <c r="E84" s="379"/>
      <c r="F84" s="379"/>
      <c r="G84" s="394"/>
      <c r="H84" s="410"/>
      <c r="I84" s="222" t="s">
        <v>467</v>
      </c>
      <c r="J84" s="214" t="s">
        <v>68</v>
      </c>
      <c r="K84" s="222" t="s">
        <v>10</v>
      </c>
      <c r="L84" s="214"/>
      <c r="M84" s="139">
        <v>0.27</v>
      </c>
      <c r="N84" s="379"/>
      <c r="O84" s="390"/>
      <c r="P84" s="466"/>
      <c r="Q84" s="466"/>
      <c r="R84" s="535"/>
    </row>
    <row r="85" spans="1:18" s="52" customFormat="1" ht="30" x14ac:dyDescent="0.25">
      <c r="A85" s="420"/>
      <c r="B85" s="410"/>
      <c r="C85" s="380"/>
      <c r="D85" s="385"/>
      <c r="E85" s="380"/>
      <c r="F85" s="380"/>
      <c r="G85" s="395"/>
      <c r="H85" s="410"/>
      <c r="I85" s="269" t="s">
        <v>26</v>
      </c>
      <c r="J85" s="273" t="s">
        <v>68</v>
      </c>
      <c r="K85" s="269" t="s">
        <v>16</v>
      </c>
      <c r="L85" s="273" t="s">
        <v>111</v>
      </c>
      <c r="M85" s="139">
        <v>13.25</v>
      </c>
      <c r="N85" s="379"/>
      <c r="O85" s="390"/>
      <c r="P85" s="279"/>
      <c r="Q85" s="279"/>
      <c r="R85" s="283"/>
    </row>
    <row r="86" spans="1:18" s="52" customFormat="1" ht="30" x14ac:dyDescent="0.25">
      <c r="A86" s="420"/>
      <c r="B86" s="410"/>
      <c r="C86" s="378" t="s">
        <v>396</v>
      </c>
      <c r="D86" s="384" t="s">
        <v>155</v>
      </c>
      <c r="E86" s="378" t="s">
        <v>16</v>
      </c>
      <c r="F86" s="384" t="s">
        <v>111</v>
      </c>
      <c r="G86" s="393">
        <v>14.375</v>
      </c>
      <c r="H86" s="410"/>
      <c r="I86" s="222" t="s">
        <v>467</v>
      </c>
      <c r="J86" s="214" t="s">
        <v>155</v>
      </c>
      <c r="K86" s="222" t="s">
        <v>16</v>
      </c>
      <c r="L86" s="214" t="s">
        <v>111</v>
      </c>
      <c r="M86" s="112">
        <v>44.354999999999997</v>
      </c>
      <c r="N86" s="379"/>
      <c r="O86" s="390"/>
      <c r="P86" s="392" t="s">
        <v>447</v>
      </c>
      <c r="Q86" s="523" t="s">
        <v>598</v>
      </c>
      <c r="R86" s="538">
        <v>44286</v>
      </c>
    </row>
    <row r="87" spans="1:18" s="52" customFormat="1" ht="30" x14ac:dyDescent="0.25">
      <c r="A87" s="420"/>
      <c r="B87" s="410"/>
      <c r="C87" s="380"/>
      <c r="D87" s="385"/>
      <c r="E87" s="380"/>
      <c r="F87" s="385"/>
      <c r="G87" s="395"/>
      <c r="H87" s="410"/>
      <c r="I87" s="222" t="s">
        <v>467</v>
      </c>
      <c r="J87" s="214" t="s">
        <v>155</v>
      </c>
      <c r="K87" s="222" t="s">
        <v>10</v>
      </c>
      <c r="L87" s="214"/>
      <c r="M87" s="139">
        <v>0.30375000000000002</v>
      </c>
      <c r="N87" s="379"/>
      <c r="O87" s="390"/>
      <c r="P87" s="392"/>
      <c r="Q87" s="523"/>
      <c r="R87" s="535"/>
    </row>
    <row r="88" spans="1:18" s="52" customFormat="1" ht="30" x14ac:dyDescent="0.25">
      <c r="A88" s="420"/>
      <c r="B88" s="410"/>
      <c r="C88" s="378" t="s">
        <v>42</v>
      </c>
      <c r="D88" s="384" t="s">
        <v>156</v>
      </c>
      <c r="E88" s="378" t="s">
        <v>111</v>
      </c>
      <c r="F88" s="384" t="s">
        <v>111</v>
      </c>
      <c r="G88" s="401" t="s">
        <v>111</v>
      </c>
      <c r="H88" s="410"/>
      <c r="I88" s="222" t="s">
        <v>467</v>
      </c>
      <c r="J88" s="214" t="s">
        <v>156</v>
      </c>
      <c r="K88" s="222" t="s">
        <v>16</v>
      </c>
      <c r="L88" s="214" t="s">
        <v>111</v>
      </c>
      <c r="M88" s="112">
        <v>18.132000000000001</v>
      </c>
      <c r="N88" s="379"/>
      <c r="O88" s="390"/>
      <c r="P88" s="466" t="s">
        <v>13</v>
      </c>
      <c r="Q88" s="466"/>
      <c r="R88" s="535"/>
    </row>
    <row r="89" spans="1:18" s="52" customFormat="1" ht="30" x14ac:dyDescent="0.25">
      <c r="A89" s="420"/>
      <c r="B89" s="410"/>
      <c r="C89" s="379"/>
      <c r="D89" s="410"/>
      <c r="E89" s="379"/>
      <c r="F89" s="410"/>
      <c r="G89" s="511"/>
      <c r="H89" s="410"/>
      <c r="I89" s="222" t="s">
        <v>467</v>
      </c>
      <c r="J89" s="214" t="s">
        <v>156</v>
      </c>
      <c r="K89" s="222" t="s">
        <v>10</v>
      </c>
      <c r="L89" s="214"/>
      <c r="M89" s="139">
        <v>0.1215</v>
      </c>
      <c r="N89" s="379"/>
      <c r="O89" s="390"/>
      <c r="P89" s="466"/>
      <c r="Q89" s="466"/>
      <c r="R89" s="535"/>
    </row>
    <row r="90" spans="1:18" s="52" customFormat="1" ht="14.25" customHeight="1" x14ac:dyDescent="0.25">
      <c r="A90" s="421"/>
      <c r="B90" s="385"/>
      <c r="C90" s="380"/>
      <c r="D90" s="385"/>
      <c r="E90" s="380"/>
      <c r="F90" s="385"/>
      <c r="G90" s="402"/>
      <c r="H90" s="385"/>
      <c r="I90" s="258" t="s">
        <v>26</v>
      </c>
      <c r="J90" s="273" t="s">
        <v>156</v>
      </c>
      <c r="K90" s="269" t="s">
        <v>16</v>
      </c>
      <c r="L90" s="273" t="s">
        <v>111</v>
      </c>
      <c r="M90" s="288">
        <v>5.875</v>
      </c>
      <c r="N90" s="380"/>
      <c r="O90" s="391"/>
      <c r="P90" s="466"/>
      <c r="Q90" s="466"/>
      <c r="R90" s="535"/>
    </row>
    <row r="91" spans="1:18" x14ac:dyDescent="0.25">
      <c r="A91" s="233" t="s">
        <v>132</v>
      </c>
      <c r="B91" s="76">
        <v>0</v>
      </c>
      <c r="C91" s="222" t="s">
        <v>42</v>
      </c>
      <c r="D91" s="222" t="s">
        <v>30</v>
      </c>
      <c r="E91" s="222" t="s">
        <v>111</v>
      </c>
      <c r="F91" s="222" t="s">
        <v>111</v>
      </c>
      <c r="G91" s="108" t="s">
        <v>111</v>
      </c>
      <c r="H91" s="76">
        <v>93</v>
      </c>
      <c r="I91" s="222"/>
      <c r="J91" s="222"/>
      <c r="K91" s="222"/>
      <c r="L91" s="214"/>
      <c r="M91" s="108"/>
      <c r="N91" s="222" t="s">
        <v>362</v>
      </c>
      <c r="O91" s="222"/>
      <c r="P91" s="222"/>
      <c r="Q91" s="234"/>
      <c r="R91" s="228"/>
    </row>
    <row r="92" spans="1:18" x14ac:dyDescent="0.25">
      <c r="A92" s="233" t="s">
        <v>133</v>
      </c>
      <c r="B92" s="76">
        <v>0</v>
      </c>
      <c r="C92" s="222" t="s">
        <v>42</v>
      </c>
      <c r="D92" s="222" t="s">
        <v>30</v>
      </c>
      <c r="E92" s="222" t="s">
        <v>111</v>
      </c>
      <c r="F92" s="222" t="s">
        <v>111</v>
      </c>
      <c r="G92" s="108" t="s">
        <v>111</v>
      </c>
      <c r="H92" s="76">
        <v>205</v>
      </c>
      <c r="I92" s="222"/>
      <c r="J92" s="222"/>
      <c r="K92" s="222"/>
      <c r="L92" s="214"/>
      <c r="M92" s="108"/>
      <c r="N92" s="222" t="s">
        <v>362</v>
      </c>
      <c r="O92" s="222"/>
      <c r="P92" s="222"/>
      <c r="Q92" s="234"/>
      <c r="R92" s="228"/>
    </row>
    <row r="93" spans="1:18" x14ac:dyDescent="0.25">
      <c r="A93" s="233" t="s">
        <v>134</v>
      </c>
      <c r="B93" s="76">
        <v>57</v>
      </c>
      <c r="C93" s="222" t="s">
        <v>42</v>
      </c>
      <c r="D93" s="222" t="s">
        <v>30</v>
      </c>
      <c r="E93" s="222" t="s">
        <v>111</v>
      </c>
      <c r="F93" s="214" t="s">
        <v>358</v>
      </c>
      <c r="G93" s="108" t="s">
        <v>111</v>
      </c>
      <c r="H93" s="76">
        <v>171</v>
      </c>
      <c r="I93" s="222"/>
      <c r="J93" s="222"/>
      <c r="K93" s="222"/>
      <c r="L93" s="214"/>
      <c r="M93" s="108"/>
      <c r="N93" s="222" t="s">
        <v>11</v>
      </c>
      <c r="O93" s="223" t="s">
        <v>31</v>
      </c>
      <c r="P93" s="222" t="s">
        <v>13</v>
      </c>
      <c r="Q93" s="234"/>
      <c r="R93" s="228"/>
    </row>
    <row r="94" spans="1:18" x14ac:dyDescent="0.25">
      <c r="A94" s="233" t="s">
        <v>135</v>
      </c>
      <c r="B94" s="76">
        <v>0</v>
      </c>
      <c r="C94" s="222" t="s">
        <v>42</v>
      </c>
      <c r="D94" s="222" t="s">
        <v>30</v>
      </c>
      <c r="E94" s="222" t="s">
        <v>111</v>
      </c>
      <c r="F94" s="222" t="s">
        <v>111</v>
      </c>
      <c r="G94" s="108" t="s">
        <v>111</v>
      </c>
      <c r="H94" s="76">
        <v>65</v>
      </c>
      <c r="I94" s="222"/>
      <c r="J94" s="222"/>
      <c r="K94" s="222"/>
      <c r="L94" s="214"/>
      <c r="M94" s="108"/>
      <c r="N94" s="222" t="s">
        <v>362</v>
      </c>
      <c r="O94" s="223"/>
      <c r="P94" s="222"/>
      <c r="Q94" s="234"/>
      <c r="R94" s="228"/>
    </row>
    <row r="95" spans="1:18" ht="75" x14ac:dyDescent="0.25">
      <c r="A95" s="233" t="s">
        <v>136</v>
      </c>
      <c r="B95" s="76">
        <v>331</v>
      </c>
      <c r="C95" s="222" t="s">
        <v>42</v>
      </c>
      <c r="D95" s="222" t="s">
        <v>30</v>
      </c>
      <c r="E95" s="214" t="s">
        <v>111</v>
      </c>
      <c r="F95" s="214" t="s">
        <v>358</v>
      </c>
      <c r="G95" s="108" t="s">
        <v>111</v>
      </c>
      <c r="H95" s="76">
        <v>0</v>
      </c>
      <c r="I95" s="222" t="s">
        <v>26</v>
      </c>
      <c r="J95" s="269" t="s">
        <v>30</v>
      </c>
      <c r="K95" s="214" t="s">
        <v>16</v>
      </c>
      <c r="L95" s="214" t="s">
        <v>111</v>
      </c>
      <c r="M95" s="108">
        <f>359.6322+0.375791+2.632027</f>
        <v>362.640018</v>
      </c>
      <c r="N95" s="222" t="s">
        <v>11</v>
      </c>
      <c r="O95" s="223" t="s">
        <v>137</v>
      </c>
      <c r="P95" s="214" t="s">
        <v>19</v>
      </c>
      <c r="Q95" s="224" t="s">
        <v>450</v>
      </c>
      <c r="R95" s="227">
        <v>44245</v>
      </c>
    </row>
    <row r="96" spans="1:18" s="52" customFormat="1" x14ac:dyDescent="0.25">
      <c r="A96" s="233" t="s">
        <v>420</v>
      </c>
      <c r="B96" s="91">
        <v>0</v>
      </c>
      <c r="C96" s="222" t="s">
        <v>42</v>
      </c>
      <c r="D96" s="222" t="s">
        <v>66</v>
      </c>
      <c r="E96" s="214" t="s">
        <v>111</v>
      </c>
      <c r="F96" s="214" t="s">
        <v>111</v>
      </c>
      <c r="G96" s="108" t="s">
        <v>111</v>
      </c>
      <c r="H96" s="91">
        <v>110</v>
      </c>
      <c r="I96" s="222" t="s">
        <v>26</v>
      </c>
      <c r="J96" s="222" t="s">
        <v>66</v>
      </c>
      <c r="K96" s="214" t="s">
        <v>16</v>
      </c>
      <c r="L96" s="214" t="s">
        <v>111</v>
      </c>
      <c r="M96" s="108">
        <f>100+7.250251</f>
        <v>107.25025100000001</v>
      </c>
      <c r="N96" s="215" t="s">
        <v>11</v>
      </c>
      <c r="O96" s="223" t="s">
        <v>157</v>
      </c>
      <c r="P96" s="211" t="s">
        <v>13</v>
      </c>
      <c r="Q96" s="226"/>
      <c r="R96" s="242"/>
    </row>
    <row r="97" spans="1:18" ht="30" x14ac:dyDescent="0.25">
      <c r="A97" s="427" t="s">
        <v>138</v>
      </c>
      <c r="B97" s="384">
        <f>250+155</f>
        <v>405</v>
      </c>
      <c r="C97" s="222" t="s">
        <v>26</v>
      </c>
      <c r="D97" s="214" t="s">
        <v>70</v>
      </c>
      <c r="E97" s="222" t="s">
        <v>10</v>
      </c>
      <c r="F97" s="214" t="s">
        <v>343</v>
      </c>
      <c r="G97" s="108">
        <v>250</v>
      </c>
      <c r="H97" s="384">
        <v>0</v>
      </c>
      <c r="I97" s="393"/>
      <c r="J97" s="393"/>
      <c r="K97" s="393"/>
      <c r="L97" s="393"/>
      <c r="M97" s="393"/>
      <c r="N97" s="378" t="s">
        <v>11</v>
      </c>
      <c r="O97" s="389" t="s">
        <v>114</v>
      </c>
      <c r="P97" s="386" t="s">
        <v>447</v>
      </c>
      <c r="Q97" s="474" t="s">
        <v>556</v>
      </c>
      <c r="R97" s="375">
        <v>44286</v>
      </c>
    </row>
    <row r="98" spans="1:18" ht="30" x14ac:dyDescent="0.25">
      <c r="A98" s="427"/>
      <c r="B98" s="410"/>
      <c r="C98" s="222" t="s">
        <v>8</v>
      </c>
      <c r="D98" s="214" t="s">
        <v>70</v>
      </c>
      <c r="E98" s="222" t="s">
        <v>10</v>
      </c>
      <c r="F98" s="214" t="s">
        <v>347</v>
      </c>
      <c r="G98" s="108">
        <v>124.16</v>
      </c>
      <c r="H98" s="410"/>
      <c r="I98" s="394"/>
      <c r="J98" s="394"/>
      <c r="K98" s="394"/>
      <c r="L98" s="394"/>
      <c r="M98" s="394"/>
      <c r="N98" s="379"/>
      <c r="O98" s="390"/>
      <c r="P98" s="387"/>
      <c r="Q98" s="475"/>
      <c r="R98" s="376"/>
    </row>
    <row r="99" spans="1:18" s="52" customFormat="1" x14ac:dyDescent="0.25">
      <c r="A99" s="427"/>
      <c r="B99" s="410"/>
      <c r="C99" s="222" t="s">
        <v>8</v>
      </c>
      <c r="D99" s="214" t="s">
        <v>70</v>
      </c>
      <c r="E99" s="222" t="s">
        <v>16</v>
      </c>
      <c r="F99" s="214" t="s">
        <v>111</v>
      </c>
      <c r="G99" s="108">
        <v>31.04</v>
      </c>
      <c r="H99" s="410"/>
      <c r="I99" s="394"/>
      <c r="J99" s="394"/>
      <c r="K99" s="394"/>
      <c r="L99" s="394"/>
      <c r="M99" s="394"/>
      <c r="N99" s="379"/>
      <c r="O99" s="390"/>
      <c r="P99" s="387"/>
      <c r="Q99" s="475"/>
      <c r="R99" s="376"/>
    </row>
    <row r="100" spans="1:18" s="52" customFormat="1" ht="30" x14ac:dyDescent="0.25">
      <c r="A100" s="427"/>
      <c r="B100" s="410"/>
      <c r="C100" s="222" t="s">
        <v>396</v>
      </c>
      <c r="D100" s="214" t="s">
        <v>70</v>
      </c>
      <c r="E100" s="222" t="s">
        <v>10</v>
      </c>
      <c r="F100" s="214" t="s">
        <v>347</v>
      </c>
      <c r="G100" s="108">
        <v>-118.67460699999999</v>
      </c>
      <c r="H100" s="410"/>
      <c r="I100" s="394"/>
      <c r="J100" s="394"/>
      <c r="K100" s="394"/>
      <c r="L100" s="394"/>
      <c r="M100" s="394"/>
      <c r="N100" s="379"/>
      <c r="O100" s="390"/>
      <c r="P100" s="387"/>
      <c r="Q100" s="475"/>
      <c r="R100" s="376"/>
    </row>
    <row r="101" spans="1:18" x14ac:dyDescent="0.25">
      <c r="A101" s="427"/>
      <c r="B101" s="385"/>
      <c r="C101" s="216" t="s">
        <v>396</v>
      </c>
      <c r="D101" s="214" t="s">
        <v>70</v>
      </c>
      <c r="E101" s="216" t="s">
        <v>16</v>
      </c>
      <c r="F101" s="212" t="s">
        <v>111</v>
      </c>
      <c r="G101" s="148">
        <v>118.67460699999999</v>
      </c>
      <c r="H101" s="385"/>
      <c r="I101" s="395"/>
      <c r="J101" s="395"/>
      <c r="K101" s="395"/>
      <c r="L101" s="395"/>
      <c r="M101" s="395"/>
      <c r="N101" s="380"/>
      <c r="O101" s="391"/>
      <c r="P101" s="388"/>
      <c r="Q101" s="476"/>
      <c r="R101" s="377"/>
    </row>
    <row r="102" spans="1:18" x14ac:dyDescent="0.25">
      <c r="A102" s="233" t="s">
        <v>139</v>
      </c>
      <c r="B102" s="76">
        <v>20</v>
      </c>
      <c r="C102" s="222" t="s">
        <v>26</v>
      </c>
      <c r="D102" s="214" t="s">
        <v>66</v>
      </c>
      <c r="E102" s="222" t="s">
        <v>16</v>
      </c>
      <c r="F102" s="214" t="s">
        <v>111</v>
      </c>
      <c r="G102" s="108">
        <v>11.154370999999999</v>
      </c>
      <c r="H102" s="76">
        <v>0</v>
      </c>
      <c r="I102" s="222"/>
      <c r="J102" s="214"/>
      <c r="K102" s="222"/>
      <c r="L102" s="214"/>
      <c r="M102" s="108"/>
      <c r="N102" s="222" t="s">
        <v>11</v>
      </c>
      <c r="O102" s="223" t="s">
        <v>67</v>
      </c>
      <c r="P102" s="222" t="s">
        <v>19</v>
      </c>
      <c r="Q102" s="224" t="s">
        <v>369</v>
      </c>
      <c r="R102" s="227">
        <v>44104</v>
      </c>
    </row>
    <row r="103" spans="1:18" ht="30" x14ac:dyDescent="0.25">
      <c r="A103" s="233" t="s">
        <v>159</v>
      </c>
      <c r="B103" s="86">
        <f>2080+425</f>
        <v>2505</v>
      </c>
      <c r="C103" s="222" t="s">
        <v>42</v>
      </c>
      <c r="D103" s="222" t="s">
        <v>140</v>
      </c>
      <c r="E103" s="222" t="s">
        <v>111</v>
      </c>
      <c r="F103" s="214" t="s">
        <v>343</v>
      </c>
      <c r="G103" s="108" t="s">
        <v>111</v>
      </c>
      <c r="H103" s="86">
        <f>-30</f>
        <v>-30</v>
      </c>
      <c r="I103" s="222"/>
      <c r="J103" s="222"/>
      <c r="K103" s="222"/>
      <c r="L103" s="214"/>
      <c r="M103" s="108"/>
      <c r="N103" s="222" t="s">
        <v>11</v>
      </c>
      <c r="O103" s="223" t="s">
        <v>160</v>
      </c>
      <c r="P103" s="214" t="s">
        <v>213</v>
      </c>
      <c r="Q103" s="234"/>
      <c r="R103" s="228"/>
    </row>
    <row r="104" spans="1:18" ht="30" x14ac:dyDescent="0.25">
      <c r="A104" s="427" t="s">
        <v>161</v>
      </c>
      <c r="B104" s="396">
        <v>3000</v>
      </c>
      <c r="C104" s="222" t="s">
        <v>8</v>
      </c>
      <c r="D104" s="222" t="s">
        <v>14</v>
      </c>
      <c r="E104" s="222" t="s">
        <v>10</v>
      </c>
      <c r="F104" s="214" t="s">
        <v>343</v>
      </c>
      <c r="G104" s="108">
        <v>2538.9999889999999</v>
      </c>
      <c r="H104" s="396">
        <v>0</v>
      </c>
      <c r="I104" s="393"/>
      <c r="J104" s="393"/>
      <c r="K104" s="393"/>
      <c r="L104" s="393"/>
      <c r="M104" s="393"/>
      <c r="N104" s="414" t="s">
        <v>11</v>
      </c>
      <c r="O104" s="435" t="s">
        <v>15</v>
      </c>
      <c r="P104" s="467" t="s">
        <v>19</v>
      </c>
      <c r="Q104" s="436" t="s">
        <v>498</v>
      </c>
      <c r="R104" s="451">
        <v>44284</v>
      </c>
    </row>
    <row r="105" spans="1:18" x14ac:dyDescent="0.25">
      <c r="A105" s="427"/>
      <c r="B105" s="385"/>
      <c r="C105" s="222" t="s">
        <v>8</v>
      </c>
      <c r="D105" s="222" t="s">
        <v>14</v>
      </c>
      <c r="E105" s="222" t="s">
        <v>16</v>
      </c>
      <c r="F105" s="214" t="s">
        <v>111</v>
      </c>
      <c r="G105" s="108">
        <v>461.00001099999997</v>
      </c>
      <c r="H105" s="385"/>
      <c r="I105" s="395"/>
      <c r="J105" s="395"/>
      <c r="K105" s="395"/>
      <c r="L105" s="395"/>
      <c r="M105" s="395"/>
      <c r="N105" s="414"/>
      <c r="O105" s="435"/>
      <c r="P105" s="467"/>
      <c r="Q105" s="436"/>
      <c r="R105" s="468"/>
    </row>
    <row r="106" spans="1:18" ht="30" x14ac:dyDescent="0.25">
      <c r="A106" s="419" t="s">
        <v>162</v>
      </c>
      <c r="B106" s="396">
        <f>72625+8000-4570</f>
        <v>76055</v>
      </c>
      <c r="C106" s="222" t="s">
        <v>26</v>
      </c>
      <c r="D106" s="214" t="s">
        <v>35</v>
      </c>
      <c r="E106" s="222" t="s">
        <v>10</v>
      </c>
      <c r="F106" s="214" t="s">
        <v>343</v>
      </c>
      <c r="G106" s="108">
        <v>60000</v>
      </c>
      <c r="H106" s="396">
        <v>0</v>
      </c>
      <c r="I106" s="393" t="s">
        <v>26</v>
      </c>
      <c r="J106" s="422" t="s">
        <v>35</v>
      </c>
      <c r="K106" s="393" t="s">
        <v>16</v>
      </c>
      <c r="L106" s="393" t="s">
        <v>111</v>
      </c>
      <c r="M106" s="393">
        <v>190.20674</v>
      </c>
      <c r="N106" s="414" t="s">
        <v>11</v>
      </c>
      <c r="O106" s="435" t="s">
        <v>163</v>
      </c>
      <c r="P106" s="386" t="s">
        <v>164</v>
      </c>
      <c r="Q106" s="436" t="s">
        <v>511</v>
      </c>
      <c r="R106" s="451">
        <v>44286</v>
      </c>
    </row>
    <row r="107" spans="1:18" s="52" customFormat="1" ht="30" x14ac:dyDescent="0.25">
      <c r="A107" s="420"/>
      <c r="B107" s="397"/>
      <c r="C107" s="222" t="s">
        <v>8</v>
      </c>
      <c r="D107" s="214" t="s">
        <v>35</v>
      </c>
      <c r="E107" s="222" t="s">
        <v>10</v>
      </c>
      <c r="F107" s="214" t="s">
        <v>343</v>
      </c>
      <c r="G107" s="108">
        <v>28467.769</v>
      </c>
      <c r="H107" s="397"/>
      <c r="I107" s="394"/>
      <c r="J107" s="437"/>
      <c r="K107" s="394"/>
      <c r="L107" s="394"/>
      <c r="M107" s="394"/>
      <c r="N107" s="414"/>
      <c r="O107" s="435"/>
      <c r="P107" s="388"/>
      <c r="Q107" s="436"/>
      <c r="R107" s="451"/>
    </row>
    <row r="108" spans="1:18" s="52" customFormat="1" ht="30" x14ac:dyDescent="0.25">
      <c r="A108" s="420"/>
      <c r="B108" s="397"/>
      <c r="C108" s="222" t="s">
        <v>396</v>
      </c>
      <c r="D108" s="214" t="s">
        <v>35</v>
      </c>
      <c r="E108" s="222" t="s">
        <v>10</v>
      </c>
      <c r="F108" s="214" t="s">
        <v>343</v>
      </c>
      <c r="G108" s="108">
        <v>-12445</v>
      </c>
      <c r="H108" s="397"/>
      <c r="I108" s="394"/>
      <c r="J108" s="437"/>
      <c r="K108" s="394"/>
      <c r="L108" s="394"/>
      <c r="M108" s="394"/>
      <c r="N108" s="414"/>
      <c r="O108" s="435"/>
      <c r="P108" s="392" t="s">
        <v>447</v>
      </c>
      <c r="Q108" s="436"/>
      <c r="R108" s="451"/>
    </row>
    <row r="109" spans="1:18" ht="30" x14ac:dyDescent="0.25">
      <c r="A109" s="420"/>
      <c r="B109" s="397"/>
      <c r="C109" s="222" t="s">
        <v>396</v>
      </c>
      <c r="D109" s="214" t="s">
        <v>35</v>
      </c>
      <c r="E109" s="222" t="s">
        <v>10</v>
      </c>
      <c r="F109" s="214" t="s">
        <v>493</v>
      </c>
      <c r="G109" s="110">
        <v>500</v>
      </c>
      <c r="H109" s="397"/>
      <c r="I109" s="395"/>
      <c r="J109" s="423"/>
      <c r="K109" s="395"/>
      <c r="L109" s="395"/>
      <c r="M109" s="395"/>
      <c r="N109" s="414"/>
      <c r="O109" s="435"/>
      <c r="P109" s="392"/>
      <c r="Q109" s="436"/>
      <c r="R109" s="468"/>
    </row>
    <row r="110" spans="1:18" s="52" customFormat="1" ht="45" x14ac:dyDescent="0.25">
      <c r="A110" s="421"/>
      <c r="B110" s="398"/>
      <c r="C110" s="222" t="s">
        <v>42</v>
      </c>
      <c r="D110" s="214" t="s">
        <v>22</v>
      </c>
      <c r="E110" s="222" t="s">
        <v>111</v>
      </c>
      <c r="F110" s="214" t="s">
        <v>111</v>
      </c>
      <c r="G110" s="108" t="s">
        <v>111</v>
      </c>
      <c r="H110" s="398"/>
      <c r="I110" s="222"/>
      <c r="J110" s="214"/>
      <c r="K110" s="222"/>
      <c r="L110" s="214"/>
      <c r="M110" s="108"/>
      <c r="N110" s="222" t="s">
        <v>424</v>
      </c>
      <c r="O110" s="130" t="s">
        <v>111</v>
      </c>
      <c r="P110" s="231" t="s">
        <v>447</v>
      </c>
      <c r="Q110" s="224" t="s">
        <v>546</v>
      </c>
      <c r="R110" s="227">
        <v>44286</v>
      </c>
    </row>
    <row r="111" spans="1:18" ht="30" x14ac:dyDescent="0.25">
      <c r="A111" s="233" t="s">
        <v>165</v>
      </c>
      <c r="B111" s="76">
        <v>473</v>
      </c>
      <c r="C111" s="222" t="s">
        <v>8</v>
      </c>
      <c r="D111" s="222" t="s">
        <v>91</v>
      </c>
      <c r="E111" s="222" t="s">
        <v>10</v>
      </c>
      <c r="F111" s="214" t="s">
        <v>343</v>
      </c>
      <c r="G111" s="108">
        <v>9.9640000000000004</v>
      </c>
      <c r="H111" s="76">
        <v>0</v>
      </c>
      <c r="I111" s="222"/>
      <c r="J111" s="222"/>
      <c r="K111" s="222"/>
      <c r="L111" s="214"/>
      <c r="M111" s="108"/>
      <c r="N111" s="222" t="s">
        <v>11</v>
      </c>
      <c r="O111" s="223" t="s">
        <v>92</v>
      </c>
      <c r="P111" s="214" t="s">
        <v>19</v>
      </c>
      <c r="Q111" s="234" t="s">
        <v>373</v>
      </c>
      <c r="R111" s="227">
        <v>44286</v>
      </c>
    </row>
    <row r="112" spans="1:18" ht="60" x14ac:dyDescent="0.25">
      <c r="A112" s="419" t="s">
        <v>573</v>
      </c>
      <c r="B112" s="396">
        <f>5250-2240+20</f>
        <v>3030</v>
      </c>
      <c r="C112" s="222" t="s">
        <v>26</v>
      </c>
      <c r="D112" s="214" t="s">
        <v>35</v>
      </c>
      <c r="E112" s="222" t="s">
        <v>10</v>
      </c>
      <c r="F112" s="214" t="s">
        <v>345</v>
      </c>
      <c r="G112" s="108">
        <v>5250</v>
      </c>
      <c r="H112" s="396">
        <v>20</v>
      </c>
      <c r="I112" s="269" t="s">
        <v>467</v>
      </c>
      <c r="J112" s="273" t="s">
        <v>35</v>
      </c>
      <c r="K112" s="269" t="s">
        <v>16</v>
      </c>
      <c r="L112" s="273" t="s">
        <v>111</v>
      </c>
      <c r="M112" s="281">
        <v>20.165317000000002</v>
      </c>
      <c r="N112" s="378" t="s">
        <v>424</v>
      </c>
      <c r="O112" s="378" t="s">
        <v>111</v>
      </c>
      <c r="P112" s="231" t="s">
        <v>166</v>
      </c>
      <c r="Q112" s="474" t="s">
        <v>512</v>
      </c>
      <c r="R112" s="375">
        <v>44286</v>
      </c>
    </row>
    <row r="113" spans="1:18" s="52" customFormat="1" ht="30" x14ac:dyDescent="0.25">
      <c r="A113" s="420"/>
      <c r="B113" s="397"/>
      <c r="C113" s="222" t="s">
        <v>396</v>
      </c>
      <c r="D113" s="214" t="s">
        <v>35</v>
      </c>
      <c r="E113" s="222" t="s">
        <v>16</v>
      </c>
      <c r="F113" s="214" t="s">
        <v>111</v>
      </c>
      <c r="G113" s="108">
        <v>8</v>
      </c>
      <c r="H113" s="397"/>
      <c r="I113" s="378" t="s">
        <v>26</v>
      </c>
      <c r="J113" s="384" t="s">
        <v>35</v>
      </c>
      <c r="K113" s="378" t="s">
        <v>16</v>
      </c>
      <c r="L113" s="378" t="s">
        <v>111</v>
      </c>
      <c r="M113" s="393">
        <v>11.334629</v>
      </c>
      <c r="N113" s="379"/>
      <c r="O113" s="379"/>
      <c r="P113" s="392" t="s">
        <v>447</v>
      </c>
      <c r="Q113" s="475"/>
      <c r="R113" s="376"/>
    </row>
    <row r="114" spans="1:18" s="52" customFormat="1" ht="60" x14ac:dyDescent="0.25">
      <c r="A114" s="421"/>
      <c r="B114" s="398"/>
      <c r="C114" s="222" t="s">
        <v>396</v>
      </c>
      <c r="D114" s="214" t="s">
        <v>35</v>
      </c>
      <c r="E114" s="222" t="s">
        <v>10</v>
      </c>
      <c r="F114" s="214" t="s">
        <v>345</v>
      </c>
      <c r="G114" s="108">
        <v>-2227.805848</v>
      </c>
      <c r="H114" s="398"/>
      <c r="I114" s="380"/>
      <c r="J114" s="385"/>
      <c r="K114" s="380"/>
      <c r="L114" s="380"/>
      <c r="M114" s="395"/>
      <c r="N114" s="380"/>
      <c r="O114" s="380"/>
      <c r="P114" s="392"/>
      <c r="Q114" s="476"/>
      <c r="R114" s="377"/>
    </row>
    <row r="115" spans="1:18" ht="60" x14ac:dyDescent="0.25">
      <c r="A115" s="419" t="s">
        <v>167</v>
      </c>
      <c r="B115" s="396">
        <f>2974-811</f>
        <v>2163</v>
      </c>
      <c r="C115" s="222" t="s">
        <v>26</v>
      </c>
      <c r="D115" s="214" t="s">
        <v>169</v>
      </c>
      <c r="E115" s="222" t="s">
        <v>10</v>
      </c>
      <c r="F115" s="214" t="s">
        <v>345</v>
      </c>
      <c r="G115" s="108">
        <v>2972.9</v>
      </c>
      <c r="H115" s="396">
        <v>0</v>
      </c>
      <c r="I115" s="393" t="s">
        <v>26</v>
      </c>
      <c r="J115" s="393" t="s">
        <v>169</v>
      </c>
      <c r="K115" s="393" t="s">
        <v>16</v>
      </c>
      <c r="L115" s="393" t="s">
        <v>111</v>
      </c>
      <c r="M115" s="393">
        <v>15.8</v>
      </c>
      <c r="N115" s="378" t="s">
        <v>11</v>
      </c>
      <c r="O115" s="389" t="s">
        <v>170</v>
      </c>
      <c r="P115" s="386" t="s">
        <v>670</v>
      </c>
      <c r="Q115" s="543" t="s">
        <v>613</v>
      </c>
      <c r="R115" s="540">
        <v>44317</v>
      </c>
    </row>
    <row r="116" spans="1:18" ht="60" x14ac:dyDescent="0.25">
      <c r="A116" s="420"/>
      <c r="B116" s="397"/>
      <c r="C116" s="222" t="s">
        <v>8</v>
      </c>
      <c r="D116" s="214" t="s">
        <v>169</v>
      </c>
      <c r="E116" s="222" t="s">
        <v>10</v>
      </c>
      <c r="F116" s="214" t="s">
        <v>345</v>
      </c>
      <c r="G116" s="108">
        <v>-5</v>
      </c>
      <c r="H116" s="397"/>
      <c r="I116" s="394"/>
      <c r="J116" s="394"/>
      <c r="K116" s="394"/>
      <c r="L116" s="394"/>
      <c r="M116" s="394"/>
      <c r="N116" s="379"/>
      <c r="O116" s="390"/>
      <c r="P116" s="387"/>
      <c r="Q116" s="544"/>
      <c r="R116" s="541"/>
    </row>
    <row r="117" spans="1:18" x14ac:dyDescent="0.25">
      <c r="A117" s="420"/>
      <c r="B117" s="397"/>
      <c r="C117" s="222" t="s">
        <v>8</v>
      </c>
      <c r="D117" s="214" t="s">
        <v>169</v>
      </c>
      <c r="E117" s="222" t="s">
        <v>16</v>
      </c>
      <c r="F117" s="214" t="s">
        <v>111</v>
      </c>
      <c r="G117" s="108">
        <v>5</v>
      </c>
      <c r="H117" s="397"/>
      <c r="I117" s="394"/>
      <c r="J117" s="394"/>
      <c r="K117" s="394"/>
      <c r="L117" s="394"/>
      <c r="M117" s="394"/>
      <c r="N117" s="379"/>
      <c r="O117" s="390"/>
      <c r="P117" s="387"/>
      <c r="Q117" s="544"/>
      <c r="R117" s="541"/>
    </row>
    <row r="118" spans="1:18" s="52" customFormat="1" ht="60" x14ac:dyDescent="0.25">
      <c r="A118" s="420"/>
      <c r="B118" s="397"/>
      <c r="C118" s="222" t="s">
        <v>396</v>
      </c>
      <c r="D118" s="214" t="s">
        <v>169</v>
      </c>
      <c r="E118" s="222" t="s">
        <v>10</v>
      </c>
      <c r="F118" s="214" t="s">
        <v>345</v>
      </c>
      <c r="G118" s="108">
        <v>-825.35683400000005</v>
      </c>
      <c r="H118" s="397"/>
      <c r="I118" s="394"/>
      <c r="J118" s="394"/>
      <c r="K118" s="394"/>
      <c r="L118" s="394"/>
      <c r="M118" s="394"/>
      <c r="N118" s="379"/>
      <c r="O118" s="390"/>
      <c r="P118" s="387"/>
      <c r="Q118" s="544"/>
      <c r="R118" s="541"/>
    </row>
    <row r="119" spans="1:18" s="52" customFormat="1" x14ac:dyDescent="0.25">
      <c r="A119" s="421"/>
      <c r="B119" s="398"/>
      <c r="C119" s="222" t="s">
        <v>396</v>
      </c>
      <c r="D119" s="214" t="s">
        <v>169</v>
      </c>
      <c r="E119" s="222" t="s">
        <v>16</v>
      </c>
      <c r="F119" s="214" t="s">
        <v>111</v>
      </c>
      <c r="G119" s="108">
        <v>13.456834000000001</v>
      </c>
      <c r="H119" s="398"/>
      <c r="I119" s="395"/>
      <c r="J119" s="395"/>
      <c r="K119" s="395"/>
      <c r="L119" s="395"/>
      <c r="M119" s="395"/>
      <c r="N119" s="380"/>
      <c r="O119" s="391"/>
      <c r="P119" s="388"/>
      <c r="Q119" s="545"/>
      <c r="R119" s="542"/>
    </row>
    <row r="120" spans="1:18" x14ac:dyDescent="0.25">
      <c r="A120" s="142" t="s">
        <v>168</v>
      </c>
      <c r="B120" s="93">
        <f>-569+62</f>
        <v>-507</v>
      </c>
      <c r="C120" s="222"/>
      <c r="D120" s="222"/>
      <c r="E120" s="222"/>
      <c r="F120" s="214"/>
      <c r="G120" s="111"/>
      <c r="H120" s="93"/>
      <c r="I120" s="222"/>
      <c r="J120" s="222"/>
      <c r="K120" s="222"/>
      <c r="L120" s="214"/>
      <c r="M120" s="112"/>
      <c r="N120" s="222"/>
      <c r="O120" s="222"/>
      <c r="P120" s="222"/>
      <c r="Q120" s="234"/>
      <c r="R120" s="228"/>
    </row>
    <row r="121" spans="1:18" ht="45" x14ac:dyDescent="0.25">
      <c r="A121" s="233" t="s">
        <v>171</v>
      </c>
      <c r="B121" s="76">
        <v>133</v>
      </c>
      <c r="C121" s="222" t="s">
        <v>396</v>
      </c>
      <c r="D121" s="222" t="s">
        <v>37</v>
      </c>
      <c r="E121" s="222" t="s">
        <v>16</v>
      </c>
      <c r="F121" s="214" t="s">
        <v>111</v>
      </c>
      <c r="G121" s="108">
        <v>58</v>
      </c>
      <c r="H121" s="76">
        <v>0</v>
      </c>
      <c r="I121" s="222"/>
      <c r="J121" s="222"/>
      <c r="K121" s="222"/>
      <c r="L121" s="214"/>
      <c r="M121" s="108"/>
      <c r="N121" s="222" t="s">
        <v>11</v>
      </c>
      <c r="O121" s="223" t="s">
        <v>38</v>
      </c>
      <c r="P121" s="231" t="s">
        <v>447</v>
      </c>
      <c r="Q121" s="224" t="s">
        <v>535</v>
      </c>
      <c r="R121" s="227">
        <v>44286</v>
      </c>
    </row>
    <row r="122" spans="1:18" ht="45" x14ac:dyDescent="0.25">
      <c r="A122" s="233" t="s">
        <v>172</v>
      </c>
      <c r="B122" s="76">
        <v>17</v>
      </c>
      <c r="C122" s="222" t="s">
        <v>42</v>
      </c>
      <c r="D122" s="214" t="s">
        <v>27</v>
      </c>
      <c r="E122" s="222" t="s">
        <v>111</v>
      </c>
      <c r="F122" s="214" t="s">
        <v>111</v>
      </c>
      <c r="G122" s="108" t="s">
        <v>111</v>
      </c>
      <c r="H122" s="76">
        <v>0</v>
      </c>
      <c r="I122" s="222"/>
      <c r="J122" s="214"/>
      <c r="K122" s="222"/>
      <c r="L122" s="214"/>
      <c r="M122" s="108"/>
      <c r="N122" s="222" t="s">
        <v>11</v>
      </c>
      <c r="O122" s="223" t="s">
        <v>173</v>
      </c>
      <c r="P122" s="231" t="s">
        <v>447</v>
      </c>
      <c r="Q122" s="224" t="s">
        <v>174</v>
      </c>
      <c r="R122" s="227">
        <v>44286</v>
      </c>
    </row>
    <row r="123" spans="1:18" ht="30" x14ac:dyDescent="0.25">
      <c r="A123" s="427" t="s">
        <v>175</v>
      </c>
      <c r="B123" s="384">
        <v>307</v>
      </c>
      <c r="C123" s="222" t="s">
        <v>8</v>
      </c>
      <c r="D123" s="222" t="s">
        <v>37</v>
      </c>
      <c r="E123" s="222" t="s">
        <v>10</v>
      </c>
      <c r="F123" s="214" t="s">
        <v>343</v>
      </c>
      <c r="G123" s="108">
        <v>75</v>
      </c>
      <c r="H123" s="384">
        <v>-23</v>
      </c>
      <c r="I123" s="378" t="s">
        <v>467</v>
      </c>
      <c r="J123" s="378" t="s">
        <v>37</v>
      </c>
      <c r="K123" s="378" t="s">
        <v>16</v>
      </c>
      <c r="L123" s="384" t="s">
        <v>111</v>
      </c>
      <c r="M123" s="393">
        <v>2.125</v>
      </c>
      <c r="N123" s="414" t="s">
        <v>11</v>
      </c>
      <c r="O123" s="435" t="s">
        <v>38</v>
      </c>
      <c r="P123" s="386" t="s">
        <v>447</v>
      </c>
      <c r="Q123" s="436" t="s">
        <v>534</v>
      </c>
      <c r="R123" s="375">
        <v>44286</v>
      </c>
    </row>
    <row r="124" spans="1:18" s="52" customFormat="1" x14ac:dyDescent="0.25">
      <c r="A124" s="427"/>
      <c r="B124" s="410"/>
      <c r="C124" s="222" t="s">
        <v>8</v>
      </c>
      <c r="D124" s="222" t="s">
        <v>37</v>
      </c>
      <c r="E124" s="222" t="s">
        <v>16</v>
      </c>
      <c r="F124" s="214" t="s">
        <v>111</v>
      </c>
      <c r="G124" s="108">
        <v>298.3</v>
      </c>
      <c r="H124" s="410"/>
      <c r="I124" s="379"/>
      <c r="J124" s="379"/>
      <c r="K124" s="379"/>
      <c r="L124" s="410"/>
      <c r="M124" s="394"/>
      <c r="N124" s="414"/>
      <c r="O124" s="435"/>
      <c r="P124" s="387"/>
      <c r="Q124" s="436"/>
      <c r="R124" s="376"/>
    </row>
    <row r="125" spans="1:18" s="52" customFormat="1" ht="30" x14ac:dyDescent="0.25">
      <c r="A125" s="427"/>
      <c r="B125" s="410"/>
      <c r="C125" s="222" t="s">
        <v>396</v>
      </c>
      <c r="D125" s="222" t="s">
        <v>37</v>
      </c>
      <c r="E125" s="222" t="s">
        <v>10</v>
      </c>
      <c r="F125" s="214" t="s">
        <v>343</v>
      </c>
      <c r="G125" s="108">
        <v>-1.8091630000000001</v>
      </c>
      <c r="H125" s="410"/>
      <c r="I125" s="379"/>
      <c r="J125" s="379"/>
      <c r="K125" s="379"/>
      <c r="L125" s="410"/>
      <c r="M125" s="394"/>
      <c r="N125" s="414"/>
      <c r="O125" s="435"/>
      <c r="P125" s="387"/>
      <c r="Q125" s="436"/>
      <c r="R125" s="376"/>
    </row>
    <row r="126" spans="1:18" x14ac:dyDescent="0.25">
      <c r="A126" s="427"/>
      <c r="B126" s="385"/>
      <c r="C126" s="216" t="s">
        <v>396</v>
      </c>
      <c r="D126" s="222" t="s">
        <v>37</v>
      </c>
      <c r="E126" s="216" t="s">
        <v>16</v>
      </c>
      <c r="F126" s="212" t="s">
        <v>111</v>
      </c>
      <c r="G126" s="148">
        <v>1.8091630000000001</v>
      </c>
      <c r="H126" s="385"/>
      <c r="I126" s="380"/>
      <c r="J126" s="380"/>
      <c r="K126" s="380"/>
      <c r="L126" s="385"/>
      <c r="M126" s="395"/>
      <c r="N126" s="414"/>
      <c r="O126" s="435"/>
      <c r="P126" s="388"/>
      <c r="Q126" s="436"/>
      <c r="R126" s="377"/>
    </row>
    <row r="127" spans="1:18" s="52" customFormat="1" x14ac:dyDescent="0.25">
      <c r="A127" s="419" t="s">
        <v>176</v>
      </c>
      <c r="B127" s="384">
        <v>46</v>
      </c>
      <c r="C127" s="414" t="s">
        <v>396</v>
      </c>
      <c r="D127" s="378" t="s">
        <v>66</v>
      </c>
      <c r="E127" s="414" t="s">
        <v>16</v>
      </c>
      <c r="F127" s="467" t="s">
        <v>111</v>
      </c>
      <c r="G127" s="503">
        <f>0.66123+21</f>
        <v>21.66123</v>
      </c>
      <c r="H127" s="384">
        <v>1</v>
      </c>
      <c r="I127" s="217" t="s">
        <v>467</v>
      </c>
      <c r="J127" s="217" t="s">
        <v>66</v>
      </c>
      <c r="K127" s="217" t="s">
        <v>16</v>
      </c>
      <c r="L127" s="213" t="s">
        <v>111</v>
      </c>
      <c r="M127" s="280">
        <v>0.39824599999999999</v>
      </c>
      <c r="N127" s="378" t="s">
        <v>11</v>
      </c>
      <c r="O127" s="389" t="s">
        <v>157</v>
      </c>
      <c r="P127" s="392" t="s">
        <v>447</v>
      </c>
      <c r="Q127" s="474" t="s">
        <v>536</v>
      </c>
      <c r="R127" s="375">
        <v>44286</v>
      </c>
    </row>
    <row r="128" spans="1:18" s="52" customFormat="1" x14ac:dyDescent="0.25">
      <c r="A128" s="420"/>
      <c r="B128" s="410"/>
      <c r="C128" s="414"/>
      <c r="D128" s="379"/>
      <c r="E128" s="414"/>
      <c r="F128" s="467"/>
      <c r="G128" s="503"/>
      <c r="H128" s="410"/>
      <c r="I128" s="222" t="s">
        <v>467</v>
      </c>
      <c r="J128" s="222" t="s">
        <v>66</v>
      </c>
      <c r="K128" s="222" t="s">
        <v>10</v>
      </c>
      <c r="L128" s="214"/>
      <c r="M128" s="122">
        <v>9.6713999999999994E-2</v>
      </c>
      <c r="N128" s="379"/>
      <c r="O128" s="390"/>
      <c r="P128" s="392"/>
      <c r="Q128" s="475"/>
      <c r="R128" s="376"/>
    </row>
    <row r="129" spans="1:18" x14ac:dyDescent="0.25">
      <c r="A129" s="421"/>
      <c r="B129" s="385"/>
      <c r="C129" s="414"/>
      <c r="D129" s="380"/>
      <c r="E129" s="414"/>
      <c r="F129" s="467"/>
      <c r="G129" s="503"/>
      <c r="H129" s="385"/>
      <c r="I129" s="289" t="s">
        <v>26</v>
      </c>
      <c r="J129" s="259" t="s">
        <v>66</v>
      </c>
      <c r="K129" s="259" t="s">
        <v>16</v>
      </c>
      <c r="L129" s="255" t="s">
        <v>111</v>
      </c>
      <c r="M129" s="288">
        <v>38</v>
      </c>
      <c r="N129" s="380"/>
      <c r="O129" s="391"/>
      <c r="P129" s="392"/>
      <c r="Q129" s="476"/>
      <c r="R129" s="377"/>
    </row>
    <row r="130" spans="1:18" ht="15" customHeight="1" x14ac:dyDescent="0.25">
      <c r="A130" s="427" t="s">
        <v>177</v>
      </c>
      <c r="B130" s="384">
        <v>16</v>
      </c>
      <c r="C130" s="222" t="s">
        <v>8</v>
      </c>
      <c r="D130" s="222" t="s">
        <v>153</v>
      </c>
      <c r="E130" s="222" t="s">
        <v>16</v>
      </c>
      <c r="F130" s="214" t="s">
        <v>111</v>
      </c>
      <c r="G130" s="108">
        <v>1.1479999999999999</v>
      </c>
      <c r="H130" s="384">
        <v>0</v>
      </c>
      <c r="I130" s="112"/>
      <c r="J130" s="112"/>
      <c r="K130" s="112"/>
      <c r="L130" s="112"/>
      <c r="M130" s="112"/>
      <c r="N130" s="414" t="s">
        <v>11</v>
      </c>
      <c r="O130" s="435" t="s">
        <v>157</v>
      </c>
      <c r="P130" s="386" t="s">
        <v>447</v>
      </c>
      <c r="Q130" s="240" t="s">
        <v>442</v>
      </c>
      <c r="R130" s="227">
        <v>44286</v>
      </c>
    </row>
    <row r="131" spans="1:18" ht="30" x14ac:dyDescent="0.25">
      <c r="A131" s="427"/>
      <c r="B131" s="410"/>
      <c r="C131" s="222" t="s">
        <v>8</v>
      </c>
      <c r="D131" s="214" t="s">
        <v>154</v>
      </c>
      <c r="E131" s="222" t="s">
        <v>16</v>
      </c>
      <c r="F131" s="214" t="s">
        <v>111</v>
      </c>
      <c r="G131" s="122">
        <f>0.008+0.143</f>
        <v>0.151</v>
      </c>
      <c r="H131" s="410"/>
      <c r="I131" s="112"/>
      <c r="J131" s="112"/>
      <c r="K131" s="112"/>
      <c r="L131" s="112"/>
      <c r="M131" s="112"/>
      <c r="N131" s="414"/>
      <c r="O131" s="435"/>
      <c r="P131" s="387"/>
      <c r="Q131" s="240" t="s">
        <v>483</v>
      </c>
      <c r="R131" s="227">
        <v>44286</v>
      </c>
    </row>
    <row r="132" spans="1:18" x14ac:dyDescent="0.25">
      <c r="A132" s="427"/>
      <c r="B132" s="410"/>
      <c r="C132" s="222" t="s">
        <v>8</v>
      </c>
      <c r="D132" s="214" t="s">
        <v>66</v>
      </c>
      <c r="E132" s="222" t="s">
        <v>16</v>
      </c>
      <c r="F132" s="214" t="s">
        <v>111</v>
      </c>
      <c r="G132" s="108">
        <v>0.86299999999999999</v>
      </c>
      <c r="H132" s="410"/>
      <c r="I132" s="112"/>
      <c r="J132" s="112"/>
      <c r="K132" s="112"/>
      <c r="L132" s="112"/>
      <c r="M132" s="112"/>
      <c r="N132" s="414"/>
      <c r="O132" s="435"/>
      <c r="P132" s="387"/>
      <c r="Q132" s="240" t="s">
        <v>443</v>
      </c>
      <c r="R132" s="227">
        <v>44286</v>
      </c>
    </row>
    <row r="133" spans="1:18" ht="30" x14ac:dyDescent="0.25">
      <c r="A133" s="427"/>
      <c r="B133" s="410"/>
      <c r="C133" s="222" t="s">
        <v>8</v>
      </c>
      <c r="D133" s="214" t="s">
        <v>68</v>
      </c>
      <c r="E133" s="222" t="s">
        <v>16</v>
      </c>
      <c r="F133" s="214" t="s">
        <v>111</v>
      </c>
      <c r="G133" s="108">
        <f>0.191667+5</f>
        <v>5.1916669999999998</v>
      </c>
      <c r="H133" s="410"/>
      <c r="I133" s="112"/>
      <c r="J133" s="112"/>
      <c r="K133" s="112"/>
      <c r="L133" s="112"/>
      <c r="M133" s="112"/>
      <c r="N133" s="414"/>
      <c r="O133" s="435"/>
      <c r="P133" s="387"/>
      <c r="Q133" s="240" t="s">
        <v>550</v>
      </c>
      <c r="R133" s="227">
        <v>44286</v>
      </c>
    </row>
    <row r="134" spans="1:18" ht="30" x14ac:dyDescent="0.25">
      <c r="A134" s="427"/>
      <c r="B134" s="410"/>
      <c r="C134" s="222" t="s">
        <v>8</v>
      </c>
      <c r="D134" s="214" t="s">
        <v>155</v>
      </c>
      <c r="E134" s="222" t="s">
        <v>16</v>
      </c>
      <c r="F134" s="214" t="s">
        <v>111</v>
      </c>
      <c r="G134" s="108">
        <v>3.1459999999999999</v>
      </c>
      <c r="H134" s="410"/>
      <c r="I134" s="112"/>
      <c r="J134" s="112"/>
      <c r="K134" s="112"/>
      <c r="L134" s="112"/>
      <c r="M134" s="112"/>
      <c r="N134" s="414"/>
      <c r="O134" s="435"/>
      <c r="P134" s="387"/>
      <c r="Q134" s="240" t="s">
        <v>552</v>
      </c>
      <c r="R134" s="227">
        <v>44286</v>
      </c>
    </row>
    <row r="135" spans="1:18" ht="30" x14ac:dyDescent="0.25">
      <c r="A135" s="427"/>
      <c r="B135" s="385"/>
      <c r="C135" s="222" t="s">
        <v>8</v>
      </c>
      <c r="D135" s="214" t="s">
        <v>156</v>
      </c>
      <c r="E135" s="222" t="s">
        <v>16</v>
      </c>
      <c r="F135" s="214" t="s">
        <v>111</v>
      </c>
      <c r="G135" s="108">
        <v>4.7</v>
      </c>
      <c r="H135" s="385"/>
      <c r="I135" s="112"/>
      <c r="J135" s="112"/>
      <c r="K135" s="112"/>
      <c r="L135" s="112"/>
      <c r="M135" s="112"/>
      <c r="N135" s="414"/>
      <c r="O135" s="435"/>
      <c r="P135" s="388"/>
      <c r="Q135" s="240" t="s">
        <v>555</v>
      </c>
      <c r="R135" s="227">
        <v>44286</v>
      </c>
    </row>
    <row r="136" spans="1:18" ht="60" x14ac:dyDescent="0.25">
      <c r="A136" s="419" t="s">
        <v>178</v>
      </c>
      <c r="B136" s="384">
        <v>17</v>
      </c>
      <c r="C136" s="222" t="s">
        <v>8</v>
      </c>
      <c r="D136" s="214" t="s">
        <v>169</v>
      </c>
      <c r="E136" s="222" t="s">
        <v>10</v>
      </c>
      <c r="F136" s="214" t="s">
        <v>345</v>
      </c>
      <c r="G136" s="108">
        <v>11.105299</v>
      </c>
      <c r="H136" s="384">
        <v>22</v>
      </c>
      <c r="I136" s="393" t="s">
        <v>26</v>
      </c>
      <c r="J136" s="422" t="s">
        <v>169</v>
      </c>
      <c r="K136" s="393" t="s">
        <v>16</v>
      </c>
      <c r="L136" s="393" t="s">
        <v>111</v>
      </c>
      <c r="M136" s="393">
        <v>21.678208999999999</v>
      </c>
      <c r="N136" s="378" t="s">
        <v>11</v>
      </c>
      <c r="O136" s="389" t="s">
        <v>179</v>
      </c>
      <c r="P136" s="386" t="s">
        <v>670</v>
      </c>
      <c r="Q136" s="474" t="s">
        <v>612</v>
      </c>
      <c r="R136" s="375">
        <v>44317</v>
      </c>
    </row>
    <row r="137" spans="1:18" x14ac:dyDescent="0.25">
      <c r="A137" s="420"/>
      <c r="B137" s="410"/>
      <c r="C137" s="222" t="s">
        <v>8</v>
      </c>
      <c r="D137" s="214" t="s">
        <v>169</v>
      </c>
      <c r="E137" s="222" t="s">
        <v>16</v>
      </c>
      <c r="F137" s="214" t="s">
        <v>111</v>
      </c>
      <c r="G137" s="108">
        <v>5.5947009999999997</v>
      </c>
      <c r="H137" s="410"/>
      <c r="I137" s="394"/>
      <c r="J137" s="437"/>
      <c r="K137" s="394"/>
      <c r="L137" s="394"/>
      <c r="M137" s="394"/>
      <c r="N137" s="379"/>
      <c r="O137" s="390"/>
      <c r="P137" s="387"/>
      <c r="Q137" s="475"/>
      <c r="R137" s="376"/>
    </row>
    <row r="138" spans="1:18" s="52" customFormat="1" ht="60" x14ac:dyDescent="0.25">
      <c r="A138" s="420"/>
      <c r="B138" s="410"/>
      <c r="C138" s="222" t="s">
        <v>396</v>
      </c>
      <c r="D138" s="214" t="s">
        <v>169</v>
      </c>
      <c r="E138" s="222" t="s">
        <v>10</v>
      </c>
      <c r="F138" s="214" t="s">
        <v>345</v>
      </c>
      <c r="G138" s="108">
        <v>-0.79312800000000006</v>
      </c>
      <c r="H138" s="410"/>
      <c r="I138" s="394"/>
      <c r="J138" s="437"/>
      <c r="K138" s="394"/>
      <c r="L138" s="394"/>
      <c r="M138" s="394"/>
      <c r="N138" s="379"/>
      <c r="O138" s="390"/>
      <c r="P138" s="387"/>
      <c r="Q138" s="475"/>
      <c r="R138" s="376"/>
    </row>
    <row r="139" spans="1:18" s="52" customFormat="1" x14ac:dyDescent="0.25">
      <c r="A139" s="421"/>
      <c r="B139" s="385"/>
      <c r="C139" s="222" t="s">
        <v>396</v>
      </c>
      <c r="D139" s="214" t="s">
        <v>169</v>
      </c>
      <c r="E139" s="222" t="s">
        <v>16</v>
      </c>
      <c r="F139" s="214" t="s">
        <v>111</v>
      </c>
      <c r="G139" s="108">
        <v>0.79312800000000006</v>
      </c>
      <c r="H139" s="385"/>
      <c r="I139" s="395"/>
      <c r="J139" s="423"/>
      <c r="K139" s="395"/>
      <c r="L139" s="395"/>
      <c r="M139" s="395"/>
      <c r="N139" s="380"/>
      <c r="O139" s="391"/>
      <c r="P139" s="388"/>
      <c r="Q139" s="476"/>
      <c r="R139" s="377"/>
    </row>
    <row r="140" spans="1:18" ht="45" x14ac:dyDescent="0.25">
      <c r="A140" s="233" t="s">
        <v>180</v>
      </c>
      <c r="B140" s="76">
        <v>10</v>
      </c>
      <c r="C140" s="222" t="s">
        <v>26</v>
      </c>
      <c r="D140" s="214" t="s">
        <v>14</v>
      </c>
      <c r="E140" s="222" t="s">
        <v>10</v>
      </c>
      <c r="F140" s="214" t="s">
        <v>343</v>
      </c>
      <c r="G140" s="108">
        <v>10</v>
      </c>
      <c r="H140" s="76">
        <v>0</v>
      </c>
      <c r="I140" s="222"/>
      <c r="J140" s="214"/>
      <c r="K140" s="222"/>
      <c r="L140" s="214"/>
      <c r="M140" s="108"/>
      <c r="N140" s="222" t="s">
        <v>11</v>
      </c>
      <c r="O140" s="223" t="s">
        <v>181</v>
      </c>
      <c r="P140" s="231" t="s">
        <v>447</v>
      </c>
      <c r="Q140" s="234" t="s">
        <v>342</v>
      </c>
      <c r="R140" s="227">
        <v>44286</v>
      </c>
    </row>
    <row r="141" spans="1:18" ht="15" customHeight="1" x14ac:dyDescent="0.25">
      <c r="A141" s="419" t="s">
        <v>182</v>
      </c>
      <c r="B141" s="384">
        <v>50</v>
      </c>
      <c r="C141" s="222" t="s">
        <v>26</v>
      </c>
      <c r="D141" s="214" t="s">
        <v>183</v>
      </c>
      <c r="E141" s="222" t="s">
        <v>16</v>
      </c>
      <c r="F141" s="214" t="s">
        <v>111</v>
      </c>
      <c r="G141" s="108">
        <v>48.710504</v>
      </c>
      <c r="H141" s="384">
        <v>0</v>
      </c>
      <c r="I141" s="393"/>
      <c r="J141" s="393"/>
      <c r="K141" s="393"/>
      <c r="L141" s="393"/>
      <c r="M141" s="393"/>
      <c r="N141" s="378" t="s">
        <v>11</v>
      </c>
      <c r="O141" s="389" t="s">
        <v>184</v>
      </c>
      <c r="P141" s="392" t="s">
        <v>447</v>
      </c>
      <c r="Q141" s="372" t="s">
        <v>563</v>
      </c>
      <c r="R141" s="375">
        <v>44286</v>
      </c>
    </row>
    <row r="142" spans="1:18" x14ac:dyDescent="0.25">
      <c r="A142" s="420"/>
      <c r="B142" s="410"/>
      <c r="C142" s="222" t="s">
        <v>8</v>
      </c>
      <c r="D142" s="214" t="s">
        <v>183</v>
      </c>
      <c r="E142" s="222" t="s">
        <v>16</v>
      </c>
      <c r="F142" s="214" t="s">
        <v>111</v>
      </c>
      <c r="G142" s="108">
        <f>-12+-10+-10+-0.9</f>
        <v>-32.9</v>
      </c>
      <c r="H142" s="410"/>
      <c r="I142" s="394"/>
      <c r="J142" s="394"/>
      <c r="K142" s="394"/>
      <c r="L142" s="394"/>
      <c r="M142" s="394"/>
      <c r="N142" s="379"/>
      <c r="O142" s="390"/>
      <c r="P142" s="392"/>
      <c r="Q142" s="373"/>
      <c r="R142" s="498"/>
    </row>
    <row r="143" spans="1:18" s="52" customFormat="1" x14ac:dyDescent="0.25">
      <c r="A143" s="420"/>
      <c r="B143" s="410"/>
      <c r="C143" s="222" t="s">
        <v>396</v>
      </c>
      <c r="D143" s="214" t="s">
        <v>183</v>
      </c>
      <c r="E143" s="222" t="s">
        <v>16</v>
      </c>
      <c r="F143" s="214" t="s">
        <v>111</v>
      </c>
      <c r="G143" s="108">
        <f>-7.4+-3+-0.3</f>
        <v>-10.700000000000001</v>
      </c>
      <c r="H143" s="410"/>
      <c r="I143" s="395"/>
      <c r="J143" s="395"/>
      <c r="K143" s="395"/>
      <c r="L143" s="395"/>
      <c r="M143" s="395"/>
      <c r="N143" s="380"/>
      <c r="O143" s="391"/>
      <c r="P143" s="392"/>
      <c r="Q143" s="374"/>
      <c r="R143" s="460"/>
    </row>
    <row r="144" spans="1:18" ht="45" x14ac:dyDescent="0.25">
      <c r="A144" s="420"/>
      <c r="B144" s="410"/>
      <c r="C144" s="222" t="s">
        <v>8</v>
      </c>
      <c r="D144" s="214" t="s">
        <v>35</v>
      </c>
      <c r="E144" s="222" t="s">
        <v>16</v>
      </c>
      <c r="F144" s="214" t="s">
        <v>111</v>
      </c>
      <c r="G144" s="108">
        <v>0.9</v>
      </c>
      <c r="H144" s="410"/>
      <c r="I144" s="222"/>
      <c r="J144" s="214"/>
      <c r="K144" s="222"/>
      <c r="L144" s="214"/>
      <c r="M144" s="108"/>
      <c r="N144" s="222" t="s">
        <v>11</v>
      </c>
      <c r="O144" s="223" t="s">
        <v>36</v>
      </c>
      <c r="P144" s="231" t="s">
        <v>447</v>
      </c>
      <c r="Q144" s="234" t="s">
        <v>513</v>
      </c>
      <c r="R144" s="227">
        <v>44286</v>
      </c>
    </row>
    <row r="145" spans="1:18" x14ac:dyDescent="0.25">
      <c r="A145" s="420"/>
      <c r="B145" s="410"/>
      <c r="C145" s="222" t="s">
        <v>8</v>
      </c>
      <c r="D145" s="214" t="s">
        <v>14</v>
      </c>
      <c r="E145" s="222" t="s">
        <v>16</v>
      </c>
      <c r="F145" s="214" t="s">
        <v>111</v>
      </c>
      <c r="G145" s="108">
        <v>12</v>
      </c>
      <c r="H145" s="410"/>
      <c r="I145" s="222"/>
      <c r="J145" s="214"/>
      <c r="K145" s="222"/>
      <c r="L145" s="214"/>
      <c r="M145" s="108"/>
      <c r="N145" s="222" t="s">
        <v>11</v>
      </c>
      <c r="O145" s="223" t="s">
        <v>15</v>
      </c>
      <c r="P145" s="214" t="s">
        <v>19</v>
      </c>
      <c r="Q145" s="234" t="s">
        <v>499</v>
      </c>
      <c r="R145" s="227">
        <v>44306</v>
      </c>
    </row>
    <row r="146" spans="1:18" x14ac:dyDescent="0.25">
      <c r="A146" s="420"/>
      <c r="B146" s="410"/>
      <c r="C146" s="222" t="s">
        <v>8</v>
      </c>
      <c r="D146" s="214" t="s">
        <v>20</v>
      </c>
      <c r="E146" s="222" t="s">
        <v>16</v>
      </c>
      <c r="F146" s="214" t="s">
        <v>111</v>
      </c>
      <c r="G146" s="108">
        <v>10</v>
      </c>
      <c r="H146" s="410"/>
      <c r="I146" s="393" t="s">
        <v>26</v>
      </c>
      <c r="J146" s="384" t="s">
        <v>20</v>
      </c>
      <c r="K146" s="384" t="s">
        <v>16</v>
      </c>
      <c r="L146" s="384" t="s">
        <v>111</v>
      </c>
      <c r="M146" s="393">
        <v>1.588751</v>
      </c>
      <c r="N146" s="378" t="s">
        <v>11</v>
      </c>
      <c r="O146" s="389" t="s">
        <v>21</v>
      </c>
      <c r="P146" s="392" t="s">
        <v>447</v>
      </c>
      <c r="Q146" s="372" t="s">
        <v>527</v>
      </c>
      <c r="R146" s="375">
        <v>44286</v>
      </c>
    </row>
    <row r="147" spans="1:18" s="52" customFormat="1" x14ac:dyDescent="0.25">
      <c r="A147" s="420"/>
      <c r="B147" s="410"/>
      <c r="C147" s="222" t="s">
        <v>396</v>
      </c>
      <c r="D147" s="214" t="s">
        <v>20</v>
      </c>
      <c r="E147" s="222" t="s">
        <v>16</v>
      </c>
      <c r="F147" s="214" t="s">
        <v>111</v>
      </c>
      <c r="G147" s="108">
        <v>7.4</v>
      </c>
      <c r="H147" s="410"/>
      <c r="I147" s="395"/>
      <c r="J147" s="385"/>
      <c r="K147" s="385" t="s">
        <v>16</v>
      </c>
      <c r="L147" s="385" t="s">
        <v>111</v>
      </c>
      <c r="M147" s="395"/>
      <c r="N147" s="380"/>
      <c r="O147" s="391"/>
      <c r="P147" s="392"/>
      <c r="Q147" s="374"/>
      <c r="R147" s="377"/>
    </row>
    <row r="148" spans="1:18" s="52" customFormat="1" x14ac:dyDescent="0.25">
      <c r="A148" s="420"/>
      <c r="B148" s="410"/>
      <c r="C148" s="222" t="s">
        <v>8</v>
      </c>
      <c r="D148" s="214" t="s">
        <v>17</v>
      </c>
      <c r="E148" s="222" t="s">
        <v>16</v>
      </c>
      <c r="F148" s="214" t="s">
        <v>111</v>
      </c>
      <c r="G148" s="108">
        <v>10</v>
      </c>
      <c r="H148" s="410"/>
      <c r="I148" s="393" t="s">
        <v>26</v>
      </c>
      <c r="J148" s="393" t="s">
        <v>17</v>
      </c>
      <c r="K148" s="384" t="s">
        <v>16</v>
      </c>
      <c r="L148" s="384" t="s">
        <v>111</v>
      </c>
      <c r="M148" s="393">
        <v>4.5</v>
      </c>
      <c r="N148" s="414" t="s">
        <v>11</v>
      </c>
      <c r="O148" s="435" t="s">
        <v>18</v>
      </c>
      <c r="P148" s="467" t="s">
        <v>19</v>
      </c>
      <c r="Q148" s="469" t="s">
        <v>579</v>
      </c>
      <c r="R148" s="451">
        <v>44316</v>
      </c>
    </row>
    <row r="149" spans="1:18" x14ac:dyDescent="0.25">
      <c r="A149" s="420"/>
      <c r="B149" s="410"/>
      <c r="C149" s="222" t="s">
        <v>396</v>
      </c>
      <c r="D149" s="214" t="s">
        <v>17</v>
      </c>
      <c r="E149" s="222" t="s">
        <v>16</v>
      </c>
      <c r="F149" s="214" t="s">
        <v>111</v>
      </c>
      <c r="G149" s="108">
        <v>3</v>
      </c>
      <c r="H149" s="410"/>
      <c r="I149" s="395"/>
      <c r="J149" s="395"/>
      <c r="K149" s="385" t="s">
        <v>16</v>
      </c>
      <c r="L149" s="385" t="s">
        <v>111</v>
      </c>
      <c r="M149" s="395"/>
      <c r="N149" s="414"/>
      <c r="O149" s="435"/>
      <c r="P149" s="467"/>
      <c r="Q149" s="469"/>
      <c r="R149" s="451"/>
    </row>
    <row r="150" spans="1:18" s="52" customFormat="1" ht="45" x14ac:dyDescent="0.25">
      <c r="A150" s="421"/>
      <c r="B150" s="385"/>
      <c r="C150" s="222" t="s">
        <v>396</v>
      </c>
      <c r="D150" s="214" t="s">
        <v>33</v>
      </c>
      <c r="E150" s="222" t="s">
        <v>16</v>
      </c>
      <c r="F150" s="214" t="s">
        <v>111</v>
      </c>
      <c r="G150" s="122">
        <v>0.3</v>
      </c>
      <c r="H150" s="385"/>
      <c r="I150" s="222"/>
      <c r="J150" s="214"/>
      <c r="K150" s="222"/>
      <c r="L150" s="214"/>
      <c r="M150" s="122"/>
      <c r="N150" s="222" t="s">
        <v>11</v>
      </c>
      <c r="O150" s="223" t="s">
        <v>38</v>
      </c>
      <c r="P150" s="231" t="s">
        <v>447</v>
      </c>
      <c r="Q150" s="234" t="s">
        <v>528</v>
      </c>
      <c r="R150" s="227">
        <v>44286</v>
      </c>
    </row>
    <row r="151" spans="1:18" x14ac:dyDescent="0.25">
      <c r="A151" s="233" t="s">
        <v>185</v>
      </c>
      <c r="B151" s="76">
        <v>6</v>
      </c>
      <c r="C151" s="222" t="s">
        <v>42</v>
      </c>
      <c r="D151" s="222"/>
      <c r="E151" s="222"/>
      <c r="F151" s="214"/>
      <c r="G151" s="108" t="s">
        <v>111</v>
      </c>
      <c r="H151" s="76">
        <v>0</v>
      </c>
      <c r="I151" s="222"/>
      <c r="J151" s="222"/>
      <c r="K151" s="222"/>
      <c r="L151" s="214"/>
      <c r="M151" s="108"/>
      <c r="N151" s="222" t="s">
        <v>85</v>
      </c>
      <c r="O151" s="222"/>
      <c r="P151" s="222"/>
      <c r="Q151" s="234"/>
      <c r="R151" s="228"/>
    </row>
    <row r="152" spans="1:18" ht="45" x14ac:dyDescent="0.25">
      <c r="A152" s="233" t="s">
        <v>186</v>
      </c>
      <c r="B152" s="76">
        <v>20</v>
      </c>
      <c r="C152" s="222" t="s">
        <v>26</v>
      </c>
      <c r="D152" s="214" t="s">
        <v>187</v>
      </c>
      <c r="E152" s="222" t="s">
        <v>16</v>
      </c>
      <c r="F152" s="214" t="s">
        <v>111</v>
      </c>
      <c r="G152" s="108">
        <v>16.147818999999998</v>
      </c>
      <c r="H152" s="76">
        <v>0</v>
      </c>
      <c r="I152" s="222"/>
      <c r="J152" s="214"/>
      <c r="K152" s="222"/>
      <c r="L152" s="214"/>
      <c r="M152" s="108"/>
      <c r="N152" s="222" t="s">
        <v>11</v>
      </c>
      <c r="O152" s="223" t="s">
        <v>188</v>
      </c>
      <c r="P152" s="231" t="s">
        <v>447</v>
      </c>
      <c r="Q152" s="236" t="s">
        <v>504</v>
      </c>
      <c r="R152" s="227">
        <v>44286</v>
      </c>
    </row>
    <row r="153" spans="1:18" ht="60" x14ac:dyDescent="0.25">
      <c r="A153" s="427" t="s">
        <v>189</v>
      </c>
      <c r="B153" s="384">
        <v>500</v>
      </c>
      <c r="C153" s="222" t="s">
        <v>26</v>
      </c>
      <c r="D153" s="214" t="s">
        <v>190</v>
      </c>
      <c r="E153" s="222" t="s">
        <v>10</v>
      </c>
      <c r="F153" s="214" t="s">
        <v>345</v>
      </c>
      <c r="G153" s="108">
        <v>55</v>
      </c>
      <c r="H153" s="384">
        <v>0</v>
      </c>
      <c r="I153" s="393"/>
      <c r="J153" s="393"/>
      <c r="K153" s="393"/>
      <c r="L153" s="393"/>
      <c r="M153" s="393"/>
      <c r="N153" s="414" t="s">
        <v>11</v>
      </c>
      <c r="O153" s="435" t="s">
        <v>191</v>
      </c>
      <c r="P153" s="386" t="s">
        <v>447</v>
      </c>
      <c r="Q153" s="474" t="s">
        <v>439</v>
      </c>
      <c r="R153" s="375">
        <v>44286</v>
      </c>
    </row>
    <row r="154" spans="1:18" ht="60" x14ac:dyDescent="0.25">
      <c r="A154" s="427"/>
      <c r="B154" s="410"/>
      <c r="C154" s="222" t="s">
        <v>8</v>
      </c>
      <c r="D154" s="214" t="s">
        <v>190</v>
      </c>
      <c r="E154" s="222" t="s">
        <v>10</v>
      </c>
      <c r="F154" s="214" t="s">
        <v>345</v>
      </c>
      <c r="G154" s="108">
        <v>7.8</v>
      </c>
      <c r="H154" s="410"/>
      <c r="I154" s="395"/>
      <c r="J154" s="395"/>
      <c r="K154" s="395"/>
      <c r="L154" s="395"/>
      <c r="M154" s="395"/>
      <c r="N154" s="414"/>
      <c r="O154" s="435"/>
      <c r="P154" s="387"/>
      <c r="Q154" s="476"/>
      <c r="R154" s="377"/>
    </row>
    <row r="155" spans="1:18" ht="60" x14ac:dyDescent="0.25">
      <c r="A155" s="427"/>
      <c r="B155" s="410"/>
      <c r="C155" s="222" t="s">
        <v>26</v>
      </c>
      <c r="D155" s="214" t="s">
        <v>192</v>
      </c>
      <c r="E155" s="222" t="s">
        <v>10</v>
      </c>
      <c r="F155" s="214" t="s">
        <v>345</v>
      </c>
      <c r="G155" s="108">
        <v>418</v>
      </c>
      <c r="H155" s="410"/>
      <c r="I155" s="393"/>
      <c r="J155" s="393"/>
      <c r="K155" s="393"/>
      <c r="L155" s="393"/>
      <c r="M155" s="393"/>
      <c r="N155" s="414"/>
      <c r="O155" s="435"/>
      <c r="P155" s="387"/>
      <c r="Q155" s="474" t="s">
        <v>440</v>
      </c>
      <c r="R155" s="375">
        <v>44286</v>
      </c>
    </row>
    <row r="156" spans="1:18" ht="60" x14ac:dyDescent="0.25">
      <c r="A156" s="427"/>
      <c r="B156" s="410"/>
      <c r="C156" s="222" t="s">
        <v>8</v>
      </c>
      <c r="D156" s="214" t="s">
        <v>192</v>
      </c>
      <c r="E156" s="222" t="s">
        <v>10</v>
      </c>
      <c r="F156" s="214" t="s">
        <v>345</v>
      </c>
      <c r="G156" s="108">
        <v>-10.555</v>
      </c>
      <c r="H156" s="410"/>
      <c r="I156" s="394"/>
      <c r="J156" s="394"/>
      <c r="K156" s="394"/>
      <c r="L156" s="394"/>
      <c r="M156" s="394"/>
      <c r="N156" s="414"/>
      <c r="O156" s="435"/>
      <c r="P156" s="387"/>
      <c r="Q156" s="475"/>
      <c r="R156" s="498"/>
    </row>
    <row r="157" spans="1:18" s="52" customFormat="1" ht="60" x14ac:dyDescent="0.25">
      <c r="A157" s="427"/>
      <c r="B157" s="410"/>
      <c r="C157" s="222" t="s">
        <v>396</v>
      </c>
      <c r="D157" s="214" t="s">
        <v>192</v>
      </c>
      <c r="E157" s="222" t="s">
        <v>10</v>
      </c>
      <c r="F157" s="214" t="s">
        <v>345</v>
      </c>
      <c r="G157" s="122">
        <v>-0.34</v>
      </c>
      <c r="H157" s="410"/>
      <c r="I157" s="394"/>
      <c r="J157" s="394"/>
      <c r="K157" s="394"/>
      <c r="L157" s="394"/>
      <c r="M157" s="394"/>
      <c r="N157" s="414"/>
      <c r="O157" s="435"/>
      <c r="P157" s="387"/>
      <c r="Q157" s="475"/>
      <c r="R157" s="498"/>
    </row>
    <row r="158" spans="1:18" s="52" customFormat="1" x14ac:dyDescent="0.25">
      <c r="A158" s="427"/>
      <c r="B158" s="410"/>
      <c r="C158" s="222" t="s">
        <v>396</v>
      </c>
      <c r="D158" s="214" t="s">
        <v>192</v>
      </c>
      <c r="E158" s="222" t="s">
        <v>16</v>
      </c>
      <c r="F158" s="214" t="s">
        <v>111</v>
      </c>
      <c r="G158" s="122">
        <v>0.34</v>
      </c>
      <c r="H158" s="410"/>
      <c r="I158" s="395"/>
      <c r="J158" s="395"/>
      <c r="K158" s="395"/>
      <c r="L158" s="395"/>
      <c r="M158" s="395"/>
      <c r="N158" s="414"/>
      <c r="O158" s="435"/>
      <c r="P158" s="387"/>
      <c r="Q158" s="476"/>
      <c r="R158" s="460"/>
    </row>
    <row r="159" spans="1:18" ht="60" x14ac:dyDescent="0.25">
      <c r="A159" s="427"/>
      <c r="B159" s="410"/>
      <c r="C159" s="222" t="s">
        <v>26</v>
      </c>
      <c r="D159" s="214" t="s">
        <v>129</v>
      </c>
      <c r="E159" s="222" t="s">
        <v>10</v>
      </c>
      <c r="F159" s="214" t="s">
        <v>345</v>
      </c>
      <c r="G159" s="108">
        <v>27</v>
      </c>
      <c r="H159" s="410"/>
      <c r="I159" s="393"/>
      <c r="J159" s="393"/>
      <c r="K159" s="393"/>
      <c r="L159" s="393"/>
      <c r="M159" s="393"/>
      <c r="N159" s="414"/>
      <c r="O159" s="435"/>
      <c r="P159" s="387"/>
      <c r="Q159" s="474" t="s">
        <v>441</v>
      </c>
      <c r="R159" s="375">
        <v>44347</v>
      </c>
    </row>
    <row r="160" spans="1:18" ht="60" x14ac:dyDescent="0.25">
      <c r="A160" s="427"/>
      <c r="B160" s="385"/>
      <c r="C160" s="222" t="s">
        <v>8</v>
      </c>
      <c r="D160" s="214" t="s">
        <v>129</v>
      </c>
      <c r="E160" s="222" t="s">
        <v>10</v>
      </c>
      <c r="F160" s="214" t="s">
        <v>345</v>
      </c>
      <c r="G160" s="108">
        <v>2.7549999999999999</v>
      </c>
      <c r="H160" s="385"/>
      <c r="I160" s="395"/>
      <c r="J160" s="395"/>
      <c r="K160" s="395"/>
      <c r="L160" s="395"/>
      <c r="M160" s="395"/>
      <c r="N160" s="414"/>
      <c r="O160" s="435"/>
      <c r="P160" s="388"/>
      <c r="Q160" s="476"/>
      <c r="R160" s="377"/>
    </row>
    <row r="161" spans="1:18" ht="45" x14ac:dyDescent="0.25">
      <c r="A161" s="427" t="s">
        <v>631</v>
      </c>
      <c r="B161" s="384">
        <v>26</v>
      </c>
      <c r="C161" s="222" t="s">
        <v>8</v>
      </c>
      <c r="D161" s="214" t="s">
        <v>193</v>
      </c>
      <c r="E161" s="222" t="s">
        <v>10</v>
      </c>
      <c r="F161" s="214" t="s">
        <v>343</v>
      </c>
      <c r="G161" s="108">
        <v>2.2065860000000002</v>
      </c>
      <c r="H161" s="384">
        <v>54</v>
      </c>
      <c r="I161" s="222"/>
      <c r="J161" s="214"/>
      <c r="K161" s="222"/>
      <c r="L161" s="214"/>
      <c r="M161" s="108"/>
      <c r="N161" s="214" t="s">
        <v>424</v>
      </c>
      <c r="O161" s="222" t="s">
        <v>111</v>
      </c>
      <c r="P161" s="231" t="s">
        <v>447</v>
      </c>
      <c r="Q161" s="234" t="s">
        <v>452</v>
      </c>
      <c r="R161" s="227">
        <v>44286</v>
      </c>
    </row>
    <row r="162" spans="1:18" ht="45" x14ac:dyDescent="0.25">
      <c r="A162" s="427"/>
      <c r="B162" s="410"/>
      <c r="C162" s="222" t="s">
        <v>8</v>
      </c>
      <c r="D162" s="214" t="s">
        <v>194</v>
      </c>
      <c r="E162" s="222" t="s">
        <v>10</v>
      </c>
      <c r="F162" s="214" t="s">
        <v>343</v>
      </c>
      <c r="G162" s="108">
        <v>4.2565629999999999</v>
      </c>
      <c r="H162" s="410"/>
      <c r="I162" s="222"/>
      <c r="J162" s="214"/>
      <c r="K162" s="222"/>
      <c r="L162" s="214"/>
      <c r="M162" s="108"/>
      <c r="N162" s="214" t="s">
        <v>424</v>
      </c>
      <c r="O162" s="222" t="s">
        <v>111</v>
      </c>
      <c r="P162" s="231" t="s">
        <v>447</v>
      </c>
      <c r="Q162" s="234" t="s">
        <v>506</v>
      </c>
      <c r="R162" s="227">
        <v>44286</v>
      </c>
    </row>
    <row r="163" spans="1:18" ht="45" x14ac:dyDescent="0.25">
      <c r="A163" s="427"/>
      <c r="B163" s="410"/>
      <c r="C163" s="222" t="s">
        <v>8</v>
      </c>
      <c r="D163" s="214" t="s">
        <v>195</v>
      </c>
      <c r="E163" s="222" t="s">
        <v>10</v>
      </c>
      <c r="F163" s="214" t="s">
        <v>343</v>
      </c>
      <c r="G163" s="108">
        <v>2.0495749999999999</v>
      </c>
      <c r="H163" s="410"/>
      <c r="I163" s="222"/>
      <c r="J163" s="214"/>
      <c r="K163" s="222"/>
      <c r="L163" s="214"/>
      <c r="M163" s="108"/>
      <c r="N163" s="214" t="s">
        <v>424</v>
      </c>
      <c r="O163" s="222" t="s">
        <v>111</v>
      </c>
      <c r="P163" s="231" t="s">
        <v>447</v>
      </c>
      <c r="Q163" s="234" t="s">
        <v>453</v>
      </c>
      <c r="R163" s="227">
        <v>44286</v>
      </c>
    </row>
    <row r="164" spans="1:18" ht="45" x14ac:dyDescent="0.25">
      <c r="A164" s="427"/>
      <c r="B164" s="410"/>
      <c r="C164" s="222" t="s">
        <v>8</v>
      </c>
      <c r="D164" s="214" t="s">
        <v>196</v>
      </c>
      <c r="E164" s="222" t="s">
        <v>10</v>
      </c>
      <c r="F164" s="214" t="s">
        <v>343</v>
      </c>
      <c r="G164" s="108">
        <v>5.9272629999999999</v>
      </c>
      <c r="H164" s="410"/>
      <c r="I164" s="222"/>
      <c r="J164" s="214"/>
      <c r="K164" s="222"/>
      <c r="L164" s="214"/>
      <c r="M164" s="108"/>
      <c r="N164" s="214" t="s">
        <v>424</v>
      </c>
      <c r="O164" s="222" t="s">
        <v>111</v>
      </c>
      <c r="P164" s="231" t="s">
        <v>447</v>
      </c>
      <c r="Q164" s="234" t="s">
        <v>454</v>
      </c>
      <c r="R164" s="227">
        <v>44286</v>
      </c>
    </row>
    <row r="165" spans="1:18" ht="45" x14ac:dyDescent="0.25">
      <c r="A165" s="427"/>
      <c r="B165" s="410"/>
      <c r="C165" s="222" t="s">
        <v>8</v>
      </c>
      <c r="D165" s="214" t="s">
        <v>197</v>
      </c>
      <c r="E165" s="222" t="s">
        <v>10</v>
      </c>
      <c r="F165" s="214" t="s">
        <v>343</v>
      </c>
      <c r="G165" s="108">
        <v>4.8087109999999997</v>
      </c>
      <c r="H165" s="410"/>
      <c r="I165" s="222"/>
      <c r="J165" s="214"/>
      <c r="K165" s="222"/>
      <c r="L165" s="214"/>
      <c r="M165" s="108"/>
      <c r="N165" s="214" t="s">
        <v>424</v>
      </c>
      <c r="O165" s="222" t="s">
        <v>111</v>
      </c>
      <c r="P165" s="231" t="s">
        <v>447</v>
      </c>
      <c r="Q165" s="234" t="s">
        <v>455</v>
      </c>
      <c r="R165" s="227">
        <v>44286</v>
      </c>
    </row>
    <row r="166" spans="1:18" ht="45" x14ac:dyDescent="0.25">
      <c r="A166" s="427"/>
      <c r="B166" s="410"/>
      <c r="C166" s="222" t="s">
        <v>8</v>
      </c>
      <c r="D166" s="214" t="s">
        <v>198</v>
      </c>
      <c r="E166" s="222" t="s">
        <v>10</v>
      </c>
      <c r="F166" s="214" t="s">
        <v>343</v>
      </c>
      <c r="G166" s="108">
        <v>5.3389740000000003</v>
      </c>
      <c r="H166" s="410"/>
      <c r="I166" s="222"/>
      <c r="J166" s="214"/>
      <c r="K166" s="222"/>
      <c r="L166" s="214"/>
      <c r="M166" s="108"/>
      <c r="N166" s="214" t="s">
        <v>424</v>
      </c>
      <c r="O166" s="222" t="s">
        <v>111</v>
      </c>
      <c r="P166" s="231" t="s">
        <v>447</v>
      </c>
      <c r="Q166" s="234" t="s">
        <v>456</v>
      </c>
      <c r="R166" s="227">
        <v>44286</v>
      </c>
    </row>
    <row r="167" spans="1:18" ht="45" x14ac:dyDescent="0.25">
      <c r="A167" s="427"/>
      <c r="B167" s="385"/>
      <c r="C167" s="222" t="s">
        <v>8</v>
      </c>
      <c r="D167" s="214" t="s">
        <v>199</v>
      </c>
      <c r="E167" s="222" t="s">
        <v>10</v>
      </c>
      <c r="F167" s="214" t="s">
        <v>343</v>
      </c>
      <c r="G167" s="108">
        <v>1.112328</v>
      </c>
      <c r="H167" s="385"/>
      <c r="I167" s="222"/>
      <c r="J167" s="214"/>
      <c r="K167" s="222"/>
      <c r="L167" s="214"/>
      <c r="M167" s="108"/>
      <c r="N167" s="214" t="s">
        <v>424</v>
      </c>
      <c r="O167" s="222" t="s">
        <v>111</v>
      </c>
      <c r="P167" s="231" t="s">
        <v>447</v>
      </c>
      <c r="Q167" s="234" t="s">
        <v>457</v>
      </c>
      <c r="R167" s="227">
        <v>44286</v>
      </c>
    </row>
    <row r="168" spans="1:18" ht="45" x14ac:dyDescent="0.25">
      <c r="A168" s="233" t="s">
        <v>200</v>
      </c>
      <c r="B168" s="76">
        <v>18</v>
      </c>
      <c r="C168" s="222" t="s">
        <v>8</v>
      </c>
      <c r="D168" s="214" t="s">
        <v>201</v>
      </c>
      <c r="E168" s="222" t="s">
        <v>10</v>
      </c>
      <c r="F168" s="214" t="s">
        <v>343</v>
      </c>
      <c r="G168" s="108">
        <v>18.2</v>
      </c>
      <c r="H168" s="76">
        <v>0</v>
      </c>
      <c r="I168" s="222"/>
      <c r="J168" s="214"/>
      <c r="K168" s="222"/>
      <c r="L168" s="214"/>
      <c r="M168" s="108"/>
      <c r="N168" s="214" t="s">
        <v>424</v>
      </c>
      <c r="O168" s="222" t="s">
        <v>111</v>
      </c>
      <c r="P168" s="231" t="s">
        <v>447</v>
      </c>
      <c r="Q168" s="234" t="s">
        <v>458</v>
      </c>
      <c r="R168" s="227">
        <v>44286</v>
      </c>
    </row>
    <row r="169" spans="1:18" ht="15" customHeight="1" x14ac:dyDescent="0.25">
      <c r="A169" s="427" t="s">
        <v>202</v>
      </c>
      <c r="B169" s="396">
        <v>1720</v>
      </c>
      <c r="C169" s="222" t="s">
        <v>26</v>
      </c>
      <c r="D169" s="214" t="s">
        <v>14</v>
      </c>
      <c r="E169" s="214" t="s">
        <v>203</v>
      </c>
      <c r="F169" s="214" t="s">
        <v>343</v>
      </c>
      <c r="G169" s="108">
        <v>200</v>
      </c>
      <c r="H169" s="396">
        <v>0</v>
      </c>
      <c r="I169" s="393"/>
      <c r="J169" s="393"/>
      <c r="K169" s="393"/>
      <c r="L169" s="393"/>
      <c r="M169" s="393"/>
      <c r="N169" s="414" t="s">
        <v>11</v>
      </c>
      <c r="O169" s="435" t="s">
        <v>204</v>
      </c>
      <c r="P169" s="382" t="s">
        <v>447</v>
      </c>
      <c r="Q169" s="436" t="s">
        <v>429</v>
      </c>
      <c r="R169" s="546">
        <v>44286</v>
      </c>
    </row>
    <row r="170" spans="1:18" ht="30" x14ac:dyDescent="0.25">
      <c r="A170" s="427"/>
      <c r="B170" s="410"/>
      <c r="C170" s="222" t="s">
        <v>26</v>
      </c>
      <c r="D170" s="214" t="s">
        <v>14</v>
      </c>
      <c r="E170" s="222" t="s">
        <v>10</v>
      </c>
      <c r="F170" s="214" t="s">
        <v>343</v>
      </c>
      <c r="G170" s="108">
        <v>1000</v>
      </c>
      <c r="H170" s="410"/>
      <c r="I170" s="394"/>
      <c r="J170" s="394"/>
      <c r="K170" s="394"/>
      <c r="L170" s="394"/>
      <c r="M170" s="394"/>
      <c r="N170" s="414"/>
      <c r="O170" s="435"/>
      <c r="P170" s="431"/>
      <c r="Q170" s="436"/>
      <c r="R170" s="547"/>
    </row>
    <row r="171" spans="1:18" ht="30" x14ac:dyDescent="0.25">
      <c r="A171" s="427"/>
      <c r="B171" s="410"/>
      <c r="C171" s="222" t="s">
        <v>8</v>
      </c>
      <c r="D171" s="214" t="s">
        <v>14</v>
      </c>
      <c r="E171" s="222" t="s">
        <v>10</v>
      </c>
      <c r="F171" s="214" t="s">
        <v>343</v>
      </c>
      <c r="G171" s="108">
        <v>-1000</v>
      </c>
      <c r="H171" s="410"/>
      <c r="I171" s="394"/>
      <c r="J171" s="394"/>
      <c r="K171" s="394"/>
      <c r="L171" s="394"/>
      <c r="M171" s="394"/>
      <c r="N171" s="414"/>
      <c r="O171" s="435"/>
      <c r="P171" s="431"/>
      <c r="Q171" s="436"/>
      <c r="R171" s="547"/>
    </row>
    <row r="172" spans="1:18" x14ac:dyDescent="0.25">
      <c r="A172" s="427"/>
      <c r="B172" s="410"/>
      <c r="C172" s="222" t="s">
        <v>8</v>
      </c>
      <c r="D172" s="214" t="s">
        <v>14</v>
      </c>
      <c r="E172" s="222" t="s">
        <v>16</v>
      </c>
      <c r="F172" s="214" t="s">
        <v>111</v>
      </c>
      <c r="G172" s="108">
        <v>1000</v>
      </c>
      <c r="H172" s="410"/>
      <c r="I172" s="394"/>
      <c r="J172" s="394"/>
      <c r="K172" s="394"/>
      <c r="L172" s="394"/>
      <c r="M172" s="394"/>
      <c r="N172" s="414"/>
      <c r="O172" s="435"/>
      <c r="P172" s="431"/>
      <c r="Q172" s="436"/>
      <c r="R172" s="547"/>
    </row>
    <row r="173" spans="1:18" ht="30" x14ac:dyDescent="0.25">
      <c r="A173" s="427"/>
      <c r="B173" s="410"/>
      <c r="C173" s="222" t="s">
        <v>26</v>
      </c>
      <c r="D173" s="214" t="s">
        <v>14</v>
      </c>
      <c r="E173" s="222" t="s">
        <v>10</v>
      </c>
      <c r="F173" s="214" t="s">
        <v>343</v>
      </c>
      <c r="G173" s="108">
        <v>120</v>
      </c>
      <c r="H173" s="410"/>
      <c r="I173" s="394"/>
      <c r="J173" s="394"/>
      <c r="K173" s="394"/>
      <c r="L173" s="394"/>
      <c r="M173" s="394"/>
      <c r="N173" s="414"/>
      <c r="O173" s="435"/>
      <c r="P173" s="431"/>
      <c r="Q173" s="436"/>
      <c r="R173" s="547"/>
    </row>
    <row r="174" spans="1:18" ht="30" x14ac:dyDescent="0.25">
      <c r="A174" s="427"/>
      <c r="B174" s="385"/>
      <c r="C174" s="222" t="s">
        <v>26</v>
      </c>
      <c r="D174" s="214" t="s">
        <v>14</v>
      </c>
      <c r="E174" s="222" t="s">
        <v>10</v>
      </c>
      <c r="F174" s="214" t="s">
        <v>343</v>
      </c>
      <c r="G174" s="108">
        <v>400</v>
      </c>
      <c r="H174" s="385"/>
      <c r="I174" s="395"/>
      <c r="J174" s="395"/>
      <c r="K174" s="395"/>
      <c r="L174" s="395"/>
      <c r="M174" s="395"/>
      <c r="N174" s="414"/>
      <c r="O174" s="435"/>
      <c r="P174" s="383"/>
      <c r="Q174" s="436"/>
      <c r="R174" s="547"/>
    </row>
    <row r="175" spans="1:18" s="52" customFormat="1" x14ac:dyDescent="0.25">
      <c r="A175" s="419" t="s">
        <v>205</v>
      </c>
      <c r="B175" s="384">
        <v>376</v>
      </c>
      <c r="C175" s="378" t="s">
        <v>42</v>
      </c>
      <c r="D175" s="378" t="s">
        <v>206</v>
      </c>
      <c r="E175" s="378" t="s">
        <v>111</v>
      </c>
      <c r="F175" s="384" t="s">
        <v>111</v>
      </c>
      <c r="G175" s="401" t="s">
        <v>111</v>
      </c>
      <c r="H175" s="384">
        <v>376</v>
      </c>
      <c r="I175" s="222" t="s">
        <v>467</v>
      </c>
      <c r="J175" s="214" t="s">
        <v>206</v>
      </c>
      <c r="K175" s="222" t="s">
        <v>16</v>
      </c>
      <c r="L175" s="214" t="s">
        <v>111</v>
      </c>
      <c r="M175" s="108">
        <v>569.09784200000001</v>
      </c>
      <c r="N175" s="378" t="s">
        <v>11</v>
      </c>
      <c r="O175" s="389" t="s">
        <v>207</v>
      </c>
      <c r="P175" s="386" t="s">
        <v>447</v>
      </c>
      <c r="Q175" s="372" t="s">
        <v>541</v>
      </c>
      <c r="R175" s="375">
        <v>44286</v>
      </c>
    </row>
    <row r="176" spans="1:18" s="52" customFormat="1" x14ac:dyDescent="0.25">
      <c r="A176" s="420"/>
      <c r="B176" s="410"/>
      <c r="C176" s="379"/>
      <c r="D176" s="379"/>
      <c r="E176" s="379"/>
      <c r="F176" s="410"/>
      <c r="G176" s="511"/>
      <c r="H176" s="410"/>
      <c r="I176" s="222" t="s">
        <v>467</v>
      </c>
      <c r="J176" s="222" t="s">
        <v>206</v>
      </c>
      <c r="K176" s="222" t="s">
        <v>10</v>
      </c>
      <c r="L176" s="214"/>
      <c r="M176" s="108">
        <v>1.346144</v>
      </c>
      <c r="N176" s="379"/>
      <c r="O176" s="390"/>
      <c r="P176" s="387"/>
      <c r="Q176" s="373"/>
      <c r="R176" s="376"/>
    </row>
    <row r="177" spans="1:18" ht="31.5" customHeight="1" x14ac:dyDescent="0.25">
      <c r="A177" s="421"/>
      <c r="B177" s="385"/>
      <c r="C177" s="380"/>
      <c r="D177" s="380"/>
      <c r="E177" s="380"/>
      <c r="F177" s="385"/>
      <c r="G177" s="402"/>
      <c r="H177" s="385"/>
      <c r="I177" s="289" t="s">
        <v>26</v>
      </c>
      <c r="J177" s="273" t="s">
        <v>206</v>
      </c>
      <c r="K177" s="269" t="s">
        <v>16</v>
      </c>
      <c r="L177" s="273" t="s">
        <v>111</v>
      </c>
      <c r="M177" s="290">
        <v>121.500536</v>
      </c>
      <c r="N177" s="380"/>
      <c r="O177" s="391"/>
      <c r="P177" s="388"/>
      <c r="Q177" s="374"/>
      <c r="R177" s="377"/>
    </row>
    <row r="178" spans="1:18" ht="60" x14ac:dyDescent="0.25">
      <c r="A178" s="427" t="s">
        <v>208</v>
      </c>
      <c r="B178" s="384">
        <v>253</v>
      </c>
      <c r="C178" s="222" t="s">
        <v>26</v>
      </c>
      <c r="D178" s="214" t="s">
        <v>89</v>
      </c>
      <c r="E178" s="222" t="s">
        <v>10</v>
      </c>
      <c r="F178" s="214" t="s">
        <v>345</v>
      </c>
      <c r="G178" s="108">
        <v>50</v>
      </c>
      <c r="H178" s="384">
        <v>0</v>
      </c>
      <c r="I178" s="393"/>
      <c r="J178" s="393"/>
      <c r="K178" s="393"/>
      <c r="L178" s="393"/>
      <c r="M178" s="393"/>
      <c r="N178" s="467" t="s">
        <v>11</v>
      </c>
      <c r="O178" s="392" t="s">
        <v>90</v>
      </c>
      <c r="P178" s="467" t="s">
        <v>19</v>
      </c>
      <c r="Q178" s="474" t="s">
        <v>379</v>
      </c>
      <c r="R178" s="525">
        <v>44251</v>
      </c>
    </row>
    <row r="179" spans="1:18" s="52" customFormat="1" x14ac:dyDescent="0.25">
      <c r="A179" s="427"/>
      <c r="B179" s="410"/>
      <c r="C179" s="222" t="s">
        <v>396</v>
      </c>
      <c r="D179" s="214" t="s">
        <v>89</v>
      </c>
      <c r="E179" s="222" t="s">
        <v>16</v>
      </c>
      <c r="F179" s="214" t="s">
        <v>111</v>
      </c>
      <c r="G179" s="108">
        <v>1.456952</v>
      </c>
      <c r="H179" s="410"/>
      <c r="I179" s="394"/>
      <c r="J179" s="394"/>
      <c r="K179" s="394"/>
      <c r="L179" s="394"/>
      <c r="M179" s="394"/>
      <c r="N179" s="467"/>
      <c r="O179" s="392"/>
      <c r="P179" s="467"/>
      <c r="Q179" s="475"/>
      <c r="R179" s="526"/>
    </row>
    <row r="180" spans="1:18" s="52" customFormat="1" ht="60" x14ac:dyDescent="0.25">
      <c r="A180" s="427"/>
      <c r="B180" s="410"/>
      <c r="C180" s="222" t="s">
        <v>396</v>
      </c>
      <c r="D180" s="214" t="s">
        <v>89</v>
      </c>
      <c r="E180" s="222" t="s">
        <v>10</v>
      </c>
      <c r="F180" s="214" t="s">
        <v>345</v>
      </c>
      <c r="G180" s="108">
        <v>-1.456952</v>
      </c>
      <c r="H180" s="410"/>
      <c r="I180" s="394"/>
      <c r="J180" s="394"/>
      <c r="K180" s="394"/>
      <c r="L180" s="394"/>
      <c r="M180" s="394"/>
      <c r="N180" s="467"/>
      <c r="O180" s="392"/>
      <c r="P180" s="467"/>
      <c r="Q180" s="476"/>
      <c r="R180" s="527"/>
    </row>
    <row r="181" spans="1:18" x14ac:dyDescent="0.25">
      <c r="A181" s="427"/>
      <c r="B181" s="410"/>
      <c r="C181" s="222" t="s">
        <v>26</v>
      </c>
      <c r="D181" s="214" t="s">
        <v>89</v>
      </c>
      <c r="E181" s="222" t="s">
        <v>16</v>
      </c>
      <c r="F181" s="214" t="s">
        <v>111</v>
      </c>
      <c r="G181" s="108">
        <v>15</v>
      </c>
      <c r="H181" s="410"/>
      <c r="I181" s="394"/>
      <c r="J181" s="394"/>
      <c r="K181" s="394"/>
      <c r="L181" s="394"/>
      <c r="M181" s="394"/>
      <c r="N181" s="467"/>
      <c r="O181" s="392"/>
      <c r="P181" s="467"/>
      <c r="Q181" s="436" t="s">
        <v>427</v>
      </c>
      <c r="R181" s="546">
        <v>44251</v>
      </c>
    </row>
    <row r="182" spans="1:18" ht="60" x14ac:dyDescent="0.25">
      <c r="A182" s="427"/>
      <c r="B182" s="385"/>
      <c r="C182" s="222" t="s">
        <v>26</v>
      </c>
      <c r="D182" s="214" t="s">
        <v>89</v>
      </c>
      <c r="E182" s="222" t="s">
        <v>10</v>
      </c>
      <c r="F182" s="214" t="s">
        <v>345</v>
      </c>
      <c r="G182" s="108">
        <v>62.5</v>
      </c>
      <c r="H182" s="385"/>
      <c r="I182" s="395"/>
      <c r="J182" s="395"/>
      <c r="K182" s="395"/>
      <c r="L182" s="395"/>
      <c r="M182" s="395"/>
      <c r="N182" s="467"/>
      <c r="O182" s="392"/>
      <c r="P182" s="467"/>
      <c r="Q182" s="436"/>
      <c r="R182" s="547"/>
    </row>
    <row r="183" spans="1:18" ht="15" customHeight="1" x14ac:dyDescent="0.25">
      <c r="A183" s="549" t="s">
        <v>210</v>
      </c>
      <c r="B183" s="384">
        <v>63</v>
      </c>
      <c r="C183" s="222" t="s">
        <v>26</v>
      </c>
      <c r="D183" s="214" t="s">
        <v>211</v>
      </c>
      <c r="E183" s="222" t="s">
        <v>10</v>
      </c>
      <c r="F183" s="214" t="s">
        <v>348</v>
      </c>
      <c r="G183" s="108">
        <v>62.5</v>
      </c>
      <c r="H183" s="384">
        <v>0</v>
      </c>
      <c r="I183" s="393"/>
      <c r="J183" s="393"/>
      <c r="K183" s="393"/>
      <c r="L183" s="393"/>
      <c r="M183" s="393"/>
      <c r="N183" s="378" t="s">
        <v>11</v>
      </c>
      <c r="O183" s="389" t="s">
        <v>212</v>
      </c>
      <c r="P183" s="384" t="s">
        <v>213</v>
      </c>
      <c r="Q183" s="132"/>
      <c r="R183" s="459"/>
    </row>
    <row r="184" spans="1:18" ht="60" x14ac:dyDescent="0.25">
      <c r="A184" s="550"/>
      <c r="B184" s="410"/>
      <c r="C184" s="222" t="s">
        <v>8</v>
      </c>
      <c r="D184" s="214" t="s">
        <v>211</v>
      </c>
      <c r="E184" s="222" t="s">
        <v>10</v>
      </c>
      <c r="F184" s="214" t="s">
        <v>345</v>
      </c>
      <c r="G184" s="108">
        <v>-56.8</v>
      </c>
      <c r="H184" s="410"/>
      <c r="I184" s="394"/>
      <c r="J184" s="394"/>
      <c r="K184" s="394"/>
      <c r="L184" s="394"/>
      <c r="M184" s="394"/>
      <c r="N184" s="379"/>
      <c r="O184" s="390"/>
      <c r="P184" s="410"/>
      <c r="Q184" s="133"/>
      <c r="R184" s="498"/>
    </row>
    <row r="185" spans="1:18" s="52" customFormat="1" ht="60" x14ac:dyDescent="0.25">
      <c r="A185" s="550"/>
      <c r="B185" s="410"/>
      <c r="C185" s="222" t="s">
        <v>396</v>
      </c>
      <c r="D185" s="214" t="s">
        <v>211</v>
      </c>
      <c r="E185" s="222" t="s">
        <v>10</v>
      </c>
      <c r="F185" s="214" t="s">
        <v>345</v>
      </c>
      <c r="G185" s="108">
        <v>-5.7</v>
      </c>
      <c r="H185" s="410"/>
      <c r="I185" s="395"/>
      <c r="J185" s="395"/>
      <c r="K185" s="395"/>
      <c r="L185" s="395"/>
      <c r="M185" s="395"/>
      <c r="N185" s="380"/>
      <c r="O185" s="391"/>
      <c r="P185" s="385"/>
      <c r="Q185" s="134"/>
      <c r="R185" s="460"/>
    </row>
    <row r="186" spans="1:18" ht="15" customHeight="1" x14ac:dyDescent="0.25">
      <c r="A186" s="550"/>
      <c r="B186" s="410"/>
      <c r="C186" s="222" t="s">
        <v>8</v>
      </c>
      <c r="D186" s="214" t="s">
        <v>153</v>
      </c>
      <c r="E186" s="222" t="s">
        <v>16</v>
      </c>
      <c r="F186" s="214" t="s">
        <v>111</v>
      </c>
      <c r="G186" s="108">
        <v>17.037134999999999</v>
      </c>
      <c r="H186" s="410"/>
      <c r="I186" s="393"/>
      <c r="J186" s="393"/>
      <c r="K186" s="393"/>
      <c r="L186" s="393"/>
      <c r="M186" s="393"/>
      <c r="N186" s="378" t="s">
        <v>11</v>
      </c>
      <c r="O186" s="389" t="s">
        <v>214</v>
      </c>
      <c r="P186" s="386" t="s">
        <v>447</v>
      </c>
      <c r="Q186" s="474" t="s">
        <v>501</v>
      </c>
      <c r="R186" s="546">
        <v>44286</v>
      </c>
    </row>
    <row r="187" spans="1:18" ht="60" x14ac:dyDescent="0.25">
      <c r="A187" s="550"/>
      <c r="B187" s="410"/>
      <c r="C187" s="222" t="s">
        <v>8</v>
      </c>
      <c r="D187" s="214" t="s">
        <v>153</v>
      </c>
      <c r="E187" s="222" t="s">
        <v>10</v>
      </c>
      <c r="F187" s="214" t="s">
        <v>345</v>
      </c>
      <c r="G187" s="108">
        <v>21.102865000000001</v>
      </c>
      <c r="H187" s="410"/>
      <c r="I187" s="394"/>
      <c r="J187" s="394"/>
      <c r="K187" s="394"/>
      <c r="L187" s="394"/>
      <c r="M187" s="394"/>
      <c r="N187" s="379"/>
      <c r="O187" s="390"/>
      <c r="P187" s="387"/>
      <c r="Q187" s="475"/>
      <c r="R187" s="547"/>
    </row>
    <row r="188" spans="1:18" s="52" customFormat="1" x14ac:dyDescent="0.25">
      <c r="A188" s="550"/>
      <c r="B188" s="410"/>
      <c r="C188" s="222" t="s">
        <v>396</v>
      </c>
      <c r="D188" s="214" t="s">
        <v>153</v>
      </c>
      <c r="E188" s="222" t="s">
        <v>16</v>
      </c>
      <c r="F188" s="214" t="s">
        <v>111</v>
      </c>
      <c r="G188" s="108">
        <v>4.5599999999999996</v>
      </c>
      <c r="H188" s="410"/>
      <c r="I188" s="395"/>
      <c r="J188" s="395"/>
      <c r="K188" s="395"/>
      <c r="L188" s="395"/>
      <c r="M188" s="395"/>
      <c r="N188" s="379"/>
      <c r="O188" s="390"/>
      <c r="P188" s="387"/>
      <c r="Q188" s="476"/>
      <c r="R188" s="547"/>
    </row>
    <row r="189" spans="1:18" ht="60" x14ac:dyDescent="0.25">
      <c r="A189" s="550"/>
      <c r="B189" s="410"/>
      <c r="C189" s="222" t="s">
        <v>8</v>
      </c>
      <c r="D189" s="214" t="s">
        <v>68</v>
      </c>
      <c r="E189" s="222" t="s">
        <v>10</v>
      </c>
      <c r="F189" s="214" t="s">
        <v>345</v>
      </c>
      <c r="G189" s="108">
        <v>9.5180000000000007</v>
      </c>
      <c r="H189" s="410"/>
      <c r="I189" s="393"/>
      <c r="J189" s="393"/>
      <c r="K189" s="393"/>
      <c r="L189" s="393"/>
      <c r="M189" s="393"/>
      <c r="N189" s="379"/>
      <c r="O189" s="390"/>
      <c r="P189" s="387"/>
      <c r="Q189" s="474" t="s">
        <v>549</v>
      </c>
      <c r="R189" s="525">
        <v>44286</v>
      </c>
    </row>
    <row r="190" spans="1:18" ht="30" x14ac:dyDescent="0.25">
      <c r="A190" s="550"/>
      <c r="B190" s="410"/>
      <c r="C190" s="222" t="s">
        <v>396</v>
      </c>
      <c r="D190" s="214" t="s">
        <v>68</v>
      </c>
      <c r="E190" s="222" t="s">
        <v>16</v>
      </c>
      <c r="F190" s="214" t="s">
        <v>111</v>
      </c>
      <c r="G190" s="108">
        <v>1.1399999999999999</v>
      </c>
      <c r="H190" s="410"/>
      <c r="I190" s="395"/>
      <c r="J190" s="395"/>
      <c r="K190" s="395"/>
      <c r="L190" s="395"/>
      <c r="M190" s="395"/>
      <c r="N190" s="379"/>
      <c r="O190" s="390"/>
      <c r="P190" s="387"/>
      <c r="Q190" s="476"/>
      <c r="R190" s="528"/>
    </row>
    <row r="191" spans="1:18" s="52" customFormat="1" ht="30" x14ac:dyDescent="0.25">
      <c r="A191" s="550"/>
      <c r="B191" s="410"/>
      <c r="C191" s="222" t="s">
        <v>8</v>
      </c>
      <c r="D191" s="214" t="s">
        <v>155</v>
      </c>
      <c r="E191" s="222" t="s">
        <v>16</v>
      </c>
      <c r="F191" s="214" t="s">
        <v>111</v>
      </c>
      <c r="G191" s="108">
        <v>6.992</v>
      </c>
      <c r="H191" s="410"/>
      <c r="I191" s="393"/>
      <c r="J191" s="393"/>
      <c r="K191" s="393"/>
      <c r="L191" s="393"/>
      <c r="M191" s="393"/>
      <c r="N191" s="379"/>
      <c r="O191" s="390"/>
      <c r="P191" s="387"/>
      <c r="Q191" s="474" t="s">
        <v>553</v>
      </c>
      <c r="R191" s="525">
        <v>44286</v>
      </c>
    </row>
    <row r="192" spans="1:18" ht="60" x14ac:dyDescent="0.25">
      <c r="A192" s="550"/>
      <c r="B192" s="410"/>
      <c r="C192" s="222" t="s">
        <v>8</v>
      </c>
      <c r="D192" s="214" t="s">
        <v>155</v>
      </c>
      <c r="E192" s="222" t="s">
        <v>10</v>
      </c>
      <c r="F192" s="214" t="s">
        <v>345</v>
      </c>
      <c r="G192" s="108">
        <v>2.15</v>
      </c>
      <c r="H192" s="410"/>
      <c r="I192" s="394"/>
      <c r="J192" s="394"/>
      <c r="K192" s="394"/>
      <c r="L192" s="394"/>
      <c r="M192" s="394"/>
      <c r="N192" s="379"/>
      <c r="O192" s="390"/>
      <c r="P192" s="387"/>
      <c r="Q192" s="475"/>
      <c r="R192" s="539"/>
    </row>
    <row r="193" spans="1:18" s="52" customFormat="1" ht="30" x14ac:dyDescent="0.25">
      <c r="A193" s="550"/>
      <c r="B193" s="410"/>
      <c r="C193" s="222" t="s">
        <v>396</v>
      </c>
      <c r="D193" s="214" t="s">
        <v>155</v>
      </c>
      <c r="E193" s="222" t="s">
        <v>16</v>
      </c>
      <c r="F193" s="214" t="s">
        <v>111</v>
      </c>
      <c r="G193" s="108">
        <v>1.65</v>
      </c>
      <c r="H193" s="410"/>
      <c r="I193" s="394"/>
      <c r="J193" s="394"/>
      <c r="K193" s="394"/>
      <c r="L193" s="394"/>
      <c r="M193" s="394"/>
      <c r="N193" s="379"/>
      <c r="O193" s="390"/>
      <c r="P193" s="387"/>
      <c r="Q193" s="475"/>
      <c r="R193" s="539"/>
    </row>
    <row r="194" spans="1:18" s="52" customFormat="1" ht="60" x14ac:dyDescent="0.25">
      <c r="A194" s="551"/>
      <c r="B194" s="385"/>
      <c r="C194" s="222" t="s">
        <v>396</v>
      </c>
      <c r="D194" s="214" t="s">
        <v>155</v>
      </c>
      <c r="E194" s="222" t="s">
        <v>10</v>
      </c>
      <c r="F194" s="214" t="s">
        <v>345</v>
      </c>
      <c r="G194" s="108">
        <v>-1.65</v>
      </c>
      <c r="H194" s="385"/>
      <c r="I194" s="395"/>
      <c r="J194" s="395"/>
      <c r="K194" s="395"/>
      <c r="L194" s="395"/>
      <c r="M194" s="395"/>
      <c r="N194" s="380"/>
      <c r="O194" s="391"/>
      <c r="P194" s="388"/>
      <c r="Q194" s="476"/>
      <c r="R194" s="528"/>
    </row>
    <row r="195" spans="1:18" ht="60" x14ac:dyDescent="0.25">
      <c r="A195" s="419" t="s">
        <v>209</v>
      </c>
      <c r="B195" s="384">
        <v>469</v>
      </c>
      <c r="C195" s="222" t="s">
        <v>26</v>
      </c>
      <c r="D195" s="214" t="s">
        <v>211</v>
      </c>
      <c r="E195" s="222" t="s">
        <v>10</v>
      </c>
      <c r="F195" s="214" t="s">
        <v>345</v>
      </c>
      <c r="G195" s="108">
        <v>469.4</v>
      </c>
      <c r="H195" s="384">
        <v>0</v>
      </c>
      <c r="I195" s="222" t="s">
        <v>467</v>
      </c>
      <c r="J195" s="214" t="s">
        <v>211</v>
      </c>
      <c r="K195" s="222" t="s">
        <v>16</v>
      </c>
      <c r="L195" s="214" t="s">
        <v>111</v>
      </c>
      <c r="M195" s="108">
        <v>140.53292500000001</v>
      </c>
      <c r="N195" s="378" t="s">
        <v>11</v>
      </c>
      <c r="O195" s="389" t="s">
        <v>212</v>
      </c>
      <c r="P195" s="392" t="s">
        <v>447</v>
      </c>
      <c r="Q195" s="372" t="s">
        <v>519</v>
      </c>
      <c r="R195" s="375">
        <v>44286</v>
      </c>
    </row>
    <row r="196" spans="1:18" s="52" customFormat="1" x14ac:dyDescent="0.25">
      <c r="A196" s="420"/>
      <c r="B196" s="410"/>
      <c r="C196" s="222" t="s">
        <v>396</v>
      </c>
      <c r="D196" s="214" t="s">
        <v>211</v>
      </c>
      <c r="E196" s="222" t="s">
        <v>16</v>
      </c>
      <c r="F196" s="212" t="s">
        <v>111</v>
      </c>
      <c r="G196" s="108">
        <f>1.109394+3.5</f>
        <v>4.609394</v>
      </c>
      <c r="H196" s="410"/>
      <c r="I196" s="378" t="s">
        <v>467</v>
      </c>
      <c r="J196" s="384" t="s">
        <v>211</v>
      </c>
      <c r="K196" s="378" t="s">
        <v>10</v>
      </c>
      <c r="L196" s="384"/>
      <c r="M196" s="452">
        <v>0.47070499999999998</v>
      </c>
      <c r="N196" s="379"/>
      <c r="O196" s="390"/>
      <c r="P196" s="392"/>
      <c r="Q196" s="373"/>
      <c r="R196" s="498"/>
    </row>
    <row r="197" spans="1:18" s="52" customFormat="1" ht="60" x14ac:dyDescent="0.25">
      <c r="A197" s="421"/>
      <c r="B197" s="385"/>
      <c r="C197" s="222" t="s">
        <v>396</v>
      </c>
      <c r="D197" s="214" t="s">
        <v>211</v>
      </c>
      <c r="E197" s="222" t="s">
        <v>10</v>
      </c>
      <c r="F197" s="214" t="s">
        <v>345</v>
      </c>
      <c r="G197" s="108">
        <v>-334.04422499999998</v>
      </c>
      <c r="H197" s="385"/>
      <c r="I197" s="380"/>
      <c r="J197" s="385"/>
      <c r="K197" s="380"/>
      <c r="L197" s="385"/>
      <c r="M197" s="453"/>
      <c r="N197" s="380"/>
      <c r="O197" s="391"/>
      <c r="P197" s="392"/>
      <c r="Q197" s="374"/>
      <c r="R197" s="460"/>
    </row>
    <row r="198" spans="1:18" ht="60" x14ac:dyDescent="0.25">
      <c r="A198" s="427" t="s">
        <v>215</v>
      </c>
      <c r="B198" s="384">
        <v>450</v>
      </c>
      <c r="C198" s="222" t="s">
        <v>8</v>
      </c>
      <c r="D198" s="214" t="s">
        <v>216</v>
      </c>
      <c r="E198" s="222" t="s">
        <v>10</v>
      </c>
      <c r="F198" s="214" t="s">
        <v>345</v>
      </c>
      <c r="G198" s="108">
        <v>325</v>
      </c>
      <c r="H198" s="384">
        <v>0</v>
      </c>
      <c r="I198" s="393"/>
      <c r="J198" s="393"/>
      <c r="K198" s="393"/>
      <c r="L198" s="393"/>
      <c r="M198" s="393"/>
      <c r="N198" s="414" t="s">
        <v>11</v>
      </c>
      <c r="O198" s="435" t="s">
        <v>217</v>
      </c>
      <c r="P198" s="392" t="s">
        <v>447</v>
      </c>
      <c r="Q198" s="469" t="s">
        <v>565</v>
      </c>
      <c r="R198" s="451">
        <v>44286</v>
      </c>
    </row>
    <row r="199" spans="1:18" ht="30" x14ac:dyDescent="0.25">
      <c r="A199" s="427"/>
      <c r="B199" s="385"/>
      <c r="C199" s="222" t="s">
        <v>8</v>
      </c>
      <c r="D199" s="214" t="s">
        <v>216</v>
      </c>
      <c r="E199" s="222" t="s">
        <v>16</v>
      </c>
      <c r="F199" s="214" t="s">
        <v>111</v>
      </c>
      <c r="G199" s="108">
        <v>125</v>
      </c>
      <c r="H199" s="385"/>
      <c r="I199" s="395"/>
      <c r="J199" s="395"/>
      <c r="K199" s="395"/>
      <c r="L199" s="395"/>
      <c r="M199" s="395"/>
      <c r="N199" s="414"/>
      <c r="O199" s="435"/>
      <c r="P199" s="392"/>
      <c r="Q199" s="469"/>
      <c r="R199" s="468"/>
    </row>
    <row r="200" spans="1:18" ht="60" x14ac:dyDescent="0.25">
      <c r="A200" s="427" t="s">
        <v>218</v>
      </c>
      <c r="B200" s="384">
        <v>2</v>
      </c>
      <c r="C200" s="222" t="s">
        <v>8</v>
      </c>
      <c r="D200" s="222" t="s">
        <v>219</v>
      </c>
      <c r="E200" s="222" t="s">
        <v>10</v>
      </c>
      <c r="F200" s="214" t="s">
        <v>345</v>
      </c>
      <c r="G200" s="108">
        <v>1.7242409999999999</v>
      </c>
      <c r="H200" s="384">
        <v>0</v>
      </c>
      <c r="I200" s="393"/>
      <c r="J200" s="393"/>
      <c r="K200" s="393"/>
      <c r="L200" s="393"/>
      <c r="M200" s="393"/>
      <c r="N200" s="414" t="s">
        <v>11</v>
      </c>
      <c r="O200" s="435" t="s">
        <v>31</v>
      </c>
      <c r="P200" s="386" t="s">
        <v>447</v>
      </c>
      <c r="Q200" s="548" t="s">
        <v>568</v>
      </c>
      <c r="R200" s="375">
        <v>11413</v>
      </c>
    </row>
    <row r="201" spans="1:18" s="52" customFormat="1" x14ac:dyDescent="0.25">
      <c r="A201" s="427"/>
      <c r="B201" s="410"/>
      <c r="C201" s="222" t="s">
        <v>8</v>
      </c>
      <c r="D201" s="222" t="s">
        <v>219</v>
      </c>
      <c r="E201" s="222" t="s">
        <v>16</v>
      </c>
      <c r="F201" s="214" t="s">
        <v>111</v>
      </c>
      <c r="G201" s="108">
        <v>0.83208300000000002</v>
      </c>
      <c r="H201" s="410"/>
      <c r="I201" s="394"/>
      <c r="J201" s="394"/>
      <c r="K201" s="394"/>
      <c r="L201" s="394"/>
      <c r="M201" s="394"/>
      <c r="N201" s="414"/>
      <c r="O201" s="435"/>
      <c r="P201" s="387"/>
      <c r="Q201" s="548"/>
      <c r="R201" s="376"/>
    </row>
    <row r="202" spans="1:18" s="52" customFormat="1" ht="60" x14ac:dyDescent="0.25">
      <c r="A202" s="427"/>
      <c r="B202" s="410"/>
      <c r="C202" s="222" t="s">
        <v>396</v>
      </c>
      <c r="D202" s="222" t="s">
        <v>219</v>
      </c>
      <c r="E202" s="222" t="s">
        <v>10</v>
      </c>
      <c r="F202" s="214" t="s">
        <v>345</v>
      </c>
      <c r="G202" s="122">
        <v>-0.24385399999999999</v>
      </c>
      <c r="H202" s="410"/>
      <c r="I202" s="394"/>
      <c r="J202" s="394"/>
      <c r="K202" s="394"/>
      <c r="L202" s="394"/>
      <c r="M202" s="394"/>
      <c r="N202" s="414"/>
      <c r="O202" s="435"/>
      <c r="P202" s="387"/>
      <c r="Q202" s="548"/>
      <c r="R202" s="376"/>
    </row>
    <row r="203" spans="1:18" x14ac:dyDescent="0.25">
      <c r="A203" s="427"/>
      <c r="B203" s="385"/>
      <c r="C203" s="216" t="s">
        <v>396</v>
      </c>
      <c r="D203" s="222" t="s">
        <v>219</v>
      </c>
      <c r="E203" s="216" t="s">
        <v>16</v>
      </c>
      <c r="F203" s="212" t="s">
        <v>111</v>
      </c>
      <c r="G203" s="123">
        <v>0.24385399999999999</v>
      </c>
      <c r="H203" s="385"/>
      <c r="I203" s="395"/>
      <c r="J203" s="395"/>
      <c r="K203" s="395"/>
      <c r="L203" s="395"/>
      <c r="M203" s="395"/>
      <c r="N203" s="414"/>
      <c r="O203" s="435"/>
      <c r="P203" s="388"/>
      <c r="Q203" s="469"/>
      <c r="R203" s="377"/>
    </row>
    <row r="204" spans="1:18" ht="45" x14ac:dyDescent="0.25">
      <c r="A204" s="233" t="s">
        <v>220</v>
      </c>
      <c r="B204" s="76">
        <v>320</v>
      </c>
      <c r="C204" s="222" t="s">
        <v>396</v>
      </c>
      <c r="D204" s="222" t="s">
        <v>14</v>
      </c>
      <c r="E204" s="222" t="s">
        <v>10</v>
      </c>
      <c r="F204" s="214" t="s">
        <v>421</v>
      </c>
      <c r="G204" s="112">
        <v>320</v>
      </c>
      <c r="H204" s="76">
        <v>0</v>
      </c>
      <c r="I204" s="222"/>
      <c r="J204" s="222"/>
      <c r="K204" s="222"/>
      <c r="L204" s="214"/>
      <c r="M204" s="112"/>
      <c r="N204" s="222" t="s">
        <v>11</v>
      </c>
      <c r="O204" s="223" t="s">
        <v>15</v>
      </c>
      <c r="P204" s="231" t="s">
        <v>447</v>
      </c>
      <c r="Q204" s="234" t="s">
        <v>423</v>
      </c>
      <c r="R204" s="227">
        <v>44286</v>
      </c>
    </row>
    <row r="205" spans="1:18" ht="30" customHeight="1" x14ac:dyDescent="0.25">
      <c r="A205" s="427" t="s">
        <v>221</v>
      </c>
      <c r="B205" s="384">
        <v>99</v>
      </c>
      <c r="C205" s="222" t="s">
        <v>8</v>
      </c>
      <c r="D205" s="214" t="s">
        <v>150</v>
      </c>
      <c r="E205" s="222" t="s">
        <v>16</v>
      </c>
      <c r="F205" s="214" t="s">
        <v>111</v>
      </c>
      <c r="G205" s="112">
        <v>9.7100000000000009</v>
      </c>
      <c r="H205" s="384">
        <v>0</v>
      </c>
      <c r="I205" s="393"/>
      <c r="J205" s="393"/>
      <c r="K205" s="393"/>
      <c r="L205" s="393"/>
      <c r="M205" s="393"/>
      <c r="N205" s="378" t="s">
        <v>11</v>
      </c>
      <c r="O205" s="389" t="s">
        <v>160</v>
      </c>
      <c r="P205" s="532" t="s">
        <v>19</v>
      </c>
      <c r="Q205" s="372" t="s">
        <v>584</v>
      </c>
      <c r="R205" s="375">
        <v>44286</v>
      </c>
    </row>
    <row r="206" spans="1:18" ht="30" x14ac:dyDescent="0.25">
      <c r="A206" s="427"/>
      <c r="B206" s="410"/>
      <c r="C206" s="222" t="s">
        <v>8</v>
      </c>
      <c r="D206" s="222" t="s">
        <v>150</v>
      </c>
      <c r="E206" s="222" t="s">
        <v>10</v>
      </c>
      <c r="F206" s="214" t="s">
        <v>347</v>
      </c>
      <c r="G206" s="112">
        <v>87.39</v>
      </c>
      <c r="H206" s="410"/>
      <c r="I206" s="394"/>
      <c r="J206" s="394"/>
      <c r="K206" s="394"/>
      <c r="L206" s="394"/>
      <c r="M206" s="394"/>
      <c r="N206" s="379"/>
      <c r="O206" s="390"/>
      <c r="P206" s="532"/>
      <c r="Q206" s="373"/>
      <c r="R206" s="376"/>
    </row>
    <row r="207" spans="1:18" s="52" customFormat="1" ht="30" x14ac:dyDescent="0.25">
      <c r="A207" s="427"/>
      <c r="B207" s="410"/>
      <c r="C207" s="222" t="s">
        <v>396</v>
      </c>
      <c r="D207" s="222" t="s">
        <v>150</v>
      </c>
      <c r="E207" s="222" t="s">
        <v>10</v>
      </c>
      <c r="F207" s="214" t="s">
        <v>347</v>
      </c>
      <c r="G207" s="112">
        <v>-2.678509</v>
      </c>
      <c r="H207" s="410"/>
      <c r="I207" s="394"/>
      <c r="J207" s="394"/>
      <c r="K207" s="394"/>
      <c r="L207" s="394"/>
      <c r="M207" s="394"/>
      <c r="N207" s="379"/>
      <c r="O207" s="390"/>
      <c r="P207" s="532"/>
      <c r="Q207" s="373"/>
      <c r="R207" s="376"/>
    </row>
    <row r="208" spans="1:18" s="52" customFormat="1" x14ac:dyDescent="0.25">
      <c r="A208" s="427"/>
      <c r="B208" s="410"/>
      <c r="C208" s="222" t="s">
        <v>396</v>
      </c>
      <c r="D208" s="222" t="s">
        <v>150</v>
      </c>
      <c r="E208" s="222" t="s">
        <v>16</v>
      </c>
      <c r="F208" s="214" t="s">
        <v>111</v>
      </c>
      <c r="G208" s="112">
        <v>2.678509</v>
      </c>
      <c r="H208" s="410"/>
      <c r="I208" s="395"/>
      <c r="J208" s="395"/>
      <c r="K208" s="395"/>
      <c r="L208" s="395"/>
      <c r="M208" s="395"/>
      <c r="N208" s="380"/>
      <c r="O208" s="391"/>
      <c r="P208" s="532"/>
      <c r="Q208" s="374"/>
      <c r="R208" s="377"/>
    </row>
    <row r="209" spans="1:18" ht="30" x14ac:dyDescent="0.25">
      <c r="A209" s="427"/>
      <c r="B209" s="385"/>
      <c r="C209" s="222" t="s">
        <v>8</v>
      </c>
      <c r="D209" s="222" t="s">
        <v>91</v>
      </c>
      <c r="E209" s="222" t="s">
        <v>10</v>
      </c>
      <c r="F209" s="214" t="s">
        <v>347</v>
      </c>
      <c r="G209" s="112">
        <v>2.4</v>
      </c>
      <c r="H209" s="385"/>
      <c r="I209" s="222"/>
      <c r="J209" s="222"/>
      <c r="K209" s="222"/>
      <c r="L209" s="214"/>
      <c r="M209" s="112"/>
      <c r="N209" s="222" t="s">
        <v>11</v>
      </c>
      <c r="O209" s="223" t="s">
        <v>92</v>
      </c>
      <c r="P209" s="214" t="s">
        <v>19</v>
      </c>
      <c r="Q209" s="234" t="s">
        <v>371</v>
      </c>
      <c r="R209" s="227">
        <v>44286</v>
      </c>
    </row>
    <row r="210" spans="1:18" ht="28.5" customHeight="1" x14ac:dyDescent="0.25">
      <c r="A210" s="419" t="s">
        <v>222</v>
      </c>
      <c r="B210" s="384">
        <v>130</v>
      </c>
      <c r="C210" s="222" t="s">
        <v>8</v>
      </c>
      <c r="D210" s="322" t="s">
        <v>150</v>
      </c>
      <c r="E210" s="322" t="s">
        <v>10</v>
      </c>
      <c r="F210" s="323" t="s">
        <v>347</v>
      </c>
      <c r="G210" s="324">
        <v>60.2</v>
      </c>
      <c r="H210" s="384">
        <v>422</v>
      </c>
      <c r="I210" s="222" t="s">
        <v>467</v>
      </c>
      <c r="J210" s="222" t="s">
        <v>150</v>
      </c>
      <c r="K210" s="222" t="s">
        <v>16</v>
      </c>
      <c r="L210" s="214" t="s">
        <v>111</v>
      </c>
      <c r="M210" s="139">
        <v>0.35827100000000001</v>
      </c>
      <c r="N210" s="414" t="s">
        <v>11</v>
      </c>
      <c r="O210" s="435" t="s">
        <v>160</v>
      </c>
      <c r="P210" s="529" t="s">
        <v>19</v>
      </c>
      <c r="Q210" s="530" t="s">
        <v>583</v>
      </c>
      <c r="R210" s="451">
        <v>44286</v>
      </c>
    </row>
    <row r="211" spans="1:18" s="52" customFormat="1" x14ac:dyDescent="0.25">
      <c r="A211" s="420"/>
      <c r="B211" s="410"/>
      <c r="C211" s="509" t="s">
        <v>396</v>
      </c>
      <c r="D211" s="414" t="s">
        <v>150</v>
      </c>
      <c r="E211" s="414" t="s">
        <v>10</v>
      </c>
      <c r="F211" s="467" t="s">
        <v>347</v>
      </c>
      <c r="G211" s="491">
        <v>-25.508465999999999</v>
      </c>
      <c r="H211" s="410"/>
      <c r="I211" s="378" t="s">
        <v>467</v>
      </c>
      <c r="J211" s="378" t="s">
        <v>150</v>
      </c>
      <c r="K211" s="378" t="s">
        <v>10</v>
      </c>
      <c r="L211" s="384"/>
      <c r="M211" s="533">
        <v>4.1729000000000002E-2</v>
      </c>
      <c r="N211" s="414"/>
      <c r="O211" s="435"/>
      <c r="P211" s="529"/>
      <c r="Q211" s="531"/>
      <c r="R211" s="451"/>
    </row>
    <row r="212" spans="1:18" s="52" customFormat="1" x14ac:dyDescent="0.25">
      <c r="A212" s="420"/>
      <c r="B212" s="410"/>
      <c r="C212" s="510"/>
      <c r="D212" s="414"/>
      <c r="E212" s="414"/>
      <c r="F212" s="467"/>
      <c r="G212" s="491"/>
      <c r="H212" s="410"/>
      <c r="I212" s="380"/>
      <c r="J212" s="380"/>
      <c r="K212" s="380"/>
      <c r="L212" s="385"/>
      <c r="M212" s="534"/>
      <c r="N212" s="414"/>
      <c r="O212" s="435"/>
      <c r="P212" s="529"/>
      <c r="Q212" s="531"/>
      <c r="R212" s="451"/>
    </row>
    <row r="213" spans="1:18" s="52" customFormat="1" x14ac:dyDescent="0.25">
      <c r="A213" s="420"/>
      <c r="B213" s="410"/>
      <c r="C213" s="509" t="s">
        <v>396</v>
      </c>
      <c r="D213" s="414" t="s">
        <v>150</v>
      </c>
      <c r="E213" s="414" t="s">
        <v>16</v>
      </c>
      <c r="F213" s="467" t="s">
        <v>111</v>
      </c>
      <c r="G213" s="491">
        <v>21.287790000000001</v>
      </c>
      <c r="H213" s="410"/>
      <c r="I213" s="298" t="s">
        <v>26</v>
      </c>
      <c r="J213" s="303" t="s">
        <v>150</v>
      </c>
      <c r="K213" s="298" t="s">
        <v>16</v>
      </c>
      <c r="L213" s="300" t="s">
        <v>111</v>
      </c>
      <c r="M213" s="296">
        <f>115.076055+4.313497</f>
        <v>119.38955199999999</v>
      </c>
      <c r="N213" s="303"/>
      <c r="O213" s="304"/>
      <c r="P213" s="310"/>
      <c r="Q213" s="311"/>
      <c r="R213" s="305"/>
    </row>
    <row r="214" spans="1:18" s="52" customFormat="1" x14ac:dyDescent="0.25">
      <c r="A214" s="420"/>
      <c r="B214" s="410"/>
      <c r="C214" s="510"/>
      <c r="D214" s="414"/>
      <c r="E214" s="414"/>
      <c r="F214" s="467"/>
      <c r="G214" s="491"/>
      <c r="H214" s="410"/>
      <c r="I214" s="298" t="s">
        <v>26</v>
      </c>
      <c r="J214" s="303" t="s">
        <v>150</v>
      </c>
      <c r="K214" s="298" t="s">
        <v>16</v>
      </c>
      <c r="L214" s="300" t="s">
        <v>111</v>
      </c>
      <c r="M214" s="99">
        <v>84.086419000000006</v>
      </c>
      <c r="N214" s="303"/>
      <c r="O214" s="304"/>
      <c r="P214" s="310"/>
      <c r="Q214" s="311"/>
      <c r="R214" s="305"/>
    </row>
    <row r="215" spans="1:18" s="52" customFormat="1" ht="30" x14ac:dyDescent="0.25">
      <c r="A215" s="421"/>
      <c r="B215" s="385"/>
      <c r="C215" s="216" t="s">
        <v>42</v>
      </c>
      <c r="D215" s="323" t="s">
        <v>35</v>
      </c>
      <c r="E215" s="322" t="s">
        <v>111</v>
      </c>
      <c r="F215" s="323" t="s">
        <v>111</v>
      </c>
      <c r="G215" s="321" t="s">
        <v>111</v>
      </c>
      <c r="H215" s="385"/>
      <c r="I215" s="222" t="s">
        <v>467</v>
      </c>
      <c r="J215" s="214" t="s">
        <v>35</v>
      </c>
      <c r="K215" s="222" t="s">
        <v>16</v>
      </c>
      <c r="L215" s="214" t="s">
        <v>111</v>
      </c>
      <c r="M215" s="309">
        <v>91.898832999999996</v>
      </c>
      <c r="N215" s="222" t="s">
        <v>362</v>
      </c>
      <c r="O215" s="146"/>
      <c r="P215" s="145"/>
      <c r="Q215" s="240"/>
      <c r="R215" s="136"/>
    </row>
    <row r="216" spans="1:18" ht="30" x14ac:dyDescent="0.25">
      <c r="A216" s="233" t="s">
        <v>223</v>
      </c>
      <c r="B216" s="86">
        <v>5515</v>
      </c>
      <c r="C216" s="222" t="s">
        <v>42</v>
      </c>
      <c r="D216" s="222" t="s">
        <v>140</v>
      </c>
      <c r="E216" s="222" t="s">
        <v>111</v>
      </c>
      <c r="F216" s="214" t="s">
        <v>344</v>
      </c>
      <c r="G216" s="108" t="s">
        <v>111</v>
      </c>
      <c r="H216" s="86">
        <v>0</v>
      </c>
      <c r="I216" s="222"/>
      <c r="J216" s="222"/>
      <c r="K216" s="222"/>
      <c r="L216" s="214"/>
      <c r="M216" s="108"/>
      <c r="N216" s="222" t="s">
        <v>11</v>
      </c>
      <c r="O216" s="223" t="s">
        <v>163</v>
      </c>
      <c r="P216" s="214" t="s">
        <v>19</v>
      </c>
      <c r="Q216" s="234" t="s">
        <v>126</v>
      </c>
      <c r="R216" s="228"/>
    </row>
    <row r="217" spans="1:18" ht="30" x14ac:dyDescent="0.25">
      <c r="A217" s="233" t="s">
        <v>224</v>
      </c>
      <c r="B217" s="86">
        <v>1997</v>
      </c>
      <c r="C217" s="222" t="s">
        <v>42</v>
      </c>
      <c r="D217" s="222" t="s">
        <v>140</v>
      </c>
      <c r="E217" s="222" t="s">
        <v>111</v>
      </c>
      <c r="F217" s="214" t="s">
        <v>344</v>
      </c>
      <c r="G217" s="108" t="s">
        <v>111</v>
      </c>
      <c r="H217" s="86">
        <v>0</v>
      </c>
      <c r="I217" s="222"/>
      <c r="J217" s="222"/>
      <c r="K217" s="222"/>
      <c r="L217" s="214"/>
      <c r="M217" s="108"/>
      <c r="N217" s="222" t="s">
        <v>11</v>
      </c>
      <c r="O217" s="223" t="s">
        <v>163</v>
      </c>
      <c r="P217" s="214" t="s">
        <v>19</v>
      </c>
      <c r="Q217" s="234" t="s">
        <v>126</v>
      </c>
      <c r="R217" s="228"/>
    </row>
    <row r="218" spans="1:18" ht="45" x14ac:dyDescent="0.25">
      <c r="A218" s="233" t="s">
        <v>225</v>
      </c>
      <c r="B218" s="86">
        <f>2509-54</f>
        <v>2455</v>
      </c>
      <c r="C218" s="222" t="s">
        <v>26</v>
      </c>
      <c r="D218" s="214" t="s">
        <v>35</v>
      </c>
      <c r="E218" s="222" t="s">
        <v>10</v>
      </c>
      <c r="F218" s="214" t="s">
        <v>344</v>
      </c>
      <c r="G218" s="108">
        <v>2501.3000000000002</v>
      </c>
      <c r="H218" s="86">
        <v>0</v>
      </c>
      <c r="I218" s="222"/>
      <c r="J218" s="214"/>
      <c r="K218" s="222"/>
      <c r="L218" s="214"/>
      <c r="M218" s="108"/>
      <c r="N218" s="222" t="s">
        <v>11</v>
      </c>
      <c r="O218" s="223" t="s">
        <v>226</v>
      </c>
      <c r="P218" s="231" t="s">
        <v>447</v>
      </c>
      <c r="Q218" s="224" t="s">
        <v>514</v>
      </c>
      <c r="R218" s="227">
        <v>44286</v>
      </c>
    </row>
    <row r="219" spans="1:18" ht="30" x14ac:dyDescent="0.25">
      <c r="A219" s="419" t="s">
        <v>227</v>
      </c>
      <c r="B219" s="384">
        <f>292+572</f>
        <v>864</v>
      </c>
      <c r="C219" s="222" t="s">
        <v>8</v>
      </c>
      <c r="D219" s="214" t="s">
        <v>35</v>
      </c>
      <c r="E219" s="222" t="s">
        <v>10</v>
      </c>
      <c r="F219" s="214" t="s">
        <v>347</v>
      </c>
      <c r="G219" s="108">
        <v>15</v>
      </c>
      <c r="H219" s="384">
        <v>0</v>
      </c>
      <c r="I219" s="269" t="s">
        <v>467</v>
      </c>
      <c r="J219" s="56" t="s">
        <v>35</v>
      </c>
      <c r="K219" s="269" t="s">
        <v>10</v>
      </c>
      <c r="L219" s="56" t="s">
        <v>351</v>
      </c>
      <c r="M219" s="281">
        <v>11.340664</v>
      </c>
      <c r="N219" s="378" t="s">
        <v>11</v>
      </c>
      <c r="O219" s="389" t="s">
        <v>36</v>
      </c>
      <c r="P219" s="392" t="s">
        <v>447</v>
      </c>
      <c r="Q219" s="372" t="s">
        <v>515</v>
      </c>
      <c r="R219" s="375">
        <v>44286</v>
      </c>
    </row>
    <row r="220" spans="1:18" ht="30" x14ac:dyDescent="0.25">
      <c r="A220" s="420"/>
      <c r="B220" s="410"/>
      <c r="C220" s="222" t="s">
        <v>8</v>
      </c>
      <c r="D220" s="214" t="s">
        <v>35</v>
      </c>
      <c r="E220" s="222" t="s">
        <v>10</v>
      </c>
      <c r="F220" s="214" t="s">
        <v>351</v>
      </c>
      <c r="G220" s="108">
        <v>848.6</v>
      </c>
      <c r="H220" s="410"/>
      <c r="I220" s="378" t="s">
        <v>26</v>
      </c>
      <c r="J220" s="384" t="s">
        <v>35</v>
      </c>
      <c r="K220" s="378" t="s">
        <v>10</v>
      </c>
      <c r="L220" s="384" t="s">
        <v>351</v>
      </c>
      <c r="M220" s="393">
        <v>44.768608</v>
      </c>
      <c r="N220" s="379"/>
      <c r="O220" s="390"/>
      <c r="P220" s="392"/>
      <c r="Q220" s="373"/>
      <c r="R220" s="376"/>
    </row>
    <row r="221" spans="1:18" s="52" customFormat="1" ht="30" x14ac:dyDescent="0.25">
      <c r="A221" s="420"/>
      <c r="B221" s="410"/>
      <c r="C221" s="222" t="s">
        <v>396</v>
      </c>
      <c r="D221" s="214" t="s">
        <v>35</v>
      </c>
      <c r="E221" s="222" t="s">
        <v>10</v>
      </c>
      <c r="F221" s="214" t="s">
        <v>351</v>
      </c>
      <c r="G221" s="122">
        <v>0.395866</v>
      </c>
      <c r="H221" s="410"/>
      <c r="I221" s="380"/>
      <c r="J221" s="385"/>
      <c r="K221" s="380"/>
      <c r="L221" s="385"/>
      <c r="M221" s="395"/>
      <c r="N221" s="380"/>
      <c r="O221" s="391"/>
      <c r="P221" s="392"/>
      <c r="Q221" s="374"/>
      <c r="R221" s="377"/>
    </row>
    <row r="222" spans="1:18" s="52" customFormat="1" ht="45" x14ac:dyDescent="0.25">
      <c r="A222" s="421"/>
      <c r="B222" s="385"/>
      <c r="C222" s="222" t="s">
        <v>42</v>
      </c>
      <c r="D222" s="214" t="s">
        <v>140</v>
      </c>
      <c r="E222" s="222" t="s">
        <v>111</v>
      </c>
      <c r="F222" s="214" t="s">
        <v>111</v>
      </c>
      <c r="G222" s="122" t="s">
        <v>111</v>
      </c>
      <c r="H222" s="385"/>
      <c r="I222" s="222"/>
      <c r="J222" s="214"/>
      <c r="K222" s="222"/>
      <c r="L222" s="214"/>
      <c r="M222" s="122"/>
      <c r="N222" s="217" t="s">
        <v>424</v>
      </c>
      <c r="O222" s="153" t="s">
        <v>111</v>
      </c>
      <c r="P222" s="231" t="s">
        <v>447</v>
      </c>
      <c r="Q222" s="232" t="s">
        <v>482</v>
      </c>
      <c r="R222" s="221">
        <v>44255</v>
      </c>
    </row>
    <row r="223" spans="1:18" x14ac:dyDescent="0.25">
      <c r="A223" s="233" t="s">
        <v>228</v>
      </c>
      <c r="B223" s="76">
        <v>1</v>
      </c>
      <c r="C223" s="222" t="s">
        <v>396</v>
      </c>
      <c r="D223" s="214" t="s">
        <v>245</v>
      </c>
      <c r="E223" s="222" t="s">
        <v>16</v>
      </c>
      <c r="F223" s="214" t="s">
        <v>111</v>
      </c>
      <c r="G223" s="111">
        <v>0.6</v>
      </c>
      <c r="H223" s="76">
        <v>0</v>
      </c>
      <c r="I223" s="222"/>
      <c r="J223" s="214"/>
      <c r="K223" s="222"/>
      <c r="L223" s="214"/>
      <c r="M223" s="112"/>
      <c r="N223" s="222" t="s">
        <v>11</v>
      </c>
      <c r="O223" s="223" t="s">
        <v>246</v>
      </c>
      <c r="P223" s="222" t="s">
        <v>213</v>
      </c>
      <c r="Q223" s="234"/>
      <c r="R223" s="228"/>
    </row>
    <row r="224" spans="1:18" ht="60" x14ac:dyDescent="0.25">
      <c r="A224" s="427" t="s">
        <v>229</v>
      </c>
      <c r="B224" s="396">
        <v>1023</v>
      </c>
      <c r="C224" s="222" t="s">
        <v>26</v>
      </c>
      <c r="D224" s="214" t="s">
        <v>35</v>
      </c>
      <c r="E224" s="222" t="s">
        <v>10</v>
      </c>
      <c r="F224" s="214" t="s">
        <v>349</v>
      </c>
      <c r="G224" s="108">
        <v>728</v>
      </c>
      <c r="H224" s="396">
        <v>3</v>
      </c>
      <c r="I224" s="393"/>
      <c r="J224" s="393"/>
      <c r="K224" s="393"/>
      <c r="L224" s="393"/>
      <c r="M224" s="393"/>
      <c r="N224" s="414" t="s">
        <v>11</v>
      </c>
      <c r="O224" s="435" t="s">
        <v>36</v>
      </c>
      <c r="P224" s="392" t="s">
        <v>447</v>
      </c>
      <c r="Q224" s="469" t="s">
        <v>516</v>
      </c>
      <c r="R224" s="375">
        <v>44286</v>
      </c>
    </row>
    <row r="225" spans="1:20" ht="60" x14ac:dyDescent="0.25">
      <c r="A225" s="427"/>
      <c r="B225" s="410"/>
      <c r="C225" s="222" t="s">
        <v>8</v>
      </c>
      <c r="D225" s="214" t="s">
        <v>35</v>
      </c>
      <c r="E225" s="222" t="s">
        <v>10</v>
      </c>
      <c r="F225" s="214" t="s">
        <v>345</v>
      </c>
      <c r="G225" s="108">
        <v>-269.19883299999998</v>
      </c>
      <c r="H225" s="410"/>
      <c r="I225" s="395"/>
      <c r="J225" s="395"/>
      <c r="K225" s="395"/>
      <c r="L225" s="395"/>
      <c r="M225" s="395"/>
      <c r="N225" s="414"/>
      <c r="O225" s="435"/>
      <c r="P225" s="392"/>
      <c r="Q225" s="469"/>
      <c r="R225" s="377"/>
    </row>
    <row r="226" spans="1:20" ht="60" x14ac:dyDescent="0.25">
      <c r="A226" s="427"/>
      <c r="B226" s="410"/>
      <c r="C226" s="222" t="s">
        <v>8</v>
      </c>
      <c r="D226" s="222" t="s">
        <v>89</v>
      </c>
      <c r="E226" s="222" t="s">
        <v>10</v>
      </c>
      <c r="F226" s="214" t="s">
        <v>345</v>
      </c>
      <c r="G226" s="108">
        <v>5</v>
      </c>
      <c r="H226" s="410"/>
      <c r="I226" s="393"/>
      <c r="J226" s="393"/>
      <c r="K226" s="393"/>
      <c r="L226" s="393"/>
      <c r="M226" s="393"/>
      <c r="N226" s="378" t="s">
        <v>11</v>
      </c>
      <c r="O226" s="389" t="s">
        <v>90</v>
      </c>
      <c r="P226" s="386" t="s">
        <v>447</v>
      </c>
      <c r="Q226" s="474" t="s">
        <v>509</v>
      </c>
      <c r="R226" s="375">
        <v>11413</v>
      </c>
    </row>
    <row r="227" spans="1:20" x14ac:dyDescent="0.25">
      <c r="A227" s="427"/>
      <c r="B227" s="410"/>
      <c r="C227" s="222" t="s">
        <v>8</v>
      </c>
      <c r="D227" s="222" t="s">
        <v>230</v>
      </c>
      <c r="E227" s="222" t="s">
        <v>16</v>
      </c>
      <c r="F227" s="214" t="s">
        <v>111</v>
      </c>
      <c r="G227" s="108">
        <v>4.2</v>
      </c>
      <c r="H227" s="410"/>
      <c r="I227" s="394"/>
      <c r="J227" s="394"/>
      <c r="K227" s="394"/>
      <c r="L227" s="394"/>
      <c r="M227" s="394"/>
      <c r="N227" s="379"/>
      <c r="O227" s="390"/>
      <c r="P227" s="387"/>
      <c r="Q227" s="475"/>
      <c r="R227" s="376"/>
    </row>
    <row r="228" spans="1:20" s="52" customFormat="1" ht="60" x14ac:dyDescent="0.25">
      <c r="A228" s="427"/>
      <c r="B228" s="410"/>
      <c r="C228" s="222" t="s">
        <v>396</v>
      </c>
      <c r="D228" s="222" t="s">
        <v>230</v>
      </c>
      <c r="E228" s="222" t="s">
        <v>10</v>
      </c>
      <c r="F228" s="214" t="s">
        <v>345</v>
      </c>
      <c r="G228" s="108">
        <v>-3.2822070000000001</v>
      </c>
      <c r="H228" s="410"/>
      <c r="I228" s="394"/>
      <c r="J228" s="394"/>
      <c r="K228" s="394"/>
      <c r="L228" s="394"/>
      <c r="M228" s="394"/>
      <c r="N228" s="379"/>
      <c r="O228" s="390"/>
      <c r="P228" s="387"/>
      <c r="Q228" s="475"/>
      <c r="R228" s="376"/>
    </row>
    <row r="229" spans="1:20" s="52" customFormat="1" x14ac:dyDescent="0.25">
      <c r="A229" s="427"/>
      <c r="B229" s="410"/>
      <c r="C229" s="222" t="s">
        <v>396</v>
      </c>
      <c r="D229" s="222" t="s">
        <v>230</v>
      </c>
      <c r="E229" s="222" t="s">
        <v>16</v>
      </c>
      <c r="F229" s="214" t="s">
        <v>111</v>
      </c>
      <c r="G229" s="108">
        <v>3.2822070000000001</v>
      </c>
      <c r="H229" s="410"/>
      <c r="I229" s="395"/>
      <c r="J229" s="395"/>
      <c r="K229" s="395"/>
      <c r="L229" s="395"/>
      <c r="M229" s="395"/>
      <c r="N229" s="380"/>
      <c r="O229" s="391"/>
      <c r="P229" s="388"/>
      <c r="Q229" s="476"/>
      <c r="R229" s="377"/>
    </row>
    <row r="230" spans="1:20" x14ac:dyDescent="0.25">
      <c r="A230" s="427"/>
      <c r="B230" s="410"/>
      <c r="C230" s="222" t="s">
        <v>8</v>
      </c>
      <c r="D230" s="214" t="s">
        <v>169</v>
      </c>
      <c r="E230" s="222" t="s">
        <v>16</v>
      </c>
      <c r="F230" s="214" t="s">
        <v>111</v>
      </c>
      <c r="G230" s="108">
        <v>1.5</v>
      </c>
      <c r="H230" s="410"/>
      <c r="I230" s="393" t="s">
        <v>26</v>
      </c>
      <c r="J230" s="393" t="s">
        <v>169</v>
      </c>
      <c r="K230" s="393" t="s">
        <v>16</v>
      </c>
      <c r="L230" s="393" t="s">
        <v>111</v>
      </c>
      <c r="M230" s="393">
        <v>2</v>
      </c>
      <c r="N230" s="378" t="s">
        <v>11</v>
      </c>
      <c r="O230" s="389" t="s">
        <v>179</v>
      </c>
      <c r="P230" s="386" t="s">
        <v>447</v>
      </c>
      <c r="Q230" s="372" t="s">
        <v>502</v>
      </c>
      <c r="R230" s="375">
        <v>44286</v>
      </c>
    </row>
    <row r="231" spans="1:20" ht="60" x14ac:dyDescent="0.25">
      <c r="A231" s="427"/>
      <c r="B231" s="410"/>
      <c r="C231" s="222" t="s">
        <v>8</v>
      </c>
      <c r="D231" s="214" t="s">
        <v>169</v>
      </c>
      <c r="E231" s="222" t="s">
        <v>10</v>
      </c>
      <c r="F231" s="214" t="s">
        <v>345</v>
      </c>
      <c r="G231" s="108">
        <v>2.5</v>
      </c>
      <c r="H231" s="410"/>
      <c r="I231" s="394"/>
      <c r="J231" s="394"/>
      <c r="K231" s="394"/>
      <c r="L231" s="394"/>
      <c r="M231" s="394"/>
      <c r="N231" s="379"/>
      <c r="O231" s="390"/>
      <c r="P231" s="387"/>
      <c r="Q231" s="373"/>
      <c r="R231" s="376"/>
    </row>
    <row r="232" spans="1:20" s="52" customFormat="1" ht="60" x14ac:dyDescent="0.25">
      <c r="A232" s="427"/>
      <c r="B232" s="410"/>
      <c r="C232" s="222" t="s">
        <v>396</v>
      </c>
      <c r="D232" s="214" t="s">
        <v>169</v>
      </c>
      <c r="E232" s="222" t="s">
        <v>10</v>
      </c>
      <c r="F232" s="214" t="s">
        <v>345</v>
      </c>
      <c r="G232" s="108">
        <v>-1.3882749999999999</v>
      </c>
      <c r="H232" s="410"/>
      <c r="I232" s="394"/>
      <c r="J232" s="394"/>
      <c r="K232" s="394"/>
      <c r="L232" s="394"/>
      <c r="M232" s="394"/>
      <c r="N232" s="379"/>
      <c r="O232" s="390"/>
      <c r="P232" s="387"/>
      <c r="Q232" s="373"/>
      <c r="R232" s="376"/>
    </row>
    <row r="233" spans="1:20" s="52" customFormat="1" x14ac:dyDescent="0.25">
      <c r="A233" s="427"/>
      <c r="B233" s="410"/>
      <c r="C233" s="222" t="s">
        <v>396</v>
      </c>
      <c r="D233" s="214" t="s">
        <v>169</v>
      </c>
      <c r="E233" s="222" t="s">
        <v>16</v>
      </c>
      <c r="F233" s="214" t="s">
        <v>111</v>
      </c>
      <c r="G233" s="108">
        <v>1.3882749999999999</v>
      </c>
      <c r="H233" s="410"/>
      <c r="I233" s="395"/>
      <c r="J233" s="395"/>
      <c r="K233" s="395"/>
      <c r="L233" s="395"/>
      <c r="M233" s="395"/>
      <c r="N233" s="380"/>
      <c r="O233" s="391"/>
      <c r="P233" s="388"/>
      <c r="Q233" s="374"/>
      <c r="R233" s="377"/>
    </row>
    <row r="234" spans="1:20" ht="60" x14ac:dyDescent="0.25">
      <c r="A234" s="427"/>
      <c r="B234" s="410"/>
      <c r="C234" s="222" t="s">
        <v>8</v>
      </c>
      <c r="D234" s="222" t="s">
        <v>9</v>
      </c>
      <c r="E234" s="222" t="s">
        <v>10</v>
      </c>
      <c r="F234" s="214" t="s">
        <v>345</v>
      </c>
      <c r="G234" s="108">
        <v>87.5</v>
      </c>
      <c r="H234" s="410"/>
      <c r="I234" s="222"/>
      <c r="J234" s="222"/>
      <c r="K234" s="222"/>
      <c r="L234" s="214"/>
      <c r="M234" s="108"/>
      <c r="N234" s="222" t="s">
        <v>11</v>
      </c>
      <c r="O234" s="223" t="s">
        <v>12</v>
      </c>
      <c r="P234" s="231" t="s">
        <v>447</v>
      </c>
      <c r="Q234" s="234" t="s">
        <v>448</v>
      </c>
      <c r="R234" s="227">
        <v>44286</v>
      </c>
    </row>
    <row r="235" spans="1:20" ht="60" x14ac:dyDescent="0.25">
      <c r="A235" s="427"/>
      <c r="B235" s="410"/>
      <c r="C235" s="222" t="s">
        <v>8</v>
      </c>
      <c r="D235" s="222" t="s">
        <v>192</v>
      </c>
      <c r="E235" s="222" t="s">
        <v>10</v>
      </c>
      <c r="F235" s="214" t="s">
        <v>345</v>
      </c>
      <c r="G235" s="108">
        <v>15</v>
      </c>
      <c r="H235" s="410"/>
      <c r="I235" s="222"/>
      <c r="J235" s="222"/>
      <c r="K235" s="222"/>
      <c r="L235" s="214"/>
      <c r="M235" s="108"/>
      <c r="N235" s="222" t="s">
        <v>11</v>
      </c>
      <c r="O235" s="223" t="s">
        <v>130</v>
      </c>
      <c r="P235" s="231" t="s">
        <v>447</v>
      </c>
      <c r="Q235" s="234" t="s">
        <v>460</v>
      </c>
      <c r="R235" s="227">
        <v>44286</v>
      </c>
    </row>
    <row r="236" spans="1:20" ht="60" x14ac:dyDescent="0.25">
      <c r="A236" s="427"/>
      <c r="B236" s="410"/>
      <c r="C236" s="222" t="s">
        <v>8</v>
      </c>
      <c r="D236" s="222" t="s">
        <v>231</v>
      </c>
      <c r="E236" s="222" t="s">
        <v>10</v>
      </c>
      <c r="F236" s="214" t="s">
        <v>345</v>
      </c>
      <c r="G236" s="108">
        <v>90.021000000000001</v>
      </c>
      <c r="H236" s="410"/>
      <c r="I236" s="393"/>
      <c r="J236" s="393"/>
      <c r="K236" s="393"/>
      <c r="L236" s="393"/>
      <c r="M236" s="393"/>
      <c r="N236" s="414" t="s">
        <v>11</v>
      </c>
      <c r="O236" s="435" t="s">
        <v>38</v>
      </c>
      <c r="P236" s="392" t="s">
        <v>447</v>
      </c>
      <c r="Q236" s="469" t="s">
        <v>529</v>
      </c>
      <c r="R236" s="451">
        <v>44286</v>
      </c>
    </row>
    <row r="237" spans="1:20" x14ac:dyDescent="0.25">
      <c r="A237" s="427"/>
      <c r="B237" s="410"/>
      <c r="C237" s="222" t="s">
        <v>8</v>
      </c>
      <c r="D237" s="222" t="s">
        <v>231</v>
      </c>
      <c r="E237" s="222" t="s">
        <v>16</v>
      </c>
      <c r="F237" s="214" t="s">
        <v>111</v>
      </c>
      <c r="G237" s="108">
        <v>15.879</v>
      </c>
      <c r="H237" s="410"/>
      <c r="I237" s="395"/>
      <c r="J237" s="395"/>
      <c r="K237" s="395"/>
      <c r="L237" s="395"/>
      <c r="M237" s="395"/>
      <c r="N237" s="414"/>
      <c r="O237" s="435"/>
      <c r="P237" s="392"/>
      <c r="Q237" s="469"/>
      <c r="R237" s="468"/>
    </row>
    <row r="238" spans="1:20" ht="60" x14ac:dyDescent="0.25">
      <c r="A238" s="427"/>
      <c r="B238" s="410"/>
      <c r="C238" s="222" t="s">
        <v>8</v>
      </c>
      <c r="D238" s="222" t="s">
        <v>66</v>
      </c>
      <c r="E238" s="222" t="s">
        <v>10</v>
      </c>
      <c r="F238" s="214" t="s">
        <v>345</v>
      </c>
      <c r="G238" s="108">
        <v>26.923988000000001</v>
      </c>
      <c r="H238" s="410"/>
      <c r="I238" s="393"/>
      <c r="J238" s="393"/>
      <c r="K238" s="393"/>
      <c r="L238" s="393"/>
      <c r="M238" s="393"/>
      <c r="N238" s="378" t="s">
        <v>11</v>
      </c>
      <c r="O238" s="389" t="s">
        <v>157</v>
      </c>
      <c r="P238" s="386" t="s">
        <v>447</v>
      </c>
      <c r="Q238" s="474" t="s">
        <v>537</v>
      </c>
      <c r="R238" s="375">
        <v>44286</v>
      </c>
      <c r="T238" s="88"/>
    </row>
    <row r="239" spans="1:20" x14ac:dyDescent="0.25">
      <c r="A239" s="427"/>
      <c r="B239" s="410"/>
      <c r="C239" s="222" t="s">
        <v>8</v>
      </c>
      <c r="D239" s="222" t="s">
        <v>66</v>
      </c>
      <c r="E239" s="222" t="s">
        <v>16</v>
      </c>
      <c r="F239" s="214" t="s">
        <v>111</v>
      </c>
      <c r="G239" s="108">
        <v>19.776012000000001</v>
      </c>
      <c r="H239" s="410"/>
      <c r="I239" s="394"/>
      <c r="J239" s="394"/>
      <c r="K239" s="394"/>
      <c r="L239" s="394"/>
      <c r="M239" s="394"/>
      <c r="N239" s="379"/>
      <c r="O239" s="390"/>
      <c r="P239" s="387"/>
      <c r="Q239" s="475"/>
      <c r="R239" s="376"/>
    </row>
    <row r="240" spans="1:20" s="52" customFormat="1" ht="60" x14ac:dyDescent="0.25">
      <c r="A240" s="427"/>
      <c r="B240" s="410"/>
      <c r="C240" s="222" t="s">
        <v>396</v>
      </c>
      <c r="D240" s="222" t="s">
        <v>66</v>
      </c>
      <c r="E240" s="222" t="s">
        <v>10</v>
      </c>
      <c r="F240" s="214" t="s">
        <v>345</v>
      </c>
      <c r="G240" s="108">
        <v>-9.4615969999999994</v>
      </c>
      <c r="H240" s="410"/>
      <c r="I240" s="394"/>
      <c r="J240" s="394"/>
      <c r="K240" s="394"/>
      <c r="L240" s="394"/>
      <c r="M240" s="394"/>
      <c r="N240" s="379"/>
      <c r="O240" s="390"/>
      <c r="P240" s="387"/>
      <c r="Q240" s="475"/>
      <c r="R240" s="376"/>
    </row>
    <row r="241" spans="1:18" s="52" customFormat="1" x14ac:dyDescent="0.25">
      <c r="A241" s="427"/>
      <c r="B241" s="410"/>
      <c r="C241" s="222" t="s">
        <v>396</v>
      </c>
      <c r="D241" s="222" t="s">
        <v>66</v>
      </c>
      <c r="E241" s="222" t="s">
        <v>16</v>
      </c>
      <c r="F241" s="214" t="s">
        <v>111</v>
      </c>
      <c r="G241" s="108">
        <f>0.2+9.261597</f>
        <v>9.4615969999999994</v>
      </c>
      <c r="H241" s="410"/>
      <c r="I241" s="395"/>
      <c r="J241" s="395"/>
      <c r="K241" s="395"/>
      <c r="L241" s="395"/>
      <c r="M241" s="395"/>
      <c r="N241" s="380"/>
      <c r="O241" s="391"/>
      <c r="P241" s="388"/>
      <c r="Q241" s="476"/>
      <c r="R241" s="377"/>
    </row>
    <row r="242" spans="1:18" ht="60" x14ac:dyDescent="0.25">
      <c r="A242" s="427"/>
      <c r="B242" s="410"/>
      <c r="C242" s="222" t="s">
        <v>8</v>
      </c>
      <c r="D242" s="222" t="s">
        <v>232</v>
      </c>
      <c r="E242" s="222" t="s">
        <v>10</v>
      </c>
      <c r="F242" s="214" t="s">
        <v>345</v>
      </c>
      <c r="G242" s="108">
        <v>14.522803</v>
      </c>
      <c r="H242" s="410"/>
      <c r="I242" s="393"/>
      <c r="J242" s="393"/>
      <c r="K242" s="393"/>
      <c r="L242" s="393"/>
      <c r="M242" s="393"/>
      <c r="N242" s="414" t="s">
        <v>11</v>
      </c>
      <c r="O242" s="435" t="s">
        <v>233</v>
      </c>
      <c r="P242" s="392" t="s">
        <v>447</v>
      </c>
      <c r="Q242" s="436" t="s">
        <v>542</v>
      </c>
      <c r="R242" s="451">
        <v>44286</v>
      </c>
    </row>
    <row r="243" spans="1:18" x14ac:dyDescent="0.25">
      <c r="A243" s="427"/>
      <c r="B243" s="410"/>
      <c r="C243" s="222" t="s">
        <v>8</v>
      </c>
      <c r="D243" s="222" t="s">
        <v>232</v>
      </c>
      <c r="E243" s="222" t="s">
        <v>16</v>
      </c>
      <c r="F243" s="214" t="s">
        <v>111</v>
      </c>
      <c r="G243" s="108">
        <f>0.726319+0.444197</f>
        <v>1.1705160000000001</v>
      </c>
      <c r="H243" s="410"/>
      <c r="I243" s="395"/>
      <c r="J243" s="395"/>
      <c r="K243" s="395"/>
      <c r="L243" s="395"/>
      <c r="M243" s="395"/>
      <c r="N243" s="414"/>
      <c r="O243" s="435"/>
      <c r="P243" s="392"/>
      <c r="Q243" s="436"/>
      <c r="R243" s="468"/>
    </row>
    <row r="244" spans="1:18" ht="60" x14ac:dyDescent="0.25">
      <c r="A244" s="427"/>
      <c r="B244" s="410"/>
      <c r="C244" s="222" t="s">
        <v>8</v>
      </c>
      <c r="D244" s="222" t="s">
        <v>234</v>
      </c>
      <c r="E244" s="222" t="s">
        <v>10</v>
      </c>
      <c r="F244" s="214" t="s">
        <v>345</v>
      </c>
      <c r="G244" s="108">
        <v>11.338509999999999</v>
      </c>
      <c r="H244" s="410"/>
      <c r="I244" s="393"/>
      <c r="J244" s="393"/>
      <c r="K244" s="393"/>
      <c r="L244" s="393"/>
      <c r="M244" s="393"/>
      <c r="N244" s="414" t="s">
        <v>11</v>
      </c>
      <c r="O244" s="435" t="s">
        <v>235</v>
      </c>
      <c r="P244" s="392" t="s">
        <v>447</v>
      </c>
      <c r="Q244" s="436" t="s">
        <v>437</v>
      </c>
      <c r="R244" s="451">
        <v>44286</v>
      </c>
    </row>
    <row r="245" spans="1:18" x14ac:dyDescent="0.25">
      <c r="A245" s="427"/>
      <c r="B245" s="410"/>
      <c r="C245" s="222" t="s">
        <v>8</v>
      </c>
      <c r="D245" s="222" t="s">
        <v>234</v>
      </c>
      <c r="E245" s="222" t="s">
        <v>16</v>
      </c>
      <c r="F245" s="214" t="s">
        <v>111</v>
      </c>
      <c r="G245" s="122">
        <v>5.0575000000000002E-2</v>
      </c>
      <c r="H245" s="410"/>
      <c r="I245" s="395"/>
      <c r="J245" s="395"/>
      <c r="K245" s="395"/>
      <c r="L245" s="395"/>
      <c r="M245" s="395"/>
      <c r="N245" s="414"/>
      <c r="O245" s="435"/>
      <c r="P245" s="392"/>
      <c r="Q245" s="436"/>
      <c r="R245" s="468"/>
    </row>
    <row r="246" spans="1:18" ht="60" x14ac:dyDescent="0.25">
      <c r="A246" s="427"/>
      <c r="B246" s="410"/>
      <c r="C246" s="222" t="s">
        <v>8</v>
      </c>
      <c r="D246" s="222" t="s">
        <v>70</v>
      </c>
      <c r="E246" s="222" t="s">
        <v>10</v>
      </c>
      <c r="F246" s="214" t="s">
        <v>345</v>
      </c>
      <c r="G246" s="108">
        <v>9</v>
      </c>
      <c r="H246" s="410"/>
      <c r="I246" s="222" t="s">
        <v>467</v>
      </c>
      <c r="J246" s="222" t="s">
        <v>70</v>
      </c>
      <c r="K246" s="222" t="s">
        <v>10</v>
      </c>
      <c r="L246" s="214"/>
      <c r="M246" s="108">
        <v>0.53149500000000005</v>
      </c>
      <c r="N246" s="414" t="s">
        <v>11</v>
      </c>
      <c r="O246" s="435" t="s">
        <v>75</v>
      </c>
      <c r="P246" s="392" t="s">
        <v>447</v>
      </c>
      <c r="Q246" s="469" t="s">
        <v>557</v>
      </c>
      <c r="R246" s="451">
        <v>44286</v>
      </c>
    </row>
    <row r="247" spans="1:18" x14ac:dyDescent="0.25">
      <c r="A247" s="427"/>
      <c r="B247" s="410"/>
      <c r="C247" s="222" t="s">
        <v>8</v>
      </c>
      <c r="D247" s="222" t="s">
        <v>70</v>
      </c>
      <c r="E247" s="222" t="s">
        <v>16</v>
      </c>
      <c r="F247" s="214" t="s">
        <v>111</v>
      </c>
      <c r="G247" s="108">
        <v>6</v>
      </c>
      <c r="H247" s="410"/>
      <c r="I247" s="222" t="s">
        <v>467</v>
      </c>
      <c r="J247" s="222" t="s">
        <v>70</v>
      </c>
      <c r="K247" s="222" t="s">
        <v>16</v>
      </c>
      <c r="L247" s="214" t="s">
        <v>111</v>
      </c>
      <c r="M247" s="108">
        <v>2.3897650000000001</v>
      </c>
      <c r="N247" s="414"/>
      <c r="O247" s="435"/>
      <c r="P247" s="392"/>
      <c r="Q247" s="469"/>
      <c r="R247" s="468"/>
    </row>
    <row r="248" spans="1:18" ht="60" x14ac:dyDescent="0.25">
      <c r="A248" s="427"/>
      <c r="B248" s="410"/>
      <c r="C248" s="222" t="s">
        <v>8</v>
      </c>
      <c r="D248" s="214" t="s">
        <v>236</v>
      </c>
      <c r="E248" s="222" t="s">
        <v>10</v>
      </c>
      <c r="F248" s="214" t="s">
        <v>345</v>
      </c>
      <c r="G248" s="108">
        <v>153.4</v>
      </c>
      <c r="H248" s="410"/>
      <c r="I248" s="222"/>
      <c r="J248" s="214"/>
      <c r="K248" s="222"/>
      <c r="L248" s="214"/>
      <c r="M248" s="108"/>
      <c r="N248" s="222" t="s">
        <v>11</v>
      </c>
      <c r="O248" s="223" t="s">
        <v>217</v>
      </c>
      <c r="P248" s="231" t="s">
        <v>447</v>
      </c>
      <c r="Q248" s="234" t="s">
        <v>489</v>
      </c>
      <c r="R248" s="227">
        <v>44286</v>
      </c>
    </row>
    <row r="249" spans="1:18" ht="60" x14ac:dyDescent="0.25">
      <c r="A249" s="427"/>
      <c r="B249" s="410"/>
      <c r="C249" s="222" t="s">
        <v>8</v>
      </c>
      <c r="D249" s="222" t="s">
        <v>91</v>
      </c>
      <c r="E249" s="222" t="s">
        <v>10</v>
      </c>
      <c r="F249" s="214" t="s">
        <v>345</v>
      </c>
      <c r="G249" s="124">
        <v>1.6E-2</v>
      </c>
      <c r="H249" s="410"/>
      <c r="I249" s="222"/>
      <c r="J249" s="222"/>
      <c r="K249" s="222"/>
      <c r="L249" s="214"/>
      <c r="M249" s="124"/>
      <c r="N249" s="222" t="s">
        <v>11</v>
      </c>
      <c r="O249" s="223" t="s">
        <v>92</v>
      </c>
      <c r="P249" s="214" t="s">
        <v>19</v>
      </c>
      <c r="Q249" s="234" t="s">
        <v>372</v>
      </c>
      <c r="R249" s="227">
        <v>44286</v>
      </c>
    </row>
    <row r="250" spans="1:18" ht="60" x14ac:dyDescent="0.25">
      <c r="A250" s="427"/>
      <c r="B250" s="385"/>
      <c r="C250" s="222" t="s">
        <v>8</v>
      </c>
      <c r="D250" s="214" t="s">
        <v>216</v>
      </c>
      <c r="E250" s="222" t="s">
        <v>10</v>
      </c>
      <c r="F250" s="214" t="s">
        <v>345</v>
      </c>
      <c r="G250" s="108">
        <v>50.7</v>
      </c>
      <c r="H250" s="385"/>
      <c r="I250" s="222"/>
      <c r="J250" s="214"/>
      <c r="K250" s="222"/>
      <c r="L250" s="214"/>
      <c r="M250" s="108"/>
      <c r="N250" s="222" t="s">
        <v>11</v>
      </c>
      <c r="O250" s="223" t="s">
        <v>217</v>
      </c>
      <c r="P250" s="231" t="s">
        <v>447</v>
      </c>
      <c r="Q250" s="234" t="s">
        <v>445</v>
      </c>
      <c r="R250" s="227">
        <v>44286</v>
      </c>
    </row>
    <row r="251" spans="1:18" ht="45" x14ac:dyDescent="0.25">
      <c r="A251" s="233" t="s">
        <v>363</v>
      </c>
      <c r="B251" s="76">
        <v>369</v>
      </c>
      <c r="C251" s="222" t="s">
        <v>42</v>
      </c>
      <c r="D251" s="214" t="s">
        <v>35</v>
      </c>
      <c r="E251" s="222" t="s">
        <v>111</v>
      </c>
      <c r="F251" s="214" t="s">
        <v>343</v>
      </c>
      <c r="G251" s="108" t="s">
        <v>111</v>
      </c>
      <c r="H251" s="76">
        <v>23</v>
      </c>
      <c r="I251" s="222" t="s">
        <v>467</v>
      </c>
      <c r="J251" s="214" t="s">
        <v>35</v>
      </c>
      <c r="K251" s="222" t="s">
        <v>10</v>
      </c>
      <c r="L251" s="56" t="s">
        <v>497</v>
      </c>
      <c r="M251" s="124">
        <v>7.1812000000000001E-2</v>
      </c>
      <c r="N251" s="222" t="s">
        <v>11</v>
      </c>
      <c r="O251" s="223" t="s">
        <v>36</v>
      </c>
      <c r="P251" s="231" t="s">
        <v>447</v>
      </c>
      <c r="Q251" s="234" t="s">
        <v>517</v>
      </c>
      <c r="R251" s="227">
        <v>44286</v>
      </c>
    </row>
    <row r="252" spans="1:18" ht="45" x14ac:dyDescent="0.25">
      <c r="A252" s="233" t="s">
        <v>237</v>
      </c>
      <c r="B252" s="86">
        <v>1019</v>
      </c>
      <c r="C252" s="222" t="s">
        <v>42</v>
      </c>
      <c r="D252" s="214" t="s">
        <v>35</v>
      </c>
      <c r="E252" s="222" t="s">
        <v>111</v>
      </c>
      <c r="F252" s="214" t="s">
        <v>343</v>
      </c>
      <c r="G252" s="108" t="s">
        <v>111</v>
      </c>
      <c r="H252" s="86">
        <v>779</v>
      </c>
      <c r="I252" s="222" t="s">
        <v>467</v>
      </c>
      <c r="J252" s="214" t="s">
        <v>35</v>
      </c>
      <c r="K252" s="222" t="s">
        <v>10</v>
      </c>
      <c r="L252" s="56" t="s">
        <v>497</v>
      </c>
      <c r="M252" s="108">
        <v>645.76074000000006</v>
      </c>
      <c r="N252" s="222" t="s">
        <v>11</v>
      </c>
      <c r="O252" s="223" t="s">
        <v>36</v>
      </c>
      <c r="P252" s="231" t="s">
        <v>447</v>
      </c>
      <c r="Q252" s="234" t="s">
        <v>571</v>
      </c>
      <c r="R252" s="227">
        <v>44286</v>
      </c>
    </row>
    <row r="253" spans="1:18" ht="30" x14ac:dyDescent="0.25">
      <c r="A253" s="427" t="s">
        <v>238</v>
      </c>
      <c r="B253" s="384">
        <v>900</v>
      </c>
      <c r="C253" s="222" t="s">
        <v>26</v>
      </c>
      <c r="D253" s="214" t="s">
        <v>35</v>
      </c>
      <c r="E253" s="222" t="s">
        <v>10</v>
      </c>
      <c r="F253" s="214" t="s">
        <v>343</v>
      </c>
      <c r="G253" s="113">
        <v>912</v>
      </c>
      <c r="H253" s="384">
        <v>0</v>
      </c>
      <c r="I253" s="552"/>
      <c r="J253" s="552"/>
      <c r="K253" s="552"/>
      <c r="L253" s="552"/>
      <c r="M253" s="552"/>
      <c r="N253" s="378" t="s">
        <v>85</v>
      </c>
      <c r="O253" s="378"/>
      <c r="P253" s="384"/>
      <c r="Q253" s="389"/>
      <c r="R253" s="459"/>
    </row>
    <row r="254" spans="1:18" ht="30" x14ac:dyDescent="0.25">
      <c r="A254" s="427"/>
      <c r="B254" s="385"/>
      <c r="C254" s="222" t="s">
        <v>8</v>
      </c>
      <c r="D254" s="214" t="s">
        <v>35</v>
      </c>
      <c r="E254" s="222" t="s">
        <v>10</v>
      </c>
      <c r="F254" s="214" t="s">
        <v>343</v>
      </c>
      <c r="G254" s="108">
        <v>-912</v>
      </c>
      <c r="H254" s="385"/>
      <c r="I254" s="553"/>
      <c r="J254" s="553"/>
      <c r="K254" s="553"/>
      <c r="L254" s="553"/>
      <c r="M254" s="553"/>
      <c r="N254" s="380"/>
      <c r="O254" s="380"/>
      <c r="P254" s="385"/>
      <c r="Q254" s="391"/>
      <c r="R254" s="460"/>
    </row>
    <row r="255" spans="1:18" ht="30" x14ac:dyDescent="0.25">
      <c r="A255" s="427" t="s">
        <v>239</v>
      </c>
      <c r="B255" s="384">
        <v>270</v>
      </c>
      <c r="C255" s="222" t="s">
        <v>26</v>
      </c>
      <c r="D255" s="214" t="s">
        <v>33</v>
      </c>
      <c r="E255" s="222" t="s">
        <v>10</v>
      </c>
      <c r="F255" s="214" t="s">
        <v>343</v>
      </c>
      <c r="G255" s="108">
        <v>269.98689999999999</v>
      </c>
      <c r="H255" s="384">
        <v>0</v>
      </c>
      <c r="I255" s="393"/>
      <c r="J255" s="393"/>
      <c r="K255" s="393"/>
      <c r="L255" s="393"/>
      <c r="M255" s="393"/>
      <c r="N255" s="414" t="s">
        <v>11</v>
      </c>
      <c r="O255" s="435" t="s">
        <v>38</v>
      </c>
      <c r="P255" s="392" t="s">
        <v>447</v>
      </c>
      <c r="Q255" s="469" t="s">
        <v>486</v>
      </c>
      <c r="R255" s="451">
        <v>44286</v>
      </c>
    </row>
    <row r="256" spans="1:18" ht="30" x14ac:dyDescent="0.25">
      <c r="A256" s="427"/>
      <c r="B256" s="410"/>
      <c r="C256" s="222" t="s">
        <v>8</v>
      </c>
      <c r="D256" s="214" t="s">
        <v>33</v>
      </c>
      <c r="E256" s="222" t="s">
        <v>10</v>
      </c>
      <c r="F256" s="214" t="s">
        <v>343</v>
      </c>
      <c r="G256" s="108">
        <v>-7.2362219999999997</v>
      </c>
      <c r="H256" s="410"/>
      <c r="I256" s="394"/>
      <c r="J256" s="394"/>
      <c r="K256" s="394"/>
      <c r="L256" s="394"/>
      <c r="M256" s="394"/>
      <c r="N256" s="414"/>
      <c r="O256" s="435"/>
      <c r="P256" s="392"/>
      <c r="Q256" s="469"/>
      <c r="R256" s="468"/>
    </row>
    <row r="257" spans="1:18" s="52" customFormat="1" x14ac:dyDescent="0.25">
      <c r="A257" s="427"/>
      <c r="B257" s="410"/>
      <c r="C257" s="222" t="s">
        <v>8</v>
      </c>
      <c r="D257" s="214" t="s">
        <v>33</v>
      </c>
      <c r="E257" s="222" t="s">
        <v>16</v>
      </c>
      <c r="F257" s="214" t="s">
        <v>111</v>
      </c>
      <c r="G257" s="108">
        <v>7.2362219999999997</v>
      </c>
      <c r="H257" s="410"/>
      <c r="I257" s="394"/>
      <c r="J257" s="394"/>
      <c r="K257" s="394"/>
      <c r="L257" s="394"/>
      <c r="M257" s="394"/>
      <c r="N257" s="414"/>
      <c r="O257" s="435"/>
      <c r="P257" s="392"/>
      <c r="Q257" s="469"/>
      <c r="R257" s="468"/>
    </row>
    <row r="258" spans="1:18" s="52" customFormat="1" ht="30" x14ac:dyDescent="0.25">
      <c r="A258" s="427"/>
      <c r="B258" s="410"/>
      <c r="C258" s="222" t="s">
        <v>396</v>
      </c>
      <c r="D258" s="214" t="s">
        <v>33</v>
      </c>
      <c r="E258" s="222" t="s">
        <v>10</v>
      </c>
      <c r="F258" s="214" t="s">
        <v>343</v>
      </c>
      <c r="G258" s="108">
        <v>-2.5944470000000002</v>
      </c>
      <c r="H258" s="410"/>
      <c r="I258" s="394"/>
      <c r="J258" s="394"/>
      <c r="K258" s="394"/>
      <c r="L258" s="394"/>
      <c r="M258" s="394"/>
      <c r="N258" s="414"/>
      <c r="O258" s="435"/>
      <c r="P258" s="392"/>
      <c r="Q258" s="469"/>
      <c r="R258" s="468"/>
    </row>
    <row r="259" spans="1:18" x14ac:dyDescent="0.25">
      <c r="A259" s="427"/>
      <c r="B259" s="385"/>
      <c r="C259" s="216" t="s">
        <v>396</v>
      </c>
      <c r="D259" s="214" t="s">
        <v>33</v>
      </c>
      <c r="E259" s="216" t="s">
        <v>16</v>
      </c>
      <c r="F259" s="212" t="s">
        <v>111</v>
      </c>
      <c r="G259" s="114">
        <f>0.397689+2.104984</f>
        <v>2.5026730000000001</v>
      </c>
      <c r="H259" s="385"/>
      <c r="I259" s="395"/>
      <c r="J259" s="395"/>
      <c r="K259" s="395"/>
      <c r="L259" s="395"/>
      <c r="M259" s="395"/>
      <c r="N259" s="414"/>
      <c r="O259" s="435"/>
      <c r="P259" s="392"/>
      <c r="Q259" s="469"/>
      <c r="R259" s="468"/>
    </row>
    <row r="260" spans="1:18" ht="60" x14ac:dyDescent="0.25">
      <c r="A260" s="427" t="s">
        <v>240</v>
      </c>
      <c r="B260" s="384">
        <v>8</v>
      </c>
      <c r="C260" s="222" t="s">
        <v>26</v>
      </c>
      <c r="D260" s="214" t="s">
        <v>17</v>
      </c>
      <c r="E260" s="222" t="s">
        <v>10</v>
      </c>
      <c r="F260" s="214" t="s">
        <v>345</v>
      </c>
      <c r="G260" s="108">
        <v>7.5</v>
      </c>
      <c r="H260" s="384">
        <v>0</v>
      </c>
      <c r="I260" s="393" t="s">
        <v>26</v>
      </c>
      <c r="J260" s="393" t="s">
        <v>17</v>
      </c>
      <c r="K260" s="393" t="s">
        <v>16</v>
      </c>
      <c r="L260" s="393" t="s">
        <v>111</v>
      </c>
      <c r="M260" s="393">
        <v>3.299229</v>
      </c>
      <c r="N260" s="414" t="s">
        <v>11</v>
      </c>
      <c r="O260" s="435" t="s">
        <v>80</v>
      </c>
      <c r="P260" s="467" t="s">
        <v>19</v>
      </c>
      <c r="Q260" s="469" t="s">
        <v>368</v>
      </c>
      <c r="R260" s="451">
        <v>44316</v>
      </c>
    </row>
    <row r="261" spans="1:18" ht="60" x14ac:dyDescent="0.25">
      <c r="A261" s="427"/>
      <c r="B261" s="410"/>
      <c r="C261" s="222" t="s">
        <v>8</v>
      </c>
      <c r="D261" s="214" t="s">
        <v>17</v>
      </c>
      <c r="E261" s="222" t="s">
        <v>10</v>
      </c>
      <c r="F261" s="214" t="s">
        <v>345</v>
      </c>
      <c r="G261" s="108">
        <v>-3.299229</v>
      </c>
      <c r="H261" s="410"/>
      <c r="I261" s="394"/>
      <c r="J261" s="394"/>
      <c r="K261" s="394"/>
      <c r="L261" s="394"/>
      <c r="M261" s="394"/>
      <c r="N261" s="414"/>
      <c r="O261" s="435"/>
      <c r="P261" s="467"/>
      <c r="Q261" s="469"/>
      <c r="R261" s="468"/>
    </row>
    <row r="262" spans="1:18" x14ac:dyDescent="0.25">
      <c r="A262" s="427"/>
      <c r="B262" s="385"/>
      <c r="C262" s="222" t="s">
        <v>8</v>
      </c>
      <c r="D262" s="214" t="s">
        <v>17</v>
      </c>
      <c r="E262" s="222" t="s">
        <v>16</v>
      </c>
      <c r="F262" s="214" t="s">
        <v>111</v>
      </c>
      <c r="G262" s="108">
        <v>3.299229</v>
      </c>
      <c r="H262" s="385"/>
      <c r="I262" s="395"/>
      <c r="J262" s="395"/>
      <c r="K262" s="395"/>
      <c r="L262" s="395"/>
      <c r="M262" s="395"/>
      <c r="N262" s="414"/>
      <c r="O262" s="435"/>
      <c r="P262" s="467"/>
      <c r="Q262" s="469"/>
      <c r="R262" s="468"/>
    </row>
    <row r="263" spans="1:18" ht="60" x14ac:dyDescent="0.25">
      <c r="A263" s="233" t="s">
        <v>241</v>
      </c>
      <c r="B263" s="76">
        <v>20</v>
      </c>
      <c r="C263" s="222" t="s">
        <v>26</v>
      </c>
      <c r="D263" s="214" t="s">
        <v>35</v>
      </c>
      <c r="E263" s="222" t="s">
        <v>10</v>
      </c>
      <c r="F263" s="214" t="s">
        <v>345</v>
      </c>
      <c r="G263" s="108">
        <v>20</v>
      </c>
      <c r="H263" s="76">
        <v>0</v>
      </c>
      <c r="I263" s="218"/>
      <c r="J263" s="218"/>
      <c r="K263" s="218"/>
      <c r="L263" s="218"/>
      <c r="M263" s="108"/>
      <c r="N263" s="222" t="s">
        <v>424</v>
      </c>
      <c r="O263" s="222" t="s">
        <v>111</v>
      </c>
      <c r="P263" s="231" t="s">
        <v>447</v>
      </c>
      <c r="Q263" s="224" t="s">
        <v>434</v>
      </c>
      <c r="R263" s="227">
        <v>44286</v>
      </c>
    </row>
    <row r="264" spans="1:18" ht="30" x14ac:dyDescent="0.25">
      <c r="A264" s="233" t="s">
        <v>243</v>
      </c>
      <c r="B264" s="76">
        <v>365</v>
      </c>
      <c r="C264" s="222" t="s">
        <v>42</v>
      </c>
      <c r="D264" s="222" t="s">
        <v>140</v>
      </c>
      <c r="E264" s="222" t="s">
        <v>111</v>
      </c>
      <c r="F264" s="214" t="s">
        <v>343</v>
      </c>
      <c r="G264" s="108" t="s">
        <v>111</v>
      </c>
      <c r="H264" s="76">
        <v>-30</v>
      </c>
      <c r="I264" s="222"/>
      <c r="J264" s="222"/>
      <c r="K264" s="222"/>
      <c r="L264" s="214"/>
      <c r="M264" s="108"/>
      <c r="N264" s="222" t="s">
        <v>11</v>
      </c>
      <c r="O264" s="223" t="s">
        <v>160</v>
      </c>
      <c r="P264" s="214" t="s">
        <v>19</v>
      </c>
      <c r="Q264" s="234" t="s">
        <v>126</v>
      </c>
      <c r="R264" s="228"/>
    </row>
    <row r="265" spans="1:18" ht="45" x14ac:dyDescent="0.25">
      <c r="A265" s="233" t="s">
        <v>244</v>
      </c>
      <c r="B265" s="76">
        <v>20</v>
      </c>
      <c r="C265" s="222" t="s">
        <v>8</v>
      </c>
      <c r="D265" s="214" t="s">
        <v>245</v>
      </c>
      <c r="E265" s="222" t="s">
        <v>10</v>
      </c>
      <c r="F265" s="214" t="s">
        <v>347</v>
      </c>
      <c r="G265" s="108">
        <v>20</v>
      </c>
      <c r="H265" s="76">
        <v>0</v>
      </c>
      <c r="I265" s="222"/>
      <c r="J265" s="214"/>
      <c r="K265" s="222"/>
      <c r="L265" s="214"/>
      <c r="M265" s="108"/>
      <c r="N265" s="222" t="s">
        <v>11</v>
      </c>
      <c r="O265" s="223" t="s">
        <v>246</v>
      </c>
      <c r="P265" s="231" t="s">
        <v>447</v>
      </c>
      <c r="Q265" s="224" t="s">
        <v>394</v>
      </c>
      <c r="R265" s="227">
        <v>44286</v>
      </c>
    </row>
    <row r="266" spans="1:18" ht="60" x14ac:dyDescent="0.25">
      <c r="A266" s="233" t="s">
        <v>247</v>
      </c>
      <c r="B266" s="211">
        <v>350</v>
      </c>
      <c r="C266" s="222" t="s">
        <v>26</v>
      </c>
      <c r="D266" s="214" t="s">
        <v>35</v>
      </c>
      <c r="E266" s="222" t="s">
        <v>10</v>
      </c>
      <c r="F266" s="214" t="s">
        <v>345</v>
      </c>
      <c r="G266" s="239">
        <v>350</v>
      </c>
      <c r="H266" s="211">
        <v>0</v>
      </c>
      <c r="I266" s="222"/>
      <c r="J266" s="214"/>
      <c r="K266" s="222"/>
      <c r="L266" s="214"/>
      <c r="M266" s="281"/>
      <c r="N266" s="222" t="s">
        <v>424</v>
      </c>
      <c r="O266" s="130" t="s">
        <v>111</v>
      </c>
      <c r="P266" s="231" t="s">
        <v>447</v>
      </c>
      <c r="Q266" s="226" t="s">
        <v>435</v>
      </c>
      <c r="R266" s="219">
        <v>44286</v>
      </c>
    </row>
    <row r="267" spans="1:18" ht="30" x14ac:dyDescent="0.25">
      <c r="A267" s="419" t="s">
        <v>637</v>
      </c>
      <c r="B267" s="384">
        <f>75+100</f>
        <v>175</v>
      </c>
      <c r="C267" s="222" t="s">
        <v>26</v>
      </c>
      <c r="D267" s="214" t="s">
        <v>89</v>
      </c>
      <c r="E267" s="222" t="s">
        <v>10</v>
      </c>
      <c r="F267" s="214" t="s">
        <v>343</v>
      </c>
      <c r="G267" s="108">
        <v>75</v>
      </c>
      <c r="H267" s="384">
        <v>140</v>
      </c>
      <c r="I267" s="503" t="s">
        <v>26</v>
      </c>
      <c r="J267" s="503" t="s">
        <v>230</v>
      </c>
      <c r="K267" s="503" t="s">
        <v>16</v>
      </c>
      <c r="L267" s="503" t="s">
        <v>111</v>
      </c>
      <c r="M267" s="491">
        <v>140</v>
      </c>
      <c r="N267" s="378" t="s">
        <v>11</v>
      </c>
      <c r="O267" s="389" t="s">
        <v>90</v>
      </c>
      <c r="P267" s="386" t="s">
        <v>447</v>
      </c>
      <c r="Q267" s="474" t="s">
        <v>510</v>
      </c>
      <c r="R267" s="375">
        <v>44286</v>
      </c>
    </row>
    <row r="268" spans="1:18" x14ac:dyDescent="0.25">
      <c r="A268" s="420"/>
      <c r="B268" s="410"/>
      <c r="C268" s="222" t="s">
        <v>8</v>
      </c>
      <c r="D268" s="214" t="s">
        <v>230</v>
      </c>
      <c r="E268" s="222" t="s">
        <v>16</v>
      </c>
      <c r="F268" s="214" t="s">
        <v>111</v>
      </c>
      <c r="G268" s="108">
        <v>50</v>
      </c>
      <c r="H268" s="410"/>
      <c r="I268" s="503"/>
      <c r="J268" s="503"/>
      <c r="K268" s="503"/>
      <c r="L268" s="503"/>
      <c r="M268" s="491"/>
      <c r="N268" s="379"/>
      <c r="O268" s="390"/>
      <c r="P268" s="387"/>
      <c r="Q268" s="475"/>
      <c r="R268" s="376"/>
    </row>
    <row r="269" spans="1:18" ht="30" x14ac:dyDescent="0.25">
      <c r="A269" s="420"/>
      <c r="B269" s="410"/>
      <c r="C269" s="222" t="s">
        <v>8</v>
      </c>
      <c r="D269" s="214" t="s">
        <v>230</v>
      </c>
      <c r="E269" s="222" t="s">
        <v>10</v>
      </c>
      <c r="F269" s="214" t="s">
        <v>347</v>
      </c>
      <c r="G269" s="108">
        <v>50</v>
      </c>
      <c r="H269" s="410"/>
      <c r="I269" s="503" t="s">
        <v>26</v>
      </c>
      <c r="J269" s="503" t="s">
        <v>230</v>
      </c>
      <c r="K269" s="503" t="s">
        <v>16</v>
      </c>
      <c r="L269" s="503" t="s">
        <v>111</v>
      </c>
      <c r="M269" s="491">
        <v>2.5</v>
      </c>
      <c r="N269" s="379"/>
      <c r="O269" s="390"/>
      <c r="P269" s="387"/>
      <c r="Q269" s="475"/>
      <c r="R269" s="376"/>
    </row>
    <row r="270" spans="1:18" s="52" customFormat="1" x14ac:dyDescent="0.25">
      <c r="A270" s="420"/>
      <c r="B270" s="410"/>
      <c r="C270" s="222" t="s">
        <v>396</v>
      </c>
      <c r="D270" s="214" t="s">
        <v>230</v>
      </c>
      <c r="E270" s="222" t="s">
        <v>16</v>
      </c>
      <c r="F270" s="214" t="s">
        <v>111</v>
      </c>
      <c r="G270" s="108">
        <v>-30</v>
      </c>
      <c r="H270" s="410"/>
      <c r="I270" s="503"/>
      <c r="J270" s="503"/>
      <c r="K270" s="503"/>
      <c r="L270" s="503"/>
      <c r="M270" s="491"/>
      <c r="N270" s="380"/>
      <c r="O270" s="391"/>
      <c r="P270" s="388"/>
      <c r="Q270" s="476"/>
      <c r="R270" s="377"/>
    </row>
    <row r="271" spans="1:18" s="52" customFormat="1" ht="45" x14ac:dyDescent="0.25">
      <c r="A271" s="421"/>
      <c r="B271" s="385"/>
      <c r="C271" s="222" t="s">
        <v>396</v>
      </c>
      <c r="D271" s="214" t="s">
        <v>33</v>
      </c>
      <c r="E271" s="222" t="s">
        <v>16</v>
      </c>
      <c r="F271" s="214" t="s">
        <v>111</v>
      </c>
      <c r="G271" s="108">
        <v>30</v>
      </c>
      <c r="H271" s="385"/>
      <c r="I271" s="222"/>
      <c r="J271" s="214"/>
      <c r="K271" s="222"/>
      <c r="L271" s="214"/>
      <c r="M271" s="108"/>
      <c r="N271" s="222" t="s">
        <v>11</v>
      </c>
      <c r="O271" s="223" t="s">
        <v>38</v>
      </c>
      <c r="P271" s="231" t="s">
        <v>447</v>
      </c>
      <c r="Q271" s="226" t="s">
        <v>530</v>
      </c>
      <c r="R271" s="219">
        <v>44286</v>
      </c>
    </row>
    <row r="272" spans="1:18" ht="30" x14ac:dyDescent="0.25">
      <c r="A272" s="419" t="s">
        <v>248</v>
      </c>
      <c r="B272" s="384">
        <v>50</v>
      </c>
      <c r="C272" s="222" t="s">
        <v>8</v>
      </c>
      <c r="D272" s="222" t="s">
        <v>249</v>
      </c>
      <c r="E272" s="222" t="s">
        <v>10</v>
      </c>
      <c r="F272" s="214" t="s">
        <v>347</v>
      </c>
      <c r="G272" s="108">
        <v>50</v>
      </c>
      <c r="H272" s="384">
        <v>0</v>
      </c>
      <c r="I272" s="393"/>
      <c r="J272" s="393"/>
      <c r="K272" s="393"/>
      <c r="L272" s="393"/>
      <c r="M272" s="393"/>
      <c r="N272" s="378" t="s">
        <v>11</v>
      </c>
      <c r="O272" s="389" t="s">
        <v>250</v>
      </c>
      <c r="P272" s="378" t="s">
        <v>19</v>
      </c>
      <c r="Q272" s="372" t="s">
        <v>582</v>
      </c>
      <c r="R272" s="375">
        <v>44306</v>
      </c>
    </row>
    <row r="273" spans="1:18" s="52" customFormat="1" ht="30" x14ac:dyDescent="0.25">
      <c r="A273" s="420"/>
      <c r="B273" s="410"/>
      <c r="C273" s="222" t="s">
        <v>396</v>
      </c>
      <c r="D273" s="222" t="s">
        <v>249</v>
      </c>
      <c r="E273" s="222" t="s">
        <v>10</v>
      </c>
      <c r="F273" s="214" t="s">
        <v>347</v>
      </c>
      <c r="G273" s="108">
        <v>-8.6999999999999993</v>
      </c>
      <c r="H273" s="410"/>
      <c r="I273" s="394"/>
      <c r="J273" s="394"/>
      <c r="K273" s="394"/>
      <c r="L273" s="394"/>
      <c r="M273" s="394"/>
      <c r="N273" s="379"/>
      <c r="O273" s="390"/>
      <c r="P273" s="379"/>
      <c r="Q273" s="373"/>
      <c r="R273" s="376"/>
    </row>
    <row r="274" spans="1:18" s="52" customFormat="1" x14ac:dyDescent="0.25">
      <c r="A274" s="421"/>
      <c r="B274" s="385"/>
      <c r="C274" s="222" t="s">
        <v>396</v>
      </c>
      <c r="D274" s="222" t="s">
        <v>249</v>
      </c>
      <c r="E274" s="222" t="s">
        <v>16</v>
      </c>
      <c r="F274" s="214" t="s">
        <v>111</v>
      </c>
      <c r="G274" s="108">
        <v>8.6999999999999993</v>
      </c>
      <c r="H274" s="385"/>
      <c r="I274" s="395"/>
      <c r="J274" s="395"/>
      <c r="K274" s="395"/>
      <c r="L274" s="395"/>
      <c r="M274" s="395"/>
      <c r="N274" s="380"/>
      <c r="O274" s="391"/>
      <c r="P274" s="380"/>
      <c r="Q274" s="374"/>
      <c r="R274" s="377"/>
    </row>
    <row r="275" spans="1:18" x14ac:dyDescent="0.25">
      <c r="A275" s="427" t="s">
        <v>251</v>
      </c>
      <c r="B275" s="384">
        <v>50</v>
      </c>
      <c r="C275" s="222" t="s">
        <v>26</v>
      </c>
      <c r="D275" s="214" t="s">
        <v>249</v>
      </c>
      <c r="E275" s="222" t="s">
        <v>16</v>
      </c>
      <c r="F275" s="214" t="s">
        <v>111</v>
      </c>
      <c r="G275" s="108">
        <v>10</v>
      </c>
      <c r="H275" s="384">
        <v>0</v>
      </c>
      <c r="I275" s="393"/>
      <c r="J275" s="393"/>
      <c r="K275" s="393"/>
      <c r="L275" s="393"/>
      <c r="M275" s="393"/>
      <c r="N275" s="378" t="s">
        <v>11</v>
      </c>
      <c r="O275" s="389" t="s">
        <v>250</v>
      </c>
      <c r="P275" s="384" t="s">
        <v>19</v>
      </c>
      <c r="Q275" s="474" t="s">
        <v>428</v>
      </c>
      <c r="R275" s="375">
        <v>44306</v>
      </c>
    </row>
    <row r="276" spans="1:18" ht="30" x14ac:dyDescent="0.25">
      <c r="A276" s="427"/>
      <c r="B276" s="410"/>
      <c r="C276" s="222" t="s">
        <v>26</v>
      </c>
      <c r="D276" s="214" t="s">
        <v>249</v>
      </c>
      <c r="E276" s="222" t="s">
        <v>10</v>
      </c>
      <c r="F276" s="214" t="s">
        <v>343</v>
      </c>
      <c r="G276" s="108">
        <v>30</v>
      </c>
      <c r="H276" s="410"/>
      <c r="I276" s="395"/>
      <c r="J276" s="395"/>
      <c r="K276" s="395"/>
      <c r="L276" s="395"/>
      <c r="M276" s="395"/>
      <c r="N276" s="380"/>
      <c r="O276" s="391"/>
      <c r="P276" s="385"/>
      <c r="Q276" s="476"/>
      <c r="R276" s="377"/>
    </row>
    <row r="277" spans="1:18" ht="45" x14ac:dyDescent="0.25">
      <c r="A277" s="427"/>
      <c r="B277" s="385"/>
      <c r="C277" s="222" t="s">
        <v>26</v>
      </c>
      <c r="D277" s="214" t="s">
        <v>33</v>
      </c>
      <c r="E277" s="222" t="s">
        <v>10</v>
      </c>
      <c r="F277" s="214" t="s">
        <v>343</v>
      </c>
      <c r="G277" s="108">
        <v>10</v>
      </c>
      <c r="H277" s="385"/>
      <c r="I277" s="222"/>
      <c r="J277" s="214"/>
      <c r="K277" s="222"/>
      <c r="L277" s="214"/>
      <c r="M277" s="108"/>
      <c r="N277" s="222" t="s">
        <v>11</v>
      </c>
      <c r="O277" s="223" t="s">
        <v>38</v>
      </c>
      <c r="P277" s="231" t="s">
        <v>447</v>
      </c>
      <c r="Q277" s="234" t="s">
        <v>485</v>
      </c>
      <c r="R277" s="227">
        <v>44286</v>
      </c>
    </row>
    <row r="278" spans="1:18" ht="29.25" customHeight="1" x14ac:dyDescent="0.25">
      <c r="A278" s="233" t="s">
        <v>253</v>
      </c>
      <c r="B278" s="76">
        <v>5</v>
      </c>
      <c r="C278" s="222" t="s">
        <v>42</v>
      </c>
      <c r="D278" s="222" t="s">
        <v>33</v>
      </c>
      <c r="E278" s="222" t="s">
        <v>111</v>
      </c>
      <c r="F278" s="214" t="s">
        <v>111</v>
      </c>
      <c r="G278" s="108" t="s">
        <v>111</v>
      </c>
      <c r="H278" s="76">
        <v>25</v>
      </c>
      <c r="I278" s="222"/>
      <c r="J278" s="222"/>
      <c r="K278" s="222"/>
      <c r="L278" s="214"/>
      <c r="M278" s="108"/>
      <c r="N278" s="222" t="s">
        <v>11</v>
      </c>
      <c r="O278" s="223" t="s">
        <v>38</v>
      </c>
      <c r="P278" s="214" t="s">
        <v>213</v>
      </c>
      <c r="Q278" s="234" t="s">
        <v>252</v>
      </c>
      <c r="R278" s="228"/>
    </row>
    <row r="279" spans="1:18" ht="45" x14ac:dyDescent="0.25">
      <c r="A279" s="233" t="s">
        <v>254</v>
      </c>
      <c r="B279" s="86">
        <v>1500</v>
      </c>
      <c r="C279" s="222" t="s">
        <v>8</v>
      </c>
      <c r="D279" s="214" t="s">
        <v>35</v>
      </c>
      <c r="E279" s="222" t="s">
        <v>10</v>
      </c>
      <c r="F279" s="214" t="s">
        <v>347</v>
      </c>
      <c r="G279" s="112">
        <v>1500</v>
      </c>
      <c r="H279" s="86">
        <v>0</v>
      </c>
      <c r="I279" s="222"/>
      <c r="J279" s="214"/>
      <c r="K279" s="222"/>
      <c r="L279" s="214"/>
      <c r="M279" s="112"/>
      <c r="N279" s="222" t="s">
        <v>11</v>
      </c>
      <c r="O279" s="223" t="s">
        <v>36</v>
      </c>
      <c r="P279" s="231" t="s">
        <v>447</v>
      </c>
      <c r="Q279" s="224" t="s">
        <v>436</v>
      </c>
      <c r="R279" s="227">
        <v>44286</v>
      </c>
    </row>
    <row r="280" spans="1:18" x14ac:dyDescent="0.25">
      <c r="A280" s="419" t="s">
        <v>255</v>
      </c>
      <c r="B280" s="384">
        <v>758</v>
      </c>
      <c r="C280" s="222" t="s">
        <v>8</v>
      </c>
      <c r="D280" s="214" t="s">
        <v>169</v>
      </c>
      <c r="E280" s="222" t="s">
        <v>16</v>
      </c>
      <c r="F280" s="214" t="s">
        <v>111</v>
      </c>
      <c r="G280" s="111">
        <v>253.75</v>
      </c>
      <c r="H280" s="384">
        <v>258</v>
      </c>
      <c r="I280" s="378" t="s">
        <v>467</v>
      </c>
      <c r="J280" s="384" t="s">
        <v>169</v>
      </c>
      <c r="K280" s="378" t="s">
        <v>16</v>
      </c>
      <c r="L280" s="384" t="s">
        <v>111</v>
      </c>
      <c r="M280" s="393">
        <v>258</v>
      </c>
      <c r="N280" s="378" t="s">
        <v>11</v>
      </c>
      <c r="O280" s="389" t="s">
        <v>179</v>
      </c>
      <c r="P280" s="386" t="s">
        <v>447</v>
      </c>
      <c r="Q280" s="474" t="s">
        <v>503</v>
      </c>
      <c r="R280" s="375">
        <v>44286</v>
      </c>
    </row>
    <row r="281" spans="1:18" ht="30" x14ac:dyDescent="0.25">
      <c r="A281" s="420"/>
      <c r="B281" s="410"/>
      <c r="C281" s="222" t="s">
        <v>8</v>
      </c>
      <c r="D281" s="214" t="s">
        <v>169</v>
      </c>
      <c r="E281" s="222" t="s">
        <v>10</v>
      </c>
      <c r="F281" s="214" t="s">
        <v>347</v>
      </c>
      <c r="G281" s="111">
        <v>503.75</v>
      </c>
      <c r="H281" s="410"/>
      <c r="I281" s="379"/>
      <c r="J281" s="410"/>
      <c r="K281" s="379"/>
      <c r="L281" s="410"/>
      <c r="M281" s="394"/>
      <c r="N281" s="379"/>
      <c r="O281" s="390"/>
      <c r="P281" s="387"/>
      <c r="Q281" s="475"/>
      <c r="R281" s="376"/>
    </row>
    <row r="282" spans="1:18" s="52" customFormat="1" ht="30" x14ac:dyDescent="0.25">
      <c r="A282" s="420"/>
      <c r="B282" s="410"/>
      <c r="C282" s="222" t="s">
        <v>396</v>
      </c>
      <c r="D282" s="214" t="s">
        <v>169</v>
      </c>
      <c r="E282" s="222" t="s">
        <v>10</v>
      </c>
      <c r="F282" s="214" t="s">
        <v>347</v>
      </c>
      <c r="G282" s="112">
        <v>-3.4807480000000002</v>
      </c>
      <c r="H282" s="410"/>
      <c r="I282" s="379"/>
      <c r="J282" s="410"/>
      <c r="K282" s="379"/>
      <c r="L282" s="410"/>
      <c r="M282" s="394"/>
      <c r="N282" s="379"/>
      <c r="O282" s="390"/>
      <c r="P282" s="387"/>
      <c r="Q282" s="475"/>
      <c r="R282" s="376"/>
    </row>
    <row r="283" spans="1:18" s="52" customFormat="1" x14ac:dyDescent="0.25">
      <c r="A283" s="421"/>
      <c r="B283" s="385"/>
      <c r="C283" s="222" t="s">
        <v>396</v>
      </c>
      <c r="D283" s="214" t="s">
        <v>169</v>
      </c>
      <c r="E283" s="222" t="s">
        <v>16</v>
      </c>
      <c r="F283" s="214" t="s">
        <v>111</v>
      </c>
      <c r="G283" s="111">
        <v>3.4807480000000002</v>
      </c>
      <c r="H283" s="385"/>
      <c r="I283" s="380"/>
      <c r="J283" s="385"/>
      <c r="K283" s="380"/>
      <c r="L283" s="385"/>
      <c r="M283" s="395"/>
      <c r="N283" s="380"/>
      <c r="O283" s="391"/>
      <c r="P283" s="388"/>
      <c r="Q283" s="476"/>
      <c r="R283" s="377"/>
    </row>
    <row r="284" spans="1:18" ht="45" x14ac:dyDescent="0.25">
      <c r="A284" s="233" t="s">
        <v>256</v>
      </c>
      <c r="B284" s="76">
        <v>31</v>
      </c>
      <c r="C284" s="222" t="s">
        <v>8</v>
      </c>
      <c r="D284" s="214" t="s">
        <v>206</v>
      </c>
      <c r="E284" s="222" t="s">
        <v>16</v>
      </c>
      <c r="F284" s="214" t="s">
        <v>111</v>
      </c>
      <c r="G284" s="112">
        <f>30+0.511094</f>
        <v>30.511094</v>
      </c>
      <c r="H284" s="76">
        <v>0</v>
      </c>
      <c r="I284" s="222"/>
      <c r="J284" s="214"/>
      <c r="K284" s="222"/>
      <c r="L284" s="214"/>
      <c r="M284" s="112"/>
      <c r="N284" s="222" t="s">
        <v>11</v>
      </c>
      <c r="O284" s="223" t="s">
        <v>233</v>
      </c>
      <c r="P284" s="231" t="s">
        <v>447</v>
      </c>
      <c r="Q284" s="234" t="s">
        <v>543</v>
      </c>
      <c r="R284" s="227">
        <v>44286</v>
      </c>
    </row>
    <row r="285" spans="1:18" x14ac:dyDescent="0.25">
      <c r="A285" s="419" t="s">
        <v>257</v>
      </c>
      <c r="B285" s="384">
        <v>10</v>
      </c>
      <c r="C285" s="378" t="s">
        <v>396</v>
      </c>
      <c r="D285" s="384" t="s">
        <v>153</v>
      </c>
      <c r="E285" s="378" t="s">
        <v>16</v>
      </c>
      <c r="F285" s="384" t="s">
        <v>111</v>
      </c>
      <c r="G285" s="452">
        <f>0.235939+0.024684</f>
        <v>0.26062299999999999</v>
      </c>
      <c r="H285" s="384">
        <v>30</v>
      </c>
      <c r="I285" s="222" t="s">
        <v>467</v>
      </c>
      <c r="J285" s="214" t="s">
        <v>153</v>
      </c>
      <c r="K285" s="222" t="s">
        <v>16</v>
      </c>
      <c r="L285" s="214" t="s">
        <v>111</v>
      </c>
      <c r="M285" s="108">
        <v>0.74947299999999994</v>
      </c>
      <c r="N285" s="378" t="s">
        <v>11</v>
      </c>
      <c r="O285" s="389" t="s">
        <v>157</v>
      </c>
      <c r="P285" s="384" t="s">
        <v>213</v>
      </c>
      <c r="Q285" s="378"/>
      <c r="R285" s="459"/>
    </row>
    <row r="286" spans="1:18" s="52" customFormat="1" x14ac:dyDescent="0.25">
      <c r="A286" s="420"/>
      <c r="B286" s="410"/>
      <c r="C286" s="380"/>
      <c r="D286" s="385"/>
      <c r="E286" s="380"/>
      <c r="F286" s="385"/>
      <c r="G286" s="453"/>
      <c r="H286" s="410"/>
      <c r="I286" s="222" t="s">
        <v>467</v>
      </c>
      <c r="J286" s="214" t="s">
        <v>153</v>
      </c>
      <c r="K286" s="222" t="s">
        <v>10</v>
      </c>
      <c r="L286" s="214"/>
      <c r="M286" s="124">
        <v>9.9109999999999997E-3</v>
      </c>
      <c r="N286" s="379"/>
      <c r="O286" s="390"/>
      <c r="P286" s="410"/>
      <c r="Q286" s="379"/>
      <c r="R286" s="498"/>
    </row>
    <row r="287" spans="1:18" s="52" customFormat="1" x14ac:dyDescent="0.25">
      <c r="A287" s="420"/>
      <c r="B287" s="410"/>
      <c r="C287" s="378" t="s">
        <v>42</v>
      </c>
      <c r="D287" s="378" t="s">
        <v>66</v>
      </c>
      <c r="E287" s="378" t="s">
        <v>111</v>
      </c>
      <c r="F287" s="378" t="s">
        <v>111</v>
      </c>
      <c r="G287" s="443" t="s">
        <v>111</v>
      </c>
      <c r="H287" s="410"/>
      <c r="I287" s="222" t="s">
        <v>467</v>
      </c>
      <c r="J287" s="214" t="s">
        <v>66</v>
      </c>
      <c r="K287" s="222" t="s">
        <v>16</v>
      </c>
      <c r="L287" s="214" t="s">
        <v>111</v>
      </c>
      <c r="M287" s="108">
        <v>1.420876</v>
      </c>
      <c r="N287" s="379"/>
      <c r="O287" s="390"/>
      <c r="P287" s="410"/>
      <c r="Q287" s="379"/>
      <c r="R287" s="498"/>
    </row>
    <row r="288" spans="1:18" s="52" customFormat="1" x14ac:dyDescent="0.25">
      <c r="A288" s="420"/>
      <c r="B288" s="410"/>
      <c r="C288" s="379"/>
      <c r="D288" s="379"/>
      <c r="E288" s="379"/>
      <c r="F288" s="379"/>
      <c r="G288" s="524"/>
      <c r="H288" s="410"/>
      <c r="I288" s="222" t="s">
        <v>467</v>
      </c>
      <c r="J288" s="214" t="s">
        <v>66</v>
      </c>
      <c r="K288" s="222" t="s">
        <v>10</v>
      </c>
      <c r="L288" s="214"/>
      <c r="M288" s="122">
        <v>6.6338999999999995E-2</v>
      </c>
      <c r="N288" s="379"/>
      <c r="O288" s="390"/>
      <c r="P288" s="410"/>
      <c r="Q288" s="379"/>
      <c r="R288" s="498"/>
    </row>
    <row r="289" spans="1:18" s="52" customFormat="1" x14ac:dyDescent="0.25">
      <c r="A289" s="420"/>
      <c r="B289" s="410"/>
      <c r="C289" s="380"/>
      <c r="D289" s="380"/>
      <c r="E289" s="380"/>
      <c r="F289" s="380"/>
      <c r="G289" s="444"/>
      <c r="H289" s="410"/>
      <c r="I289" s="269" t="s">
        <v>26</v>
      </c>
      <c r="J289" s="273" t="s">
        <v>66</v>
      </c>
      <c r="K289" s="269" t="s">
        <v>16</v>
      </c>
      <c r="L289" s="273" t="s">
        <v>111</v>
      </c>
      <c r="M289" s="108">
        <f>20+0.665829</f>
        <v>20.665828999999999</v>
      </c>
      <c r="N289" s="379"/>
      <c r="O289" s="390"/>
      <c r="P289" s="410"/>
      <c r="Q289" s="379"/>
      <c r="R289" s="498"/>
    </row>
    <row r="290" spans="1:18" s="52" customFormat="1" ht="30" x14ac:dyDescent="0.25">
      <c r="A290" s="420"/>
      <c r="B290" s="410"/>
      <c r="C290" s="378" t="s">
        <v>42</v>
      </c>
      <c r="D290" s="384" t="s">
        <v>68</v>
      </c>
      <c r="E290" s="378" t="s">
        <v>111</v>
      </c>
      <c r="F290" s="384" t="s">
        <v>111</v>
      </c>
      <c r="G290" s="443" t="s">
        <v>111</v>
      </c>
      <c r="H290" s="410"/>
      <c r="I290" s="222" t="s">
        <v>467</v>
      </c>
      <c r="J290" s="214" t="s">
        <v>68</v>
      </c>
      <c r="K290" s="222" t="s">
        <v>16</v>
      </c>
      <c r="L290" s="214" t="s">
        <v>111</v>
      </c>
      <c r="M290" s="108">
        <v>2.6719569999999999</v>
      </c>
      <c r="N290" s="379"/>
      <c r="O290" s="390"/>
      <c r="P290" s="410"/>
      <c r="Q290" s="379"/>
      <c r="R290" s="498"/>
    </row>
    <row r="291" spans="1:18" s="52" customFormat="1" ht="30" x14ac:dyDescent="0.25">
      <c r="A291" s="420"/>
      <c r="B291" s="410"/>
      <c r="C291" s="380"/>
      <c r="D291" s="385"/>
      <c r="E291" s="380"/>
      <c r="F291" s="385"/>
      <c r="G291" s="444"/>
      <c r="H291" s="410"/>
      <c r="I291" s="222" t="s">
        <v>467</v>
      </c>
      <c r="J291" s="214" t="s">
        <v>68</v>
      </c>
      <c r="K291" s="222" t="s">
        <v>10</v>
      </c>
      <c r="L291" s="214"/>
      <c r="M291" s="124">
        <v>2.5597000000000002E-2</v>
      </c>
      <c r="N291" s="379"/>
      <c r="O291" s="390"/>
      <c r="P291" s="410"/>
      <c r="Q291" s="379"/>
      <c r="R291" s="498"/>
    </row>
    <row r="292" spans="1:18" s="52" customFormat="1" ht="30" x14ac:dyDescent="0.25">
      <c r="A292" s="420"/>
      <c r="B292" s="410"/>
      <c r="C292" s="378" t="s">
        <v>396</v>
      </c>
      <c r="D292" s="384" t="s">
        <v>155</v>
      </c>
      <c r="E292" s="378" t="s">
        <v>16</v>
      </c>
      <c r="F292" s="384" t="s">
        <v>111</v>
      </c>
      <c r="G292" s="452">
        <v>0.10349999999999999</v>
      </c>
      <c r="H292" s="410"/>
      <c r="I292" s="222" t="s">
        <v>467</v>
      </c>
      <c r="J292" s="214" t="s">
        <v>155</v>
      </c>
      <c r="K292" s="222" t="s">
        <v>16</v>
      </c>
      <c r="L292" s="214" t="s">
        <v>111</v>
      </c>
      <c r="M292" s="108">
        <v>3.861256</v>
      </c>
      <c r="N292" s="379"/>
      <c r="O292" s="390"/>
      <c r="P292" s="410"/>
      <c r="Q292" s="379"/>
      <c r="R292" s="498"/>
    </row>
    <row r="293" spans="1:18" s="52" customFormat="1" ht="30" x14ac:dyDescent="0.25">
      <c r="A293" s="420"/>
      <c r="B293" s="410"/>
      <c r="C293" s="380"/>
      <c r="D293" s="385"/>
      <c r="E293" s="380"/>
      <c r="F293" s="385"/>
      <c r="G293" s="453"/>
      <c r="H293" s="410"/>
      <c r="I293" s="222" t="s">
        <v>467</v>
      </c>
      <c r="J293" s="214" t="s">
        <v>155</v>
      </c>
      <c r="K293" s="222" t="s">
        <v>10</v>
      </c>
      <c r="L293" s="214"/>
      <c r="M293" s="124">
        <v>2.5597000000000002E-2</v>
      </c>
      <c r="N293" s="379"/>
      <c r="O293" s="390"/>
      <c r="P293" s="410"/>
      <c r="Q293" s="379"/>
      <c r="R293" s="498"/>
    </row>
    <row r="294" spans="1:18" s="52" customFormat="1" ht="28.5" customHeight="1" x14ac:dyDescent="0.25">
      <c r="A294" s="420"/>
      <c r="B294" s="410"/>
      <c r="C294" s="378" t="s">
        <v>42</v>
      </c>
      <c r="D294" s="384" t="s">
        <v>156</v>
      </c>
      <c r="E294" s="378" t="s">
        <v>111</v>
      </c>
      <c r="F294" s="384" t="s">
        <v>111</v>
      </c>
      <c r="G294" s="443" t="s">
        <v>111</v>
      </c>
      <c r="H294" s="410"/>
      <c r="I294" s="222" t="s">
        <v>467</v>
      </c>
      <c r="J294" s="214" t="s">
        <v>156</v>
      </c>
      <c r="K294" s="222" t="s">
        <v>16</v>
      </c>
      <c r="L294" s="214" t="s">
        <v>111</v>
      </c>
      <c r="M294" s="108">
        <v>8.1332140000000006</v>
      </c>
      <c r="N294" s="379"/>
      <c r="O294" s="390"/>
      <c r="P294" s="410"/>
      <c r="Q294" s="379"/>
      <c r="R294" s="498"/>
    </row>
    <row r="295" spans="1:18" s="52" customFormat="1" ht="28.5" customHeight="1" x14ac:dyDescent="0.25">
      <c r="A295" s="420"/>
      <c r="B295" s="410"/>
      <c r="C295" s="379"/>
      <c r="D295" s="410"/>
      <c r="E295" s="379"/>
      <c r="F295" s="410"/>
      <c r="G295" s="524"/>
      <c r="H295" s="410"/>
      <c r="I295" s="222" t="s">
        <v>467</v>
      </c>
      <c r="J295" s="214" t="s">
        <v>156</v>
      </c>
      <c r="K295" s="222" t="s">
        <v>10</v>
      </c>
      <c r="L295" s="214"/>
      <c r="M295" s="124">
        <v>7.6789999999999997E-2</v>
      </c>
      <c r="N295" s="379"/>
      <c r="O295" s="390"/>
      <c r="P295" s="410"/>
      <c r="Q295" s="379"/>
      <c r="R295" s="498"/>
    </row>
    <row r="296" spans="1:18" s="52" customFormat="1" ht="30" x14ac:dyDescent="0.25">
      <c r="A296" s="421"/>
      <c r="B296" s="385"/>
      <c r="C296" s="380"/>
      <c r="D296" s="385"/>
      <c r="E296" s="380"/>
      <c r="F296" s="385"/>
      <c r="G296" s="444"/>
      <c r="H296" s="385"/>
      <c r="I296" s="258" t="s">
        <v>26</v>
      </c>
      <c r="J296" s="273" t="s">
        <v>156</v>
      </c>
      <c r="K296" s="269" t="s">
        <v>16</v>
      </c>
      <c r="L296" s="273" t="s">
        <v>111</v>
      </c>
      <c r="M296" s="123">
        <v>0.155251</v>
      </c>
      <c r="N296" s="380"/>
      <c r="O296" s="391"/>
      <c r="P296" s="385"/>
      <c r="Q296" s="380"/>
      <c r="R296" s="460"/>
    </row>
    <row r="297" spans="1:18" s="52" customFormat="1" x14ac:dyDescent="0.25">
      <c r="A297" s="419" t="s">
        <v>258</v>
      </c>
      <c r="B297" s="384">
        <v>151</v>
      </c>
      <c r="C297" s="378" t="s">
        <v>396</v>
      </c>
      <c r="D297" s="378" t="s">
        <v>341</v>
      </c>
      <c r="E297" s="378" t="s">
        <v>16</v>
      </c>
      <c r="F297" s="384" t="s">
        <v>111</v>
      </c>
      <c r="G297" s="393">
        <v>135.75823500000001</v>
      </c>
      <c r="H297" s="384">
        <f>22+155</f>
        <v>177</v>
      </c>
      <c r="I297" s="222" t="s">
        <v>467</v>
      </c>
      <c r="J297" s="214" t="s">
        <v>341</v>
      </c>
      <c r="K297" s="222" t="s">
        <v>16</v>
      </c>
      <c r="L297" s="214" t="s">
        <v>111</v>
      </c>
      <c r="M297" s="108">
        <v>11.838437000000001</v>
      </c>
      <c r="N297" s="378" t="s">
        <v>11</v>
      </c>
      <c r="O297" s="389" t="s">
        <v>384</v>
      </c>
      <c r="P297" s="384" t="s">
        <v>19</v>
      </c>
      <c r="Q297" s="372" t="s">
        <v>426</v>
      </c>
      <c r="R297" s="375">
        <v>44265</v>
      </c>
    </row>
    <row r="298" spans="1:18" x14ac:dyDescent="0.25">
      <c r="A298" s="421"/>
      <c r="B298" s="385"/>
      <c r="C298" s="380"/>
      <c r="D298" s="380"/>
      <c r="E298" s="380"/>
      <c r="F298" s="385"/>
      <c r="G298" s="395"/>
      <c r="H298" s="385"/>
      <c r="I298" s="222" t="s">
        <v>467</v>
      </c>
      <c r="J298" s="222" t="s">
        <v>341</v>
      </c>
      <c r="K298" s="222" t="s">
        <v>10</v>
      </c>
      <c r="L298" s="214"/>
      <c r="M298" s="108">
        <v>3.1963780000000002</v>
      </c>
      <c r="N298" s="380"/>
      <c r="O298" s="391"/>
      <c r="P298" s="385"/>
      <c r="Q298" s="374"/>
      <c r="R298" s="377"/>
    </row>
    <row r="299" spans="1:18" x14ac:dyDescent="0.25">
      <c r="A299" s="419" t="s">
        <v>259</v>
      </c>
      <c r="B299" s="384">
        <f>74+54</f>
        <v>128</v>
      </c>
      <c r="C299" s="222" t="s">
        <v>8</v>
      </c>
      <c r="D299" s="222" t="s">
        <v>260</v>
      </c>
      <c r="E299" s="222" t="s">
        <v>16</v>
      </c>
      <c r="F299" s="214" t="s">
        <v>111</v>
      </c>
      <c r="G299" s="108">
        <v>74.099999999999994</v>
      </c>
      <c r="H299" s="384">
        <v>72</v>
      </c>
      <c r="I299" s="393"/>
      <c r="J299" s="393"/>
      <c r="K299" s="393"/>
      <c r="L299" s="422"/>
      <c r="M299" s="393"/>
      <c r="N299" s="378" t="s">
        <v>11</v>
      </c>
      <c r="O299" s="389" t="s">
        <v>261</v>
      </c>
      <c r="P299" s="392" t="s">
        <v>447</v>
      </c>
      <c r="Q299" s="474" t="s">
        <v>438</v>
      </c>
      <c r="R299" s="525">
        <v>11413</v>
      </c>
    </row>
    <row r="300" spans="1:18" s="52" customFormat="1" x14ac:dyDescent="0.25">
      <c r="A300" s="421"/>
      <c r="B300" s="385"/>
      <c r="C300" s="222" t="s">
        <v>396</v>
      </c>
      <c r="D300" s="222" t="s">
        <v>260</v>
      </c>
      <c r="E300" s="222" t="s">
        <v>16</v>
      </c>
      <c r="F300" s="214" t="s">
        <v>111</v>
      </c>
      <c r="G300" s="108">
        <v>54.1</v>
      </c>
      <c r="H300" s="385"/>
      <c r="I300" s="395"/>
      <c r="J300" s="395"/>
      <c r="K300" s="395"/>
      <c r="L300" s="423"/>
      <c r="M300" s="395"/>
      <c r="N300" s="380"/>
      <c r="O300" s="391"/>
      <c r="P300" s="392"/>
      <c r="Q300" s="476"/>
      <c r="R300" s="528"/>
    </row>
    <row r="301" spans="1:18" ht="45" x14ac:dyDescent="0.25">
      <c r="A301" s="233" t="s">
        <v>262</v>
      </c>
      <c r="B301" s="76">
        <v>5</v>
      </c>
      <c r="C301" s="222" t="s">
        <v>396</v>
      </c>
      <c r="D301" s="214" t="s">
        <v>339</v>
      </c>
      <c r="E301" s="222" t="s">
        <v>16</v>
      </c>
      <c r="F301" s="214" t="s">
        <v>111</v>
      </c>
      <c r="G301" s="108">
        <v>1.944599</v>
      </c>
      <c r="H301" s="76">
        <v>0</v>
      </c>
      <c r="I301" s="222"/>
      <c r="J301" s="214"/>
      <c r="K301" s="222"/>
      <c r="L301" s="214"/>
      <c r="M301" s="108"/>
      <c r="N301" s="222" t="s">
        <v>11</v>
      </c>
      <c r="O301" s="223" t="s">
        <v>385</v>
      </c>
      <c r="P301" s="231" t="s">
        <v>447</v>
      </c>
      <c r="Q301" s="234" t="s">
        <v>488</v>
      </c>
      <c r="R301" s="227">
        <v>44286</v>
      </c>
    </row>
    <row r="302" spans="1:18" ht="30" x14ac:dyDescent="0.25">
      <c r="A302" s="233" t="s">
        <v>263</v>
      </c>
      <c r="B302" s="76">
        <v>25</v>
      </c>
      <c r="C302" s="222" t="s">
        <v>42</v>
      </c>
      <c r="D302" s="214" t="s">
        <v>22</v>
      </c>
      <c r="E302" s="222" t="s">
        <v>111</v>
      </c>
      <c r="F302" s="214" t="s">
        <v>111</v>
      </c>
      <c r="G302" s="108" t="s">
        <v>111</v>
      </c>
      <c r="H302" s="76">
        <v>30</v>
      </c>
      <c r="I302" s="222"/>
      <c r="J302" s="214"/>
      <c r="K302" s="222"/>
      <c r="L302" s="214"/>
      <c r="M302" s="108"/>
      <c r="N302" s="222" t="s">
        <v>11</v>
      </c>
      <c r="O302" s="229" t="s">
        <v>23</v>
      </c>
      <c r="P302" s="222" t="s">
        <v>13</v>
      </c>
      <c r="Q302" s="234"/>
      <c r="R302" s="228"/>
    </row>
    <row r="303" spans="1:18" ht="45" x14ac:dyDescent="0.25">
      <c r="A303" s="233" t="s">
        <v>264</v>
      </c>
      <c r="B303" s="76">
        <v>26</v>
      </c>
      <c r="C303" s="222" t="s">
        <v>396</v>
      </c>
      <c r="D303" s="214" t="s">
        <v>35</v>
      </c>
      <c r="E303" s="222" t="s">
        <v>16</v>
      </c>
      <c r="F303" s="214" t="s">
        <v>111</v>
      </c>
      <c r="G303" s="108">
        <v>2.5999460000000001</v>
      </c>
      <c r="H303" s="76">
        <v>4</v>
      </c>
      <c r="I303" s="222" t="s">
        <v>467</v>
      </c>
      <c r="J303" s="214" t="s">
        <v>35</v>
      </c>
      <c r="K303" s="222" t="s">
        <v>10</v>
      </c>
      <c r="L303" s="214"/>
      <c r="M303" s="108">
        <v>0.813523</v>
      </c>
      <c r="N303" s="222" t="s">
        <v>11</v>
      </c>
      <c r="O303" s="223" t="s">
        <v>386</v>
      </c>
      <c r="P303" s="231" t="s">
        <v>447</v>
      </c>
      <c r="Q303" s="150" t="s">
        <v>593</v>
      </c>
      <c r="R303" s="227">
        <v>44286</v>
      </c>
    </row>
    <row r="304" spans="1:18" ht="30" x14ac:dyDescent="0.25">
      <c r="A304" s="233" t="s">
        <v>265</v>
      </c>
      <c r="B304" s="76">
        <v>16</v>
      </c>
      <c r="C304" s="222" t="s">
        <v>42</v>
      </c>
      <c r="D304" s="214" t="s">
        <v>35</v>
      </c>
      <c r="E304" s="222" t="s">
        <v>111</v>
      </c>
      <c r="F304" s="214" t="s">
        <v>111</v>
      </c>
      <c r="G304" s="108" t="s">
        <v>111</v>
      </c>
      <c r="H304" s="76">
        <v>16</v>
      </c>
      <c r="I304" s="222" t="s">
        <v>26</v>
      </c>
      <c r="J304" s="273" t="s">
        <v>35</v>
      </c>
      <c r="K304" s="222" t="s">
        <v>16</v>
      </c>
      <c r="L304" s="214" t="s">
        <v>111</v>
      </c>
      <c r="M304" s="108">
        <v>11.879782000000001</v>
      </c>
      <c r="N304" s="222" t="s">
        <v>11</v>
      </c>
      <c r="O304" s="223" t="s">
        <v>386</v>
      </c>
      <c r="P304" s="214" t="s">
        <v>213</v>
      </c>
      <c r="Q304" s="234"/>
      <c r="R304" s="228"/>
    </row>
    <row r="305" spans="1:18" x14ac:dyDescent="0.25">
      <c r="A305" s="233" t="s">
        <v>266</v>
      </c>
      <c r="B305" s="76">
        <v>46</v>
      </c>
      <c r="C305" s="222" t="s">
        <v>396</v>
      </c>
      <c r="D305" s="214" t="s">
        <v>270</v>
      </c>
      <c r="E305" s="222" t="s">
        <v>16</v>
      </c>
      <c r="F305" s="214" t="s">
        <v>111</v>
      </c>
      <c r="G305" s="108">
        <v>46</v>
      </c>
      <c r="H305" s="76">
        <v>0</v>
      </c>
      <c r="I305" s="222"/>
      <c r="J305" s="214"/>
      <c r="K305" s="222"/>
      <c r="L305" s="214"/>
      <c r="M305" s="108"/>
      <c r="N305" s="222" t="s">
        <v>11</v>
      </c>
      <c r="O305" s="223" t="s">
        <v>388</v>
      </c>
      <c r="P305" s="214" t="s">
        <v>213</v>
      </c>
      <c r="Q305" s="234"/>
      <c r="R305" s="228"/>
    </row>
    <row r="306" spans="1:18" ht="30" customHeight="1" x14ac:dyDescent="0.25">
      <c r="A306" s="419" t="s">
        <v>267</v>
      </c>
      <c r="B306" s="384">
        <v>50</v>
      </c>
      <c r="C306" s="222" t="s">
        <v>396</v>
      </c>
      <c r="D306" s="214" t="s">
        <v>402</v>
      </c>
      <c r="E306" s="222" t="s">
        <v>16</v>
      </c>
      <c r="F306" s="214" t="s">
        <v>111</v>
      </c>
      <c r="G306" s="108">
        <v>5.5008489999999997</v>
      </c>
      <c r="H306" s="384">
        <v>5</v>
      </c>
      <c r="I306" s="222"/>
      <c r="J306" s="214"/>
      <c r="K306" s="222"/>
      <c r="L306" s="214"/>
      <c r="M306" s="108"/>
      <c r="N306" s="378" t="s">
        <v>11</v>
      </c>
      <c r="O306" s="389" t="s">
        <v>388</v>
      </c>
      <c r="P306" s="231" t="s">
        <v>447</v>
      </c>
      <c r="Q306" s="135" t="s">
        <v>508</v>
      </c>
      <c r="R306" s="235">
        <v>44286</v>
      </c>
    </row>
    <row r="307" spans="1:18" s="52" customFormat="1" ht="30" customHeight="1" x14ac:dyDescent="0.25">
      <c r="A307" s="420"/>
      <c r="B307" s="410"/>
      <c r="C307" s="378" t="s">
        <v>396</v>
      </c>
      <c r="D307" s="384" t="s">
        <v>403</v>
      </c>
      <c r="E307" s="378" t="s">
        <v>16</v>
      </c>
      <c r="F307" s="384" t="s">
        <v>111</v>
      </c>
      <c r="G307" s="393">
        <v>0.50501499999999999</v>
      </c>
      <c r="H307" s="410"/>
      <c r="I307" s="215" t="s">
        <v>467</v>
      </c>
      <c r="J307" s="214" t="s">
        <v>403</v>
      </c>
      <c r="K307" s="222" t="s">
        <v>16</v>
      </c>
      <c r="L307" s="214" t="s">
        <v>111</v>
      </c>
      <c r="M307" s="122">
        <v>6.6402000000000003E-2</v>
      </c>
      <c r="N307" s="379"/>
      <c r="O307" s="390"/>
      <c r="P307" s="392" t="s">
        <v>447</v>
      </c>
      <c r="Q307" s="474" t="s">
        <v>564</v>
      </c>
      <c r="R307" s="525">
        <v>44286</v>
      </c>
    </row>
    <row r="308" spans="1:18" s="52" customFormat="1" ht="30" customHeight="1" x14ac:dyDescent="0.25">
      <c r="A308" s="420"/>
      <c r="B308" s="410"/>
      <c r="C308" s="379"/>
      <c r="D308" s="410"/>
      <c r="E308" s="379"/>
      <c r="F308" s="410"/>
      <c r="G308" s="394"/>
      <c r="H308" s="410"/>
      <c r="I308" s="215" t="s">
        <v>467</v>
      </c>
      <c r="J308" s="214" t="s">
        <v>403</v>
      </c>
      <c r="K308" s="222" t="s">
        <v>10</v>
      </c>
      <c r="L308" s="214"/>
      <c r="M308" s="124">
        <v>1.7929E-2</v>
      </c>
      <c r="N308" s="379"/>
      <c r="O308" s="390"/>
      <c r="P308" s="392"/>
      <c r="Q308" s="475"/>
      <c r="R308" s="526"/>
    </row>
    <row r="309" spans="1:18" s="52" customFormat="1" x14ac:dyDescent="0.25">
      <c r="A309" s="421"/>
      <c r="B309" s="385"/>
      <c r="C309" s="380"/>
      <c r="D309" s="385"/>
      <c r="E309" s="380"/>
      <c r="F309" s="385"/>
      <c r="G309" s="395"/>
      <c r="H309" s="385"/>
      <c r="I309" s="279" t="s">
        <v>26</v>
      </c>
      <c r="J309" s="273" t="s">
        <v>403</v>
      </c>
      <c r="K309" s="269" t="s">
        <v>16</v>
      </c>
      <c r="L309" s="273" t="s">
        <v>111</v>
      </c>
      <c r="M309" s="294">
        <v>0.439139</v>
      </c>
      <c r="N309" s="380"/>
      <c r="O309" s="391"/>
      <c r="P309" s="392"/>
      <c r="Q309" s="476"/>
      <c r="R309" s="527"/>
    </row>
    <row r="310" spans="1:18" x14ac:dyDescent="0.25">
      <c r="A310" s="419" t="s">
        <v>268</v>
      </c>
      <c r="B310" s="384">
        <v>0</v>
      </c>
      <c r="C310" s="378" t="s">
        <v>42</v>
      </c>
      <c r="D310" s="217" t="s">
        <v>140</v>
      </c>
      <c r="E310" s="237" t="s">
        <v>111</v>
      </c>
      <c r="F310" s="213" t="s">
        <v>111</v>
      </c>
      <c r="G310" s="108" t="s">
        <v>111</v>
      </c>
      <c r="H310" s="384">
        <v>98</v>
      </c>
      <c r="I310" s="132"/>
      <c r="J310" s="217"/>
      <c r="K310" s="222"/>
      <c r="L310" s="213"/>
      <c r="M310" s="108"/>
      <c r="N310" s="222" t="s">
        <v>362</v>
      </c>
      <c r="O310" s="222"/>
      <c r="P310" s="222"/>
      <c r="Q310" s="234"/>
      <c r="R310" s="228"/>
    </row>
    <row r="311" spans="1:18" s="52" customFormat="1" ht="30" x14ac:dyDescent="0.25">
      <c r="A311" s="420"/>
      <c r="B311" s="410"/>
      <c r="C311" s="379"/>
      <c r="D311" s="384" t="s">
        <v>35</v>
      </c>
      <c r="E311" s="414" t="s">
        <v>111</v>
      </c>
      <c r="F311" s="384" t="s">
        <v>111</v>
      </c>
      <c r="G311" s="401" t="s">
        <v>111</v>
      </c>
      <c r="H311" s="410"/>
      <c r="I311" s="222" t="s">
        <v>467</v>
      </c>
      <c r="J311" s="214" t="s">
        <v>35</v>
      </c>
      <c r="K311" s="222" t="s">
        <v>16</v>
      </c>
      <c r="L311" s="212" t="s">
        <v>111</v>
      </c>
      <c r="M311" s="266">
        <v>92.579048999999998</v>
      </c>
      <c r="N311" s="378" t="s">
        <v>362</v>
      </c>
      <c r="O311" s="378"/>
      <c r="P311" s="378"/>
      <c r="Q311" s="378"/>
      <c r="R311" s="459"/>
    </row>
    <row r="312" spans="1:18" s="52" customFormat="1" ht="30" x14ac:dyDescent="0.25">
      <c r="A312" s="421"/>
      <c r="B312" s="385"/>
      <c r="C312" s="380"/>
      <c r="D312" s="385"/>
      <c r="E312" s="414"/>
      <c r="F312" s="385"/>
      <c r="G312" s="402"/>
      <c r="H312" s="385"/>
      <c r="I312" s="222" t="s">
        <v>467</v>
      </c>
      <c r="J312" s="214" t="s">
        <v>35</v>
      </c>
      <c r="K312" s="222" t="s">
        <v>10</v>
      </c>
      <c r="L312" s="211"/>
      <c r="M312" s="266">
        <v>5.9055989999999996</v>
      </c>
      <c r="N312" s="380"/>
      <c r="O312" s="380"/>
      <c r="P312" s="380"/>
      <c r="Q312" s="380"/>
      <c r="R312" s="460"/>
    </row>
    <row r="313" spans="1:18" ht="45" x14ac:dyDescent="0.25">
      <c r="A313" s="233" t="s">
        <v>269</v>
      </c>
      <c r="B313" s="214">
        <v>188</v>
      </c>
      <c r="C313" s="222" t="s">
        <v>396</v>
      </c>
      <c r="D313" s="214" t="s">
        <v>340</v>
      </c>
      <c r="E313" s="222" t="s">
        <v>16</v>
      </c>
      <c r="F313" s="214" t="s">
        <v>111</v>
      </c>
      <c r="G313" s="108">
        <v>187.5</v>
      </c>
      <c r="H313" s="214">
        <v>0</v>
      </c>
      <c r="I313" s="222" t="s">
        <v>26</v>
      </c>
      <c r="J313" s="273" t="s">
        <v>340</v>
      </c>
      <c r="K313" s="269" t="s">
        <v>16</v>
      </c>
      <c r="L313" s="273" t="s">
        <v>111</v>
      </c>
      <c r="M313" s="108">
        <v>95</v>
      </c>
      <c r="N313" s="222" t="s">
        <v>11</v>
      </c>
      <c r="O313" s="223" t="s">
        <v>387</v>
      </c>
      <c r="P313" s="231" t="s">
        <v>447</v>
      </c>
      <c r="Q313" s="234" t="s">
        <v>570</v>
      </c>
      <c r="R313" s="227">
        <v>44347</v>
      </c>
    </row>
    <row r="314" spans="1:18" s="52" customFormat="1" x14ac:dyDescent="0.25">
      <c r="A314" s="233" t="s">
        <v>623</v>
      </c>
      <c r="B314" s="214">
        <v>0</v>
      </c>
      <c r="C314" s="245" t="s">
        <v>42</v>
      </c>
      <c r="D314" s="248" t="s">
        <v>111</v>
      </c>
      <c r="E314" s="248" t="s">
        <v>111</v>
      </c>
      <c r="F314" s="248" t="s">
        <v>111</v>
      </c>
      <c r="G314" s="108" t="s">
        <v>111</v>
      </c>
      <c r="H314" s="214">
        <v>105</v>
      </c>
      <c r="I314" s="222"/>
      <c r="J314" s="214"/>
      <c r="K314" s="222"/>
      <c r="L314" s="214"/>
      <c r="M314" s="108"/>
      <c r="N314" s="222"/>
      <c r="O314" s="223"/>
      <c r="P314" s="231"/>
      <c r="Q314" s="234"/>
      <c r="R314" s="227"/>
    </row>
    <row r="315" spans="1:18" s="52" customFormat="1" ht="30" x14ac:dyDescent="0.25">
      <c r="A315" s="233" t="s">
        <v>624</v>
      </c>
      <c r="B315" s="214">
        <v>0</v>
      </c>
      <c r="C315" s="245" t="s">
        <v>42</v>
      </c>
      <c r="D315" s="248" t="s">
        <v>111</v>
      </c>
      <c r="E315" s="248" t="s">
        <v>111</v>
      </c>
      <c r="F315" s="248" t="s">
        <v>111</v>
      </c>
      <c r="G315" s="108" t="s">
        <v>111</v>
      </c>
      <c r="H315" s="214">
        <v>4</v>
      </c>
      <c r="I315" s="222"/>
      <c r="J315" s="214"/>
      <c r="K315" s="222"/>
      <c r="L315" s="214"/>
      <c r="M315" s="108"/>
      <c r="N315" s="222"/>
      <c r="O315" s="223"/>
      <c r="P315" s="231"/>
      <c r="Q315" s="234"/>
      <c r="R315" s="227"/>
    </row>
    <row r="316" spans="1:18" s="52" customFormat="1" x14ac:dyDescent="0.25">
      <c r="A316" s="233" t="s">
        <v>625</v>
      </c>
      <c r="B316" s="214">
        <v>0</v>
      </c>
      <c r="C316" s="245" t="s">
        <v>42</v>
      </c>
      <c r="D316" s="248" t="s">
        <v>111</v>
      </c>
      <c r="E316" s="248" t="s">
        <v>111</v>
      </c>
      <c r="F316" s="248" t="s">
        <v>111</v>
      </c>
      <c r="G316" s="108" t="s">
        <v>111</v>
      </c>
      <c r="H316" s="214">
        <v>425</v>
      </c>
      <c r="I316" s="222" t="s">
        <v>26</v>
      </c>
      <c r="J316" s="286" t="s">
        <v>192</v>
      </c>
      <c r="K316" s="287" t="s">
        <v>16</v>
      </c>
      <c r="L316" s="286" t="s">
        <v>111</v>
      </c>
      <c r="M316" s="108">
        <v>100</v>
      </c>
      <c r="N316" s="287" t="s">
        <v>362</v>
      </c>
      <c r="O316" s="223"/>
      <c r="P316" s="231"/>
      <c r="Q316" s="234"/>
      <c r="R316" s="227"/>
    </row>
    <row r="317" spans="1:18" s="52" customFormat="1" x14ac:dyDescent="0.25">
      <c r="A317" s="233" t="s">
        <v>626</v>
      </c>
      <c r="B317" s="214">
        <v>0</v>
      </c>
      <c r="C317" s="245" t="s">
        <v>42</v>
      </c>
      <c r="D317" s="248" t="s">
        <v>111</v>
      </c>
      <c r="E317" s="248" t="s">
        <v>111</v>
      </c>
      <c r="F317" s="248" t="s">
        <v>111</v>
      </c>
      <c r="G317" s="108" t="s">
        <v>111</v>
      </c>
      <c r="H317" s="214">
        <v>222</v>
      </c>
      <c r="I317" s="222" t="s">
        <v>26</v>
      </c>
      <c r="J317" s="214" t="s">
        <v>192</v>
      </c>
      <c r="K317" s="222" t="s">
        <v>16</v>
      </c>
      <c r="L317" s="214" t="s">
        <v>111</v>
      </c>
      <c r="M317" s="108">
        <v>150</v>
      </c>
      <c r="N317" s="222" t="s">
        <v>362</v>
      </c>
      <c r="O317" s="223"/>
      <c r="P317" s="231"/>
      <c r="Q317" s="234"/>
      <c r="R317" s="227"/>
    </row>
    <row r="318" spans="1:18" s="52" customFormat="1" x14ac:dyDescent="0.25">
      <c r="A318" s="233" t="s">
        <v>627</v>
      </c>
      <c r="B318" s="214">
        <v>0</v>
      </c>
      <c r="C318" s="245" t="s">
        <v>42</v>
      </c>
      <c r="D318" s="248" t="s">
        <v>111</v>
      </c>
      <c r="E318" s="248" t="s">
        <v>111</v>
      </c>
      <c r="F318" s="248" t="s">
        <v>111</v>
      </c>
      <c r="G318" s="108" t="s">
        <v>111</v>
      </c>
      <c r="H318" s="214">
        <v>100</v>
      </c>
      <c r="I318" s="222"/>
      <c r="J318" s="214"/>
      <c r="K318" s="222"/>
      <c r="L318" s="214"/>
      <c r="M318" s="108"/>
      <c r="N318" s="222"/>
      <c r="O318" s="223"/>
      <c r="P318" s="231"/>
      <c r="Q318" s="234"/>
      <c r="R318" s="227"/>
    </row>
    <row r="319" spans="1:18" s="52" customFormat="1" x14ac:dyDescent="0.25">
      <c r="A319" s="233" t="s">
        <v>628</v>
      </c>
      <c r="B319" s="214">
        <v>0</v>
      </c>
      <c r="C319" s="245" t="s">
        <v>42</v>
      </c>
      <c r="D319" s="248" t="s">
        <v>111</v>
      </c>
      <c r="E319" s="248" t="s">
        <v>111</v>
      </c>
      <c r="F319" s="248" t="s">
        <v>111</v>
      </c>
      <c r="G319" s="108" t="s">
        <v>111</v>
      </c>
      <c r="H319" s="214">
        <v>21</v>
      </c>
      <c r="I319" s="222"/>
      <c r="J319" s="214"/>
      <c r="K319" s="222"/>
      <c r="L319" s="214"/>
      <c r="M319" s="108"/>
      <c r="N319" s="222"/>
      <c r="O319" s="223"/>
      <c r="P319" s="231"/>
      <c r="Q319" s="234"/>
      <c r="R319" s="227"/>
    </row>
    <row r="320" spans="1:18" s="52" customFormat="1" x14ac:dyDescent="0.25">
      <c r="A320" s="233" t="s">
        <v>629</v>
      </c>
      <c r="B320" s="214">
        <v>0</v>
      </c>
      <c r="C320" s="245" t="s">
        <v>42</v>
      </c>
      <c r="D320" s="248" t="s">
        <v>111</v>
      </c>
      <c r="E320" s="248" t="s">
        <v>111</v>
      </c>
      <c r="F320" s="248" t="s">
        <v>111</v>
      </c>
      <c r="G320" s="108" t="s">
        <v>111</v>
      </c>
      <c r="H320" s="214">
        <v>23</v>
      </c>
      <c r="I320" s="222"/>
      <c r="J320" s="214"/>
      <c r="K320" s="222"/>
      <c r="L320" s="214"/>
      <c r="M320" s="108"/>
      <c r="N320" s="222"/>
      <c r="O320" s="223"/>
      <c r="P320" s="231"/>
      <c r="Q320" s="234"/>
      <c r="R320" s="227"/>
    </row>
    <row r="321" spans="1:18" s="52" customFormat="1" x14ac:dyDescent="0.25">
      <c r="A321" s="233" t="s">
        <v>630</v>
      </c>
      <c r="B321" s="214">
        <v>0</v>
      </c>
      <c r="C321" s="245" t="s">
        <v>42</v>
      </c>
      <c r="D321" s="248" t="s">
        <v>111</v>
      </c>
      <c r="E321" s="248" t="s">
        <v>111</v>
      </c>
      <c r="F321" s="248" t="s">
        <v>111</v>
      </c>
      <c r="G321" s="108" t="s">
        <v>111</v>
      </c>
      <c r="H321" s="214">
        <v>5</v>
      </c>
      <c r="I321" s="222"/>
      <c r="J321" s="214"/>
      <c r="K321" s="222"/>
      <c r="L321" s="214"/>
      <c r="M321" s="108"/>
      <c r="N321" s="222"/>
      <c r="O321" s="223"/>
      <c r="P321" s="231"/>
      <c r="Q321" s="234"/>
      <c r="R321" s="227"/>
    </row>
    <row r="322" spans="1:18" s="52" customFormat="1" ht="30" x14ac:dyDescent="0.25">
      <c r="A322" s="233" t="s">
        <v>632</v>
      </c>
      <c r="B322" s="214">
        <v>0</v>
      </c>
      <c r="C322" s="245" t="s">
        <v>42</v>
      </c>
      <c r="D322" s="248" t="s">
        <v>111</v>
      </c>
      <c r="E322" s="248" t="s">
        <v>111</v>
      </c>
      <c r="F322" s="248" t="s">
        <v>111</v>
      </c>
      <c r="G322" s="108" t="s">
        <v>111</v>
      </c>
      <c r="H322" s="214">
        <v>117</v>
      </c>
      <c r="I322" s="313" t="s">
        <v>26</v>
      </c>
      <c r="J322" s="325" t="s">
        <v>231</v>
      </c>
      <c r="K322" s="325" t="s">
        <v>16</v>
      </c>
      <c r="L322" s="325" t="s">
        <v>111</v>
      </c>
      <c r="M322" s="108">
        <v>117</v>
      </c>
      <c r="N322" s="222" t="s">
        <v>11</v>
      </c>
      <c r="O322" s="314" t="s">
        <v>38</v>
      </c>
      <c r="P322" s="318" t="s">
        <v>13</v>
      </c>
      <c r="Q322" s="234"/>
      <c r="R322" s="227"/>
    </row>
    <row r="323" spans="1:18" s="52" customFormat="1" x14ac:dyDescent="0.25">
      <c r="A323" s="233" t="s">
        <v>633</v>
      </c>
      <c r="B323" s="214">
        <v>0</v>
      </c>
      <c r="C323" s="245" t="s">
        <v>42</v>
      </c>
      <c r="D323" s="248" t="s">
        <v>111</v>
      </c>
      <c r="E323" s="248" t="s">
        <v>111</v>
      </c>
      <c r="F323" s="248" t="s">
        <v>111</v>
      </c>
      <c r="G323" s="108" t="s">
        <v>111</v>
      </c>
      <c r="H323" s="214">
        <v>33</v>
      </c>
      <c r="I323" s="313"/>
      <c r="J323" s="315"/>
      <c r="K323" s="313"/>
      <c r="L323" s="315"/>
      <c r="M323" s="108"/>
      <c r="N323" s="222"/>
      <c r="O323" s="223"/>
      <c r="P323" s="231"/>
      <c r="Q323" s="234"/>
      <c r="R323" s="227"/>
    </row>
    <row r="324" spans="1:18" x14ac:dyDescent="0.25">
      <c r="A324" s="233" t="s">
        <v>634</v>
      </c>
      <c r="B324" s="214">
        <v>0</v>
      </c>
      <c r="C324" s="245" t="s">
        <v>42</v>
      </c>
      <c r="D324" s="248" t="s">
        <v>111</v>
      </c>
      <c r="E324" s="248" t="s">
        <v>111</v>
      </c>
      <c r="F324" s="248" t="s">
        <v>111</v>
      </c>
      <c r="G324" s="108" t="s">
        <v>111</v>
      </c>
      <c r="H324" s="214">
        <v>102</v>
      </c>
      <c r="I324" s="325" t="s">
        <v>26</v>
      </c>
      <c r="J324" s="325" t="s">
        <v>231</v>
      </c>
      <c r="K324" s="325" t="s">
        <v>16</v>
      </c>
      <c r="L324" s="325" t="s">
        <v>111</v>
      </c>
      <c r="M324" s="327">
        <f>75.3+26.259103</f>
        <v>101.55910299999999</v>
      </c>
      <c r="N324" s="325" t="s">
        <v>11</v>
      </c>
      <c r="O324" s="314" t="s">
        <v>38</v>
      </c>
      <c r="P324" s="318" t="s">
        <v>13</v>
      </c>
      <c r="Q324" s="53"/>
      <c r="R324" s="9"/>
    </row>
    <row r="325" spans="1:18" s="52" customFormat="1" ht="15.75" thickBot="1" x14ac:dyDescent="0.3">
      <c r="A325" s="220" t="s">
        <v>635</v>
      </c>
      <c r="B325" s="211">
        <v>0</v>
      </c>
      <c r="C325" s="245" t="s">
        <v>42</v>
      </c>
      <c r="D325" s="248" t="s">
        <v>111</v>
      </c>
      <c r="E325" s="248" t="s">
        <v>111</v>
      </c>
      <c r="F325" s="248" t="s">
        <v>111</v>
      </c>
      <c r="G325" s="108" t="s">
        <v>111</v>
      </c>
      <c r="H325" s="211">
        <v>39</v>
      </c>
      <c r="I325" s="326"/>
      <c r="J325" s="326"/>
      <c r="K325" s="326"/>
      <c r="L325" s="326"/>
      <c r="M325" s="50"/>
      <c r="N325" s="50"/>
      <c r="O325" s="50"/>
      <c r="P325" s="50"/>
      <c r="Q325" s="50"/>
      <c r="R325" s="48"/>
    </row>
    <row r="326" spans="1:18" ht="15.75" thickBot="1" x14ac:dyDescent="0.3">
      <c r="A326" s="24" t="s">
        <v>338</v>
      </c>
      <c r="B326" s="81">
        <f>SUM(B4:B325)</f>
        <v>234270</v>
      </c>
      <c r="C326" s="22"/>
      <c r="D326" s="22"/>
      <c r="E326" s="22"/>
      <c r="F326" s="22"/>
      <c r="G326" s="37">
        <f>SUM(G4:G325)</f>
        <v>113011.999396</v>
      </c>
      <c r="H326" s="81">
        <f>SUM(H4:H325)</f>
        <v>60252</v>
      </c>
      <c r="I326" s="22"/>
      <c r="J326" s="22"/>
      <c r="K326" s="22"/>
      <c r="L326" s="22"/>
      <c r="M326" s="37">
        <f>SUM(M4:M325)</f>
        <v>18917.156024999993</v>
      </c>
      <c r="N326" s="22"/>
      <c r="O326" s="22"/>
      <c r="P326" s="22"/>
      <c r="Q326" s="22"/>
      <c r="R326" s="23"/>
    </row>
    <row r="327" spans="1:18" s="52" customFormat="1" ht="15.75" thickBot="1" x14ac:dyDescent="0.3">
      <c r="A327" s="24" t="s">
        <v>472</v>
      </c>
      <c r="B327" s="71"/>
      <c r="C327" s="22"/>
      <c r="D327" s="22"/>
      <c r="E327" s="22"/>
      <c r="F327" s="22"/>
      <c r="G327" s="37">
        <f>SUMIF(C4:C325,"*Supps A*",G4:G325)</f>
        <v>77334.329612999994</v>
      </c>
      <c r="H327" s="71"/>
      <c r="I327" s="22"/>
      <c r="J327" s="22"/>
      <c r="K327" s="22"/>
      <c r="L327" s="22"/>
      <c r="M327" s="205" t="s">
        <v>111</v>
      </c>
      <c r="N327" s="64"/>
      <c r="O327" s="22"/>
      <c r="P327" s="22"/>
      <c r="Q327" s="22"/>
      <c r="R327" s="23"/>
    </row>
    <row r="328" spans="1:18" s="52" customFormat="1" ht="15.75" thickBot="1" x14ac:dyDescent="0.3">
      <c r="A328" s="24" t="s">
        <v>473</v>
      </c>
      <c r="B328" s="71"/>
      <c r="C328" s="22"/>
      <c r="D328" s="22"/>
      <c r="E328" s="22"/>
      <c r="F328" s="22"/>
      <c r="G328" s="37">
        <f>SUMIF(C4:C325,"*Supps B*",G4:G325)</f>
        <v>36072.668049000007</v>
      </c>
      <c r="H328" s="71"/>
      <c r="I328" s="22"/>
      <c r="J328" s="22"/>
      <c r="K328" s="22"/>
      <c r="L328" s="22"/>
      <c r="M328" s="205" t="s">
        <v>111</v>
      </c>
      <c r="N328" s="22"/>
      <c r="O328" s="22"/>
      <c r="P328" s="22"/>
      <c r="Q328" s="22"/>
      <c r="R328" s="23"/>
    </row>
    <row r="329" spans="1:18" s="52" customFormat="1" ht="15.75" thickBot="1" x14ac:dyDescent="0.3">
      <c r="A329" s="60" t="s">
        <v>474</v>
      </c>
      <c r="B329" s="141"/>
      <c r="C329" s="61"/>
      <c r="D329" s="61"/>
      <c r="E329" s="61"/>
      <c r="F329" s="61"/>
      <c r="G329" s="333">
        <f>SUMIF(C4:C325,"*Supps C*",G4:G325)</f>
        <v>-394.99826600000245</v>
      </c>
      <c r="H329" s="141"/>
      <c r="I329" s="61"/>
      <c r="J329" s="61"/>
      <c r="K329" s="61"/>
      <c r="L329" s="61"/>
      <c r="M329" s="205" t="s">
        <v>111</v>
      </c>
      <c r="N329" s="61"/>
      <c r="O329" s="61"/>
      <c r="P329" s="61"/>
      <c r="Q329" s="61"/>
      <c r="R329" s="63"/>
    </row>
    <row r="330" spans="1:18" ht="15.75" thickBot="1" x14ac:dyDescent="0.3">
      <c r="A330" s="208" t="s">
        <v>475</v>
      </c>
      <c r="B330" s="61"/>
      <c r="C330" s="61"/>
      <c r="D330" s="61"/>
      <c r="E330" s="61"/>
      <c r="F330" s="61"/>
      <c r="G330" s="209" t="s">
        <v>111</v>
      </c>
      <c r="H330" s="61"/>
      <c r="I330" s="61"/>
      <c r="J330" s="61"/>
      <c r="K330" s="61"/>
      <c r="L330" s="61"/>
      <c r="M330" s="62">
        <f>SUMIF(I4:I325,"*Mains*",M4:M325)</f>
        <v>12366.440100999993</v>
      </c>
      <c r="N330" s="61"/>
      <c r="O330" s="61"/>
      <c r="P330" s="61"/>
      <c r="Q330" s="61"/>
      <c r="R330" s="63"/>
    </row>
    <row r="331" spans="1:18" s="52" customFormat="1" ht="15.75" thickBot="1" x14ac:dyDescent="0.3">
      <c r="A331" s="140" t="s">
        <v>636</v>
      </c>
      <c r="B331" s="22"/>
      <c r="C331" s="22"/>
      <c r="D331" s="22"/>
      <c r="E331" s="22"/>
      <c r="F331" s="22"/>
      <c r="G331" s="210" t="s">
        <v>111</v>
      </c>
      <c r="H331" s="22"/>
      <c r="I331" s="22"/>
      <c r="J331" s="22"/>
      <c r="K331" s="22"/>
      <c r="L331" s="22"/>
      <c r="M331" s="37">
        <f>SUMIF(I4:I325,"*Supps A*",M4:M325)</f>
        <v>6550.7159239999992</v>
      </c>
      <c r="N331" s="22"/>
      <c r="O331" s="22"/>
      <c r="P331" s="22"/>
      <c r="Q331" s="22"/>
      <c r="R331" s="23"/>
    </row>
    <row r="332" spans="1:18" s="52" customFormat="1" x14ac:dyDescent="0.25"/>
    <row r="333" spans="1:18" s="52" customFormat="1" ht="17.25" x14ac:dyDescent="0.25">
      <c r="A333" s="82" t="s">
        <v>616</v>
      </c>
    </row>
    <row r="334" spans="1:18" s="52" customFormat="1" x14ac:dyDescent="0.25">
      <c r="A334" s="82" t="s">
        <v>495</v>
      </c>
    </row>
    <row r="335" spans="1:18" x14ac:dyDescent="0.25">
      <c r="A335" s="54" t="s">
        <v>374</v>
      </c>
      <c r="B335" s="54"/>
      <c r="H335" s="54"/>
    </row>
    <row r="336" spans="1:18" s="52" customFormat="1" x14ac:dyDescent="0.25">
      <c r="A336" s="51" t="s">
        <v>618</v>
      </c>
      <c r="B336" s="54"/>
      <c r="H336" s="54"/>
    </row>
    <row r="337" spans="1:1" x14ac:dyDescent="0.25">
      <c r="A337" s="51" t="s">
        <v>462</v>
      </c>
    </row>
    <row r="338" spans="1:1" x14ac:dyDescent="0.25">
      <c r="A338" s="51" t="s">
        <v>461</v>
      </c>
    </row>
  </sheetData>
  <mergeCells count="795">
    <mergeCell ref="H280:H283"/>
    <mergeCell ref="H285:H296"/>
    <mergeCell ref="H297:H298"/>
    <mergeCell ref="H299:H300"/>
    <mergeCell ref="H306:H309"/>
    <mergeCell ref="H310:H312"/>
    <mergeCell ref="H210:H215"/>
    <mergeCell ref="H219:H222"/>
    <mergeCell ref="H224:H250"/>
    <mergeCell ref="H253:H254"/>
    <mergeCell ref="H255:H259"/>
    <mergeCell ref="H260:H262"/>
    <mergeCell ref="H267:H271"/>
    <mergeCell ref="H272:H274"/>
    <mergeCell ref="H275:H277"/>
    <mergeCell ref="H153:H160"/>
    <mergeCell ref="H161:H167"/>
    <mergeCell ref="H169:H174"/>
    <mergeCell ref="H175:H177"/>
    <mergeCell ref="H178:H182"/>
    <mergeCell ref="H183:H194"/>
    <mergeCell ref="H195:H197"/>
    <mergeCell ref="H198:H199"/>
    <mergeCell ref="H200:H203"/>
    <mergeCell ref="M260:M262"/>
    <mergeCell ref="I260:I262"/>
    <mergeCell ref="J260:J262"/>
    <mergeCell ref="K260:K262"/>
    <mergeCell ref="L260:L262"/>
    <mergeCell ref="J275:J276"/>
    <mergeCell ref="K275:K276"/>
    <mergeCell ref="L275:L276"/>
    <mergeCell ref="B2:G2"/>
    <mergeCell ref="H2:M2"/>
    <mergeCell ref="H15:H65"/>
    <mergeCell ref="H67:H68"/>
    <mergeCell ref="H69:H70"/>
    <mergeCell ref="H72:H74"/>
    <mergeCell ref="H75:H90"/>
    <mergeCell ref="H97:H101"/>
    <mergeCell ref="H104:H105"/>
    <mergeCell ref="M72:M74"/>
    <mergeCell ref="I72:I74"/>
    <mergeCell ref="J72:J74"/>
    <mergeCell ref="K72:K74"/>
    <mergeCell ref="L72:L74"/>
    <mergeCell ref="M97:M101"/>
    <mergeCell ref="I97:I101"/>
    <mergeCell ref="M253:M254"/>
    <mergeCell ref="I253:I254"/>
    <mergeCell ref="J253:J254"/>
    <mergeCell ref="K253:K254"/>
    <mergeCell ref="L253:L254"/>
    <mergeCell ref="M255:M259"/>
    <mergeCell ref="I255:I259"/>
    <mergeCell ref="J255:J259"/>
    <mergeCell ref="K255:K259"/>
    <mergeCell ref="L255:L259"/>
    <mergeCell ref="M242:M243"/>
    <mergeCell ref="I242:I243"/>
    <mergeCell ref="J242:J243"/>
    <mergeCell ref="K242:K243"/>
    <mergeCell ref="L242:L243"/>
    <mergeCell ref="I244:I245"/>
    <mergeCell ref="J244:J245"/>
    <mergeCell ref="K244:K245"/>
    <mergeCell ref="L244:L245"/>
    <mergeCell ref="M244:M245"/>
    <mergeCell ref="M236:M237"/>
    <mergeCell ref="I236:I237"/>
    <mergeCell ref="J236:J237"/>
    <mergeCell ref="K236:K237"/>
    <mergeCell ref="L236:L237"/>
    <mergeCell ref="M238:M241"/>
    <mergeCell ref="I238:I241"/>
    <mergeCell ref="J238:J241"/>
    <mergeCell ref="K238:K241"/>
    <mergeCell ref="L238:L241"/>
    <mergeCell ref="M226:M229"/>
    <mergeCell ref="I226:I229"/>
    <mergeCell ref="J226:J229"/>
    <mergeCell ref="K226:K229"/>
    <mergeCell ref="L226:L229"/>
    <mergeCell ref="I230:I233"/>
    <mergeCell ref="J230:J233"/>
    <mergeCell ref="K230:K233"/>
    <mergeCell ref="L230:L233"/>
    <mergeCell ref="M230:M233"/>
    <mergeCell ref="B267:B271"/>
    <mergeCell ref="N267:N270"/>
    <mergeCell ref="O267:O270"/>
    <mergeCell ref="P267:P270"/>
    <mergeCell ref="P260:P262"/>
    <mergeCell ref="N112:N114"/>
    <mergeCell ref="N153:N160"/>
    <mergeCell ref="B153:B160"/>
    <mergeCell ref="N230:N233"/>
    <mergeCell ref="N219:N221"/>
    <mergeCell ref="N236:N237"/>
    <mergeCell ref="N253:N254"/>
    <mergeCell ref="B115:B119"/>
    <mergeCell ref="I146:I147"/>
    <mergeCell ref="J146:J147"/>
    <mergeCell ref="K146:K147"/>
    <mergeCell ref="I169:I174"/>
    <mergeCell ref="J169:J174"/>
    <mergeCell ref="K169:K174"/>
    <mergeCell ref="L169:L174"/>
    <mergeCell ref="L178:L182"/>
    <mergeCell ref="M183:M185"/>
    <mergeCell ref="I183:I185"/>
    <mergeCell ref="J183:J185"/>
    <mergeCell ref="N226:N229"/>
    <mergeCell ref="N244:N245"/>
    <mergeCell ref="N205:N208"/>
    <mergeCell ref="P123:P126"/>
    <mergeCell ref="Q123:Q126"/>
    <mergeCell ref="N123:N126"/>
    <mergeCell ref="N169:N174"/>
    <mergeCell ref="B161:B167"/>
    <mergeCell ref="N186:N194"/>
    <mergeCell ref="N195:N197"/>
    <mergeCell ref="O186:O194"/>
    <mergeCell ref="P186:P194"/>
    <mergeCell ref="Q181:Q182"/>
    <mergeCell ref="B169:B174"/>
    <mergeCell ref="P148:P149"/>
    <mergeCell ref="Q155:Q158"/>
    <mergeCell ref="M136:M139"/>
    <mergeCell ref="I136:I139"/>
    <mergeCell ref="J136:J139"/>
    <mergeCell ref="K136:K139"/>
    <mergeCell ref="L146:L147"/>
    <mergeCell ref="N242:N243"/>
    <mergeCell ref="K183:K185"/>
    <mergeCell ref="L183:L185"/>
    <mergeCell ref="M224:M225"/>
    <mergeCell ref="I224:I225"/>
    <mergeCell ref="A178:A182"/>
    <mergeCell ref="M186:M188"/>
    <mergeCell ref="I186:I188"/>
    <mergeCell ref="J186:J188"/>
    <mergeCell ref="K186:K188"/>
    <mergeCell ref="L186:L188"/>
    <mergeCell ref="M189:M190"/>
    <mergeCell ref="I189:I190"/>
    <mergeCell ref="J189:J190"/>
    <mergeCell ref="K189:K190"/>
    <mergeCell ref="L189:L190"/>
    <mergeCell ref="K178:K182"/>
    <mergeCell ref="B224:B250"/>
    <mergeCell ref="A224:A250"/>
    <mergeCell ref="A210:A215"/>
    <mergeCell ref="J224:J225"/>
    <mergeCell ref="K224:K225"/>
    <mergeCell ref="L224:L225"/>
    <mergeCell ref="I211:I212"/>
    <mergeCell ref="J211:J212"/>
    <mergeCell ref="K211:K212"/>
    <mergeCell ref="L211:L212"/>
    <mergeCell ref="O224:O225"/>
    <mergeCell ref="P224:P225"/>
    <mergeCell ref="Q224:Q225"/>
    <mergeCell ref="O246:O247"/>
    <mergeCell ref="N272:N274"/>
    <mergeCell ref="O253:O254"/>
    <mergeCell ref="P255:P259"/>
    <mergeCell ref="Q255:Q259"/>
    <mergeCell ref="O236:O237"/>
    <mergeCell ref="Q236:Q237"/>
    <mergeCell ref="P253:P254"/>
    <mergeCell ref="Q253:Q254"/>
    <mergeCell ref="O244:O245"/>
    <mergeCell ref="P244:P245"/>
    <mergeCell ref="Q244:Q245"/>
    <mergeCell ref="O260:O262"/>
    <mergeCell ref="Q267:Q270"/>
    <mergeCell ref="Q260:Q262"/>
    <mergeCell ref="O272:O274"/>
    <mergeCell ref="P272:P274"/>
    <mergeCell ref="Q272:Q274"/>
    <mergeCell ref="N246:N247"/>
    <mergeCell ref="N238:N241"/>
    <mergeCell ref="N224:N225"/>
    <mergeCell ref="A219:A222"/>
    <mergeCell ref="B219:B222"/>
    <mergeCell ref="A195:A197"/>
    <mergeCell ref="A205:A209"/>
    <mergeCell ref="A200:A203"/>
    <mergeCell ref="A198:A199"/>
    <mergeCell ref="A175:A177"/>
    <mergeCell ref="N175:N177"/>
    <mergeCell ref="A183:A194"/>
    <mergeCell ref="B183:B194"/>
    <mergeCell ref="N183:N185"/>
    <mergeCell ref="N178:N182"/>
    <mergeCell ref="B200:B203"/>
    <mergeCell ref="B178:B182"/>
    <mergeCell ref="B198:B199"/>
    <mergeCell ref="B175:B177"/>
    <mergeCell ref="B210:B215"/>
    <mergeCell ref="B205:B209"/>
    <mergeCell ref="M178:M182"/>
    <mergeCell ref="I178:I182"/>
    <mergeCell ref="J178:J182"/>
    <mergeCell ref="B195:B197"/>
    <mergeCell ref="N200:N203"/>
    <mergeCell ref="N198:N199"/>
    <mergeCell ref="C310:C312"/>
    <mergeCell ref="B310:B312"/>
    <mergeCell ref="A253:A254"/>
    <mergeCell ref="A255:A259"/>
    <mergeCell ref="N255:N259"/>
    <mergeCell ref="A260:A262"/>
    <mergeCell ref="N260:N262"/>
    <mergeCell ref="A272:A274"/>
    <mergeCell ref="B272:B274"/>
    <mergeCell ref="A275:A277"/>
    <mergeCell ref="N275:N276"/>
    <mergeCell ref="B275:B277"/>
    <mergeCell ref="A280:A283"/>
    <mergeCell ref="B280:B283"/>
    <mergeCell ref="N280:N283"/>
    <mergeCell ref="B260:B262"/>
    <mergeCell ref="B255:B259"/>
    <mergeCell ref="A306:A309"/>
    <mergeCell ref="B306:B309"/>
    <mergeCell ref="N306:N309"/>
    <mergeCell ref="I280:I283"/>
    <mergeCell ref="J280:J283"/>
    <mergeCell ref="B253:B254"/>
    <mergeCell ref="A267:A271"/>
    <mergeCell ref="Q219:Q221"/>
    <mergeCell ref="R205:R208"/>
    <mergeCell ref="R169:R174"/>
    <mergeCell ref="R181:R182"/>
    <mergeCell ref="R200:R203"/>
    <mergeCell ref="O183:O185"/>
    <mergeCell ref="R195:R197"/>
    <mergeCell ref="R198:R199"/>
    <mergeCell ref="O178:O182"/>
    <mergeCell ref="P178:P182"/>
    <mergeCell ref="P200:P203"/>
    <mergeCell ref="Q200:Q203"/>
    <mergeCell ref="Q186:Q188"/>
    <mergeCell ref="Q189:Q190"/>
    <mergeCell ref="O219:O221"/>
    <mergeCell ref="O200:O203"/>
    <mergeCell ref="O205:O208"/>
    <mergeCell ref="R186:R188"/>
    <mergeCell ref="R189:R190"/>
    <mergeCell ref="O195:O197"/>
    <mergeCell ref="P195:P197"/>
    <mergeCell ref="Q195:Q197"/>
    <mergeCell ref="Q175:Q177"/>
    <mergeCell ref="R175:R177"/>
    <mergeCell ref="A15:A65"/>
    <mergeCell ref="B15:B65"/>
    <mergeCell ref="B67:B68"/>
    <mergeCell ref="B69:B70"/>
    <mergeCell ref="Q69:Q70"/>
    <mergeCell ref="B72:B74"/>
    <mergeCell ref="N72:N74"/>
    <mergeCell ref="A72:A74"/>
    <mergeCell ref="I23:I26"/>
    <mergeCell ref="J23:J26"/>
    <mergeCell ref="K23:K26"/>
    <mergeCell ref="L23:L26"/>
    <mergeCell ref="M69:M70"/>
    <mergeCell ref="I69:I70"/>
    <mergeCell ref="J69:J70"/>
    <mergeCell ref="K69:K70"/>
    <mergeCell ref="L69:L70"/>
    <mergeCell ref="J55:J65"/>
    <mergeCell ref="K55:K65"/>
    <mergeCell ref="L55:L65"/>
    <mergeCell ref="J35:J37"/>
    <mergeCell ref="K35:K37"/>
    <mergeCell ref="L35:L37"/>
    <mergeCell ref="M35:M37"/>
    <mergeCell ref="I38:I42"/>
    <mergeCell ref="J38:J42"/>
    <mergeCell ref="K38:K42"/>
    <mergeCell ref="L38:L42"/>
    <mergeCell ref="J43:J47"/>
    <mergeCell ref="K43:K47"/>
    <mergeCell ref="L43:L47"/>
    <mergeCell ref="I43:I47"/>
    <mergeCell ref="M38:M42"/>
    <mergeCell ref="M43:M47"/>
    <mergeCell ref="Q55:Q65"/>
    <mergeCell ref="R55:R65"/>
    <mergeCell ref="Q104:Q105"/>
    <mergeCell ref="Q115:Q119"/>
    <mergeCell ref="R69:R70"/>
    <mergeCell ref="C67:C68"/>
    <mergeCell ref="N69:N70"/>
    <mergeCell ref="O69:O70"/>
    <mergeCell ref="P69:P70"/>
    <mergeCell ref="N15:N65"/>
    <mergeCell ref="O15:O65"/>
    <mergeCell ref="P15:P65"/>
    <mergeCell ref="H115:H119"/>
    <mergeCell ref="N115:N119"/>
    <mergeCell ref="Q15:Q22"/>
    <mergeCell ref="R15:R22"/>
    <mergeCell ref="Q23:Q26"/>
    <mergeCell ref="R23:R26"/>
    <mergeCell ref="Q27:Q37"/>
    <mergeCell ref="R27:R37"/>
    <mergeCell ref="R97:R101"/>
    <mergeCell ref="O72:O74"/>
    <mergeCell ref="P72:P74"/>
    <mergeCell ref="N75:N90"/>
    <mergeCell ref="O106:O109"/>
    <mergeCell ref="R106:R109"/>
    <mergeCell ref="R104:R105"/>
    <mergeCell ref="R115:R119"/>
    <mergeCell ref="R112:R114"/>
    <mergeCell ref="P115:P119"/>
    <mergeCell ref="P136:P139"/>
    <mergeCell ref="P108:P109"/>
    <mergeCell ref="O112:O114"/>
    <mergeCell ref="Q112:Q114"/>
    <mergeCell ref="Q106:Q109"/>
    <mergeCell ref="O136:O139"/>
    <mergeCell ref="O123:O126"/>
    <mergeCell ref="P127:P129"/>
    <mergeCell ref="Q127:Q129"/>
    <mergeCell ref="R127:R129"/>
    <mergeCell ref="O115:O119"/>
    <mergeCell ref="N104:N105"/>
    <mergeCell ref="P97:P101"/>
    <mergeCell ref="O97:O101"/>
    <mergeCell ref="Q97:Q101"/>
    <mergeCell ref="N130:N135"/>
    <mergeCell ref="N106:N109"/>
    <mergeCell ref="B112:B114"/>
    <mergeCell ref="B106:B110"/>
    <mergeCell ref="P113:P114"/>
    <mergeCell ref="P104:P105"/>
    <mergeCell ref="O130:O135"/>
    <mergeCell ref="P130:P135"/>
    <mergeCell ref="I123:I126"/>
    <mergeCell ref="J123:J126"/>
    <mergeCell ref="O104:O105"/>
    <mergeCell ref="H123:H126"/>
    <mergeCell ref="H127:H129"/>
    <mergeCell ref="H130:H135"/>
    <mergeCell ref="N97:N101"/>
    <mergeCell ref="M106:M109"/>
    <mergeCell ref="I106:I109"/>
    <mergeCell ref="J106:J109"/>
    <mergeCell ref="M115:M119"/>
    <mergeCell ref="I115:I119"/>
    <mergeCell ref="I159:I160"/>
    <mergeCell ref="J159:J160"/>
    <mergeCell ref="K159:K160"/>
    <mergeCell ref="L159:L160"/>
    <mergeCell ref="O198:O199"/>
    <mergeCell ref="P169:P174"/>
    <mergeCell ref="R183:R185"/>
    <mergeCell ref="Q191:Q194"/>
    <mergeCell ref="R191:R194"/>
    <mergeCell ref="M191:M194"/>
    <mergeCell ref="I191:I194"/>
    <mergeCell ref="J191:J194"/>
    <mergeCell ref="K191:K194"/>
    <mergeCell ref="L191:L194"/>
    <mergeCell ref="M169:M174"/>
    <mergeCell ref="M198:M199"/>
    <mergeCell ref="I198:I199"/>
    <mergeCell ref="J198:J199"/>
    <mergeCell ref="K198:K199"/>
    <mergeCell ref="L198:L199"/>
    <mergeCell ref="I148:I149"/>
    <mergeCell ref="J148:J149"/>
    <mergeCell ref="K148:K149"/>
    <mergeCell ref="L148:L149"/>
    <mergeCell ref="M148:M149"/>
    <mergeCell ref="M153:M154"/>
    <mergeCell ref="I153:I154"/>
    <mergeCell ref="J153:J154"/>
    <mergeCell ref="K153:K154"/>
    <mergeCell ref="N141:N143"/>
    <mergeCell ref="O141:O143"/>
    <mergeCell ref="P141:P143"/>
    <mergeCell ref="O169:O174"/>
    <mergeCell ref="O146:O147"/>
    <mergeCell ref="R153:R154"/>
    <mergeCell ref="R148:R149"/>
    <mergeCell ref="L153:L154"/>
    <mergeCell ref="M155:M158"/>
    <mergeCell ref="N146:N147"/>
    <mergeCell ref="Q153:Q154"/>
    <mergeCell ref="O148:O149"/>
    <mergeCell ref="P153:P160"/>
    <mergeCell ref="Q169:Q174"/>
    <mergeCell ref="O153:O160"/>
    <mergeCell ref="Q159:Q160"/>
    <mergeCell ref="N148:N149"/>
    <mergeCell ref="M159:M160"/>
    <mergeCell ref="P242:P243"/>
    <mergeCell ref="I155:I158"/>
    <mergeCell ref="J155:J158"/>
    <mergeCell ref="K155:K158"/>
    <mergeCell ref="L155:L158"/>
    <mergeCell ref="R155:R158"/>
    <mergeCell ref="Q148:Q149"/>
    <mergeCell ref="Q38:Q47"/>
    <mergeCell ref="R38:R47"/>
    <mergeCell ref="Q48:Q54"/>
    <mergeCell ref="R48:R54"/>
    <mergeCell ref="Q72:Q74"/>
    <mergeCell ref="R72:R74"/>
    <mergeCell ref="N127:N129"/>
    <mergeCell ref="O127:O129"/>
    <mergeCell ref="N136:N139"/>
    <mergeCell ref="L141:L143"/>
    <mergeCell ref="M146:M147"/>
    <mergeCell ref="M104:M105"/>
    <mergeCell ref="I104:I105"/>
    <mergeCell ref="J104:J105"/>
    <mergeCell ref="K104:K105"/>
    <mergeCell ref="L104:L105"/>
    <mergeCell ref="K106:K109"/>
    <mergeCell ref="P219:P221"/>
    <mergeCell ref="R224:R225"/>
    <mergeCell ref="Q75:Q76"/>
    <mergeCell ref="R75:R76"/>
    <mergeCell ref="R78:R79"/>
    <mergeCell ref="R81:R82"/>
    <mergeCell ref="R83:R84"/>
    <mergeCell ref="R86:R87"/>
    <mergeCell ref="R88:R90"/>
    <mergeCell ref="P146:P147"/>
    <mergeCell ref="Q141:Q143"/>
    <mergeCell ref="P198:P199"/>
    <mergeCell ref="Q198:Q199"/>
    <mergeCell ref="R159:R160"/>
    <mergeCell ref="R219:R221"/>
    <mergeCell ref="R146:R147"/>
    <mergeCell ref="R141:R143"/>
    <mergeCell ref="Q146:Q147"/>
    <mergeCell ref="P183:P185"/>
    <mergeCell ref="P175:P177"/>
    <mergeCell ref="R123:R126"/>
    <mergeCell ref="Q136:Q139"/>
    <mergeCell ref="R136:R139"/>
    <mergeCell ref="P106:P107"/>
    <mergeCell ref="A141:A150"/>
    <mergeCell ref="B141:B150"/>
    <mergeCell ref="A112:A114"/>
    <mergeCell ref="I220:I221"/>
    <mergeCell ref="J220:J221"/>
    <mergeCell ref="K220:K221"/>
    <mergeCell ref="L220:L221"/>
    <mergeCell ref="M220:M221"/>
    <mergeCell ref="L136:L139"/>
    <mergeCell ref="M141:M143"/>
    <mergeCell ref="L123:L126"/>
    <mergeCell ref="I141:I143"/>
    <mergeCell ref="J141:J143"/>
    <mergeCell ref="K141:K143"/>
    <mergeCell ref="B130:B135"/>
    <mergeCell ref="B123:B126"/>
    <mergeCell ref="K123:K126"/>
    <mergeCell ref="M123:M126"/>
    <mergeCell ref="A161:A167"/>
    <mergeCell ref="A169:A174"/>
    <mergeCell ref="E127:E129"/>
    <mergeCell ref="F127:F129"/>
    <mergeCell ref="G127:G129"/>
    <mergeCell ref="A130:A135"/>
    <mergeCell ref="N210:N212"/>
    <mergeCell ref="O210:O212"/>
    <mergeCell ref="P210:P212"/>
    <mergeCell ref="Q210:Q212"/>
    <mergeCell ref="R210:R212"/>
    <mergeCell ref="Q178:Q180"/>
    <mergeCell ref="R178:R180"/>
    <mergeCell ref="C175:C177"/>
    <mergeCell ref="D175:D177"/>
    <mergeCell ref="P205:P208"/>
    <mergeCell ref="Q205:Q208"/>
    <mergeCell ref="O175:O177"/>
    <mergeCell ref="M200:M203"/>
    <mergeCell ref="I200:I203"/>
    <mergeCell ref="J200:J203"/>
    <mergeCell ref="K200:K203"/>
    <mergeCell ref="L200:L203"/>
    <mergeCell ref="M205:M208"/>
    <mergeCell ref="I205:I208"/>
    <mergeCell ref="J205:J208"/>
    <mergeCell ref="K205:K208"/>
    <mergeCell ref="L205:L208"/>
    <mergeCell ref="M211:M212"/>
    <mergeCell ref="H205:H209"/>
    <mergeCell ref="C78:C80"/>
    <mergeCell ref="D78:D80"/>
    <mergeCell ref="E78:E80"/>
    <mergeCell ref="F78:F80"/>
    <mergeCell ref="G78:G80"/>
    <mergeCell ref="A97:A101"/>
    <mergeCell ref="A153:A160"/>
    <mergeCell ref="A115:A119"/>
    <mergeCell ref="B97:B101"/>
    <mergeCell ref="B104:B105"/>
    <mergeCell ref="A106:A110"/>
    <mergeCell ref="C81:C82"/>
    <mergeCell ref="D81:D82"/>
    <mergeCell ref="G81:G82"/>
    <mergeCell ref="A104:A105"/>
    <mergeCell ref="A123:A126"/>
    <mergeCell ref="C86:C87"/>
    <mergeCell ref="D86:D87"/>
    <mergeCell ref="E86:E87"/>
    <mergeCell ref="F86:F87"/>
    <mergeCell ref="G86:G87"/>
    <mergeCell ref="A127:A129"/>
    <mergeCell ref="B127:B129"/>
    <mergeCell ref="C127:C129"/>
    <mergeCell ref="B136:B139"/>
    <mergeCell ref="A136:A139"/>
    <mergeCell ref="D311:D312"/>
    <mergeCell ref="E311:E312"/>
    <mergeCell ref="F311:F312"/>
    <mergeCell ref="G311:G312"/>
    <mergeCell ref="D127:D129"/>
    <mergeCell ref="C307:C309"/>
    <mergeCell ref="D307:D309"/>
    <mergeCell ref="E307:E309"/>
    <mergeCell ref="F307:F309"/>
    <mergeCell ref="G307:G309"/>
    <mergeCell ref="A285:A296"/>
    <mergeCell ref="B285:B296"/>
    <mergeCell ref="C294:C296"/>
    <mergeCell ref="D294:D296"/>
    <mergeCell ref="E294:E296"/>
    <mergeCell ref="F294:F296"/>
    <mergeCell ref="G294:G296"/>
    <mergeCell ref="C290:C291"/>
    <mergeCell ref="E175:E177"/>
    <mergeCell ref="F175:F177"/>
    <mergeCell ref="G175:G177"/>
    <mergeCell ref="A310:A312"/>
    <mergeCell ref="H136:H139"/>
    <mergeCell ref="H141:H150"/>
    <mergeCell ref="M113:M114"/>
    <mergeCell ref="N311:N312"/>
    <mergeCell ref="O311:O312"/>
    <mergeCell ref="P311:P312"/>
    <mergeCell ref="Q311:Q312"/>
    <mergeCell ref="R311:R312"/>
    <mergeCell ref="I196:I197"/>
    <mergeCell ref="J196:J197"/>
    <mergeCell ref="K196:K197"/>
    <mergeCell ref="L196:L197"/>
    <mergeCell ref="M196:M197"/>
    <mergeCell ref="P307:P309"/>
    <mergeCell ref="Q307:Q309"/>
    <mergeCell ref="R307:R309"/>
    <mergeCell ref="P297:P298"/>
    <mergeCell ref="Q297:Q298"/>
    <mergeCell ref="R297:R298"/>
    <mergeCell ref="N297:N298"/>
    <mergeCell ref="O297:O298"/>
    <mergeCell ref="P299:P300"/>
    <mergeCell ref="Q299:Q300"/>
    <mergeCell ref="R299:R300"/>
    <mergeCell ref="J115:J119"/>
    <mergeCell ref="K115:K119"/>
    <mergeCell ref="L115:L119"/>
    <mergeCell ref="K299:K300"/>
    <mergeCell ref="L299:L300"/>
    <mergeCell ref="O306:O309"/>
    <mergeCell ref="A297:A298"/>
    <mergeCell ref="B297:B298"/>
    <mergeCell ref="C297:C298"/>
    <mergeCell ref="D297:D298"/>
    <mergeCell ref="E297:E298"/>
    <mergeCell ref="F297:F298"/>
    <mergeCell ref="G297:G298"/>
    <mergeCell ref="A299:A300"/>
    <mergeCell ref="B299:B300"/>
    <mergeCell ref="N299:N300"/>
    <mergeCell ref="O299:O300"/>
    <mergeCell ref="M299:M300"/>
    <mergeCell ref="I299:I300"/>
    <mergeCell ref="J299:J300"/>
    <mergeCell ref="N285:N296"/>
    <mergeCell ref="O285:O296"/>
    <mergeCell ref="O242:O243"/>
    <mergeCell ref="O280:O283"/>
    <mergeCell ref="P285:P296"/>
    <mergeCell ref="Q285:Q296"/>
    <mergeCell ref="R285:R296"/>
    <mergeCell ref="C285:C286"/>
    <mergeCell ref="D285:D286"/>
    <mergeCell ref="E285:E286"/>
    <mergeCell ref="F285:F286"/>
    <mergeCell ref="G285:G286"/>
    <mergeCell ref="E290:E291"/>
    <mergeCell ref="F290:F291"/>
    <mergeCell ref="G290:G291"/>
    <mergeCell ref="D290:D291"/>
    <mergeCell ref="C292:C293"/>
    <mergeCell ref="D292:D293"/>
    <mergeCell ref="E292:E293"/>
    <mergeCell ref="F292:F293"/>
    <mergeCell ref="G292:G293"/>
    <mergeCell ref="C287:C289"/>
    <mergeCell ref="D287:D289"/>
    <mergeCell ref="E287:E289"/>
    <mergeCell ref="F287:F289"/>
    <mergeCell ref="G287:G289"/>
    <mergeCell ref="R244:R245"/>
    <mergeCell ref="R280:R283"/>
    <mergeCell ref="O275:O276"/>
    <mergeCell ref="R275:R276"/>
    <mergeCell ref="P275:P276"/>
    <mergeCell ref="Q275:Q276"/>
    <mergeCell ref="R272:R274"/>
    <mergeCell ref="P246:P247"/>
    <mergeCell ref="P236:P237"/>
    <mergeCell ref="O238:O241"/>
    <mergeCell ref="P238:P241"/>
    <mergeCell ref="Q238:Q241"/>
    <mergeCell ref="R238:R241"/>
    <mergeCell ref="P280:P283"/>
    <mergeCell ref="R253:R254"/>
    <mergeCell ref="Q246:Q247"/>
    <mergeCell ref="R246:R247"/>
    <mergeCell ref="R255:R259"/>
    <mergeCell ref="O255:O259"/>
    <mergeCell ref="Q280:Q283"/>
    <mergeCell ref="R267:R270"/>
    <mergeCell ref="R260:R262"/>
    <mergeCell ref="Q242:Q243"/>
    <mergeCell ref="R242:R243"/>
    <mergeCell ref="O226:O229"/>
    <mergeCell ref="P226:P229"/>
    <mergeCell ref="Q226:Q229"/>
    <mergeCell ref="R226:R229"/>
    <mergeCell ref="R236:R237"/>
    <mergeCell ref="O230:O233"/>
    <mergeCell ref="P230:P233"/>
    <mergeCell ref="Q230:Q233"/>
    <mergeCell ref="R230:R233"/>
    <mergeCell ref="I35:I37"/>
    <mergeCell ref="A7:A8"/>
    <mergeCell ref="B7:B8"/>
    <mergeCell ref="H7:H8"/>
    <mergeCell ref="Q78:Q79"/>
    <mergeCell ref="Q81:Q82"/>
    <mergeCell ref="Q83:Q84"/>
    <mergeCell ref="Q86:Q87"/>
    <mergeCell ref="Q88:Q90"/>
    <mergeCell ref="P75:P76"/>
    <mergeCell ref="P78:P79"/>
    <mergeCell ref="P81:P82"/>
    <mergeCell ref="P83:P84"/>
    <mergeCell ref="P86:P87"/>
    <mergeCell ref="P88:P90"/>
    <mergeCell ref="O75:O90"/>
    <mergeCell ref="A75:A90"/>
    <mergeCell ref="B75:B90"/>
    <mergeCell ref="C88:C90"/>
    <mergeCell ref="M23:M26"/>
    <mergeCell ref="A67:A68"/>
    <mergeCell ref="A69:A70"/>
    <mergeCell ref="E81:E82"/>
    <mergeCell ref="F81:F82"/>
    <mergeCell ref="A11:A12"/>
    <mergeCell ref="B11:B12"/>
    <mergeCell ref="H11:H12"/>
    <mergeCell ref="A9:A10"/>
    <mergeCell ref="B9:B10"/>
    <mergeCell ref="G9:G10"/>
    <mergeCell ref="H9:H10"/>
    <mergeCell ref="C9:C10"/>
    <mergeCell ref="D9:D10"/>
    <mergeCell ref="E9:E10"/>
    <mergeCell ref="F9:F10"/>
    <mergeCell ref="C11:C12"/>
    <mergeCell ref="D11:D12"/>
    <mergeCell ref="E11:E12"/>
    <mergeCell ref="F11:F12"/>
    <mergeCell ref="G11:G12"/>
    <mergeCell ref="N9:N10"/>
    <mergeCell ref="O9:O10"/>
    <mergeCell ref="P9:P10"/>
    <mergeCell ref="Q9:Q10"/>
    <mergeCell ref="R9:R10"/>
    <mergeCell ref="N11:N12"/>
    <mergeCell ref="O11:O12"/>
    <mergeCell ref="P11:P12"/>
    <mergeCell ref="Q11:Q12"/>
    <mergeCell ref="R11:R12"/>
    <mergeCell ref="M15:M17"/>
    <mergeCell ref="I18:I20"/>
    <mergeCell ref="J18:J20"/>
    <mergeCell ref="K18:K20"/>
    <mergeCell ref="L18:L20"/>
    <mergeCell ref="M18:M20"/>
    <mergeCell ref="I21:I22"/>
    <mergeCell ref="J21:J22"/>
    <mergeCell ref="K21:K22"/>
    <mergeCell ref="L21:L22"/>
    <mergeCell ref="M21:M22"/>
    <mergeCell ref="I15:I17"/>
    <mergeCell ref="J15:J17"/>
    <mergeCell ref="K15:K17"/>
    <mergeCell ref="L15:L17"/>
    <mergeCell ref="I27:I31"/>
    <mergeCell ref="J27:J31"/>
    <mergeCell ref="K27:K31"/>
    <mergeCell ref="L27:L31"/>
    <mergeCell ref="I32:I34"/>
    <mergeCell ref="J32:J34"/>
    <mergeCell ref="K32:K34"/>
    <mergeCell ref="L32:L34"/>
    <mergeCell ref="M27:M31"/>
    <mergeCell ref="M32:M34"/>
    <mergeCell ref="I48:I50"/>
    <mergeCell ref="J48:J50"/>
    <mergeCell ref="K48:K50"/>
    <mergeCell ref="L48:L50"/>
    <mergeCell ref="M48:M50"/>
    <mergeCell ref="I51:I52"/>
    <mergeCell ref="J51:J52"/>
    <mergeCell ref="K51:K52"/>
    <mergeCell ref="L51:L52"/>
    <mergeCell ref="I53:I54"/>
    <mergeCell ref="J53:J54"/>
    <mergeCell ref="K53:K54"/>
    <mergeCell ref="L53:L54"/>
    <mergeCell ref="M51:M52"/>
    <mergeCell ref="M53:M54"/>
    <mergeCell ref="C75:C77"/>
    <mergeCell ref="D75:D77"/>
    <mergeCell ref="E75:E77"/>
    <mergeCell ref="F75:F77"/>
    <mergeCell ref="G75:G77"/>
    <mergeCell ref="M55:M65"/>
    <mergeCell ref="I55:I65"/>
    <mergeCell ref="C83:C85"/>
    <mergeCell ref="D83:D85"/>
    <mergeCell ref="E83:E85"/>
    <mergeCell ref="F83:F85"/>
    <mergeCell ref="G83:G85"/>
    <mergeCell ref="I113:I114"/>
    <mergeCell ref="J113:J114"/>
    <mergeCell ref="K113:K114"/>
    <mergeCell ref="L113:L114"/>
    <mergeCell ref="D88:D90"/>
    <mergeCell ref="E88:E90"/>
    <mergeCell ref="F88:F90"/>
    <mergeCell ref="G88:G90"/>
    <mergeCell ref="H106:H110"/>
    <mergeCell ref="H112:H114"/>
    <mergeCell ref="L106:L109"/>
    <mergeCell ref="J97:J101"/>
    <mergeCell ref="K97:K101"/>
    <mergeCell ref="L97:L101"/>
    <mergeCell ref="I267:I268"/>
    <mergeCell ref="J267:J268"/>
    <mergeCell ref="K267:K268"/>
    <mergeCell ref="L267:L268"/>
    <mergeCell ref="M267:M268"/>
    <mergeCell ref="I269:I270"/>
    <mergeCell ref="J269:J270"/>
    <mergeCell ref="K269:K270"/>
    <mergeCell ref="L269:L270"/>
    <mergeCell ref="M269:M270"/>
    <mergeCell ref="K280:K283"/>
    <mergeCell ref="L280:L283"/>
    <mergeCell ref="M280:M283"/>
    <mergeCell ref="M272:M274"/>
    <mergeCell ref="I272:I274"/>
    <mergeCell ref="J272:J274"/>
    <mergeCell ref="K272:K274"/>
    <mergeCell ref="L272:L274"/>
    <mergeCell ref="M275:M276"/>
    <mergeCell ref="I275:I276"/>
    <mergeCell ref="C211:C212"/>
    <mergeCell ref="D211:D212"/>
    <mergeCell ref="E211:E212"/>
    <mergeCell ref="F211:F212"/>
    <mergeCell ref="G211:G212"/>
    <mergeCell ref="C213:C214"/>
    <mergeCell ref="D213:D214"/>
    <mergeCell ref="E213:E214"/>
    <mergeCell ref="F213:F214"/>
    <mergeCell ref="G213:G214"/>
  </mergeCells>
  <hyperlinks>
    <hyperlink ref="O69" r:id="rId1" xr:uid="{A0E46438-20B5-40B6-9AAA-8D0F5AE29481}"/>
    <hyperlink ref="O72" r:id="rId2" xr:uid="{05C9A3AE-8728-49BE-8EB6-B98A6899C20B}"/>
    <hyperlink ref="O95" r:id="rId3" xr:uid="{8C35B821-F546-4B4F-B54F-0A2267F132B6}"/>
    <hyperlink ref="O97" r:id="rId4" xr:uid="{C65A66EB-BD7A-42B9-96EF-20DE8A2C0A14}"/>
    <hyperlink ref="O102" r:id="rId5" xr:uid="{1C1BE423-FB38-4FA0-834E-4BF16728271B}"/>
    <hyperlink ref="P4" r:id="rId6" display="CEWS data" xr:uid="{53CEED76-105E-49E1-94A6-52F4934B453B}"/>
    <hyperlink ref="O4" r:id="rId7" xr:uid="{5BA4DEEE-EEE9-4973-97EE-477583E975B0}"/>
    <hyperlink ref="P7" r:id="rId8" display="CRB data" xr:uid="{D46A86DC-F440-4F6E-856D-8B8A7F8A2B24}"/>
    <hyperlink ref="P9" r:id="rId9" display="CRSB data" xr:uid="{D54C8E4E-CA75-4F6E-832B-FCE84432AF28}"/>
    <hyperlink ref="P11" r:id="rId10" display="CRCB data" xr:uid="{0ECF4E2E-8CCE-4C74-9407-1BF622FA1EAE}"/>
    <hyperlink ref="O15" r:id="rId11" display="https://www.pbo-dpb.gc.ca/web/default/files/Documents/Info%20Requests/2020/IR0471_ISED_COVID-19_Measures_request_e_signed.pdf" xr:uid="{58634BD7-2770-4836-9D0D-CF09CCB8AC55}"/>
    <hyperlink ref="O15:O51" r:id="rId12" display="IR0471" xr:uid="{1818005C-9911-43CA-AF9D-51F09FC4598B}"/>
    <hyperlink ref="O103" r:id="rId13" xr:uid="{701C3778-E3AB-4B8A-9EE5-58383E38560D}"/>
    <hyperlink ref="O104:O105" r:id="rId14" display="IR0550" xr:uid="{823A6A3B-E1A3-4EAC-97B3-0D06E66CC8D9}"/>
    <hyperlink ref="O106" r:id="rId15" xr:uid="{C69F7341-22BA-4100-8DDC-A1C92968F1F8}"/>
    <hyperlink ref="P106" r:id="rId16" display="https://www.canada.ca/en/services/benefits/ei/claims-report.html" xr:uid="{FED88BC1-4016-4470-80B5-8D300D350360}"/>
    <hyperlink ref="O111" r:id="rId17" xr:uid="{B5921EB3-758B-4034-8BEA-787511C38753}"/>
    <hyperlink ref="P112" r:id="rId18" display="CESB data" xr:uid="{4408DE60-755B-4ADA-96BD-ED246E4BA809}"/>
    <hyperlink ref="O115" r:id="rId19" xr:uid="{C3AA0382-0350-43E3-89C3-886B0E0B34E4}"/>
    <hyperlink ref="O121" r:id="rId20" xr:uid="{B1FF6B23-3D45-4961-AAE8-F0C1155EDD9C}"/>
    <hyperlink ref="O122" r:id="rId21" xr:uid="{AEB87BE1-90AA-4A1C-9965-EEDB3D1CB1A9}"/>
    <hyperlink ref="O123" r:id="rId22" xr:uid="{77309BF5-5852-4530-94C2-45312216B4E8}"/>
    <hyperlink ref="O130" r:id="rId23" xr:uid="{EDE7E4CF-F08C-4A65-B38C-B8A1BDCA674A}"/>
    <hyperlink ref="O136" r:id="rId24" xr:uid="{6A6EB690-EB5F-429C-BF14-F8697F816BBD}"/>
    <hyperlink ref="O140" r:id="rId25" xr:uid="{A33D10C7-2B07-4BFD-9B42-820718DBF04F}"/>
    <hyperlink ref="O141" r:id="rId26" xr:uid="{25C2D6F6-8DF3-419F-9E8A-CE016CB38E0B}"/>
    <hyperlink ref="O141:O142" r:id="rId27" display="IR0540" xr:uid="{54EBCF92-A2F3-43E3-88ED-E9AC4B793065}"/>
    <hyperlink ref="O148" r:id="rId28" xr:uid="{B466CBC8-B236-498A-BB6F-8DD499165ABC}"/>
    <hyperlink ref="O145" r:id="rId29" xr:uid="{6DB99D24-5DFB-4620-9FF5-39388C859E06}"/>
    <hyperlink ref="O146" r:id="rId30" xr:uid="{26C98431-143D-44F2-99C6-F6D1DB986A32}"/>
    <hyperlink ref="O144" r:id="rId31" xr:uid="{2CD236D1-9DA9-48B4-A428-7867FA3B4851}"/>
    <hyperlink ref="O152" r:id="rId32" xr:uid="{93A7F9C0-07CB-4312-A0FE-5D9AAC016A8B}"/>
    <hyperlink ref="O153" r:id="rId33" display="https://www.pbo-dpb.gc.ca/web/default/files/Documents/Info%20Requests/2020/IR0469_Heritage_COVID-19_Measures_request_e_signed.pdf" xr:uid="{756872DB-AC7E-4F4C-A338-01036987C2C0}"/>
    <hyperlink ref="O153:O159" r:id="rId34" display="IR0469" xr:uid="{E76540D6-91C3-45D9-BB9E-6F863C5E79C9}"/>
    <hyperlink ref="O169" r:id="rId35" display="https://www.pbo-dpb.gc.ca/web/default/files/Documents/Info%20Requests/2020/IR0494_FIN_COVID-19_Measures_request_e.pdf" xr:uid="{5525AD14-74B3-49D9-88E1-2F1A3CD4C80F}"/>
    <hyperlink ref="O169:O174" r:id="rId36" display="IR0494" xr:uid="{22B98C89-8B39-449A-B32B-1237CAE2A617}"/>
    <hyperlink ref="O175" r:id="rId37" xr:uid="{8DB0F1CB-CE44-46D5-9FE1-8DAD0B015500}"/>
    <hyperlink ref="O178" r:id="rId38" display="https://www.pbo-dpb.gc.ca/web/default/files/Documents/Info%20Requests/2020/IR0456_AAFC_COVID-19_Allocations_request_e_signed.pdf" xr:uid="{EC02BA72-4086-4225-B2AD-EDEF0A7814AB}"/>
    <hyperlink ref="O178:O182" r:id="rId39" display="IR0456" xr:uid="{9E63DED9-DB40-4550-B633-DBAC3DED164F}"/>
    <hyperlink ref="O186" r:id="rId40" display="https://www.pbo-dpb.gc.ca/web/default/files/Documents/Info%20Requests/2020/IR0539_ISED_COVID-19_Funding_request_e.pdf" xr:uid="{06F43086-9144-46E2-8899-CD482D1804FF}"/>
    <hyperlink ref="O186:O192" r:id="rId41" display="IR0539" xr:uid="{2B31DC9B-9DCB-4764-BC38-C6AF4E93476F}"/>
    <hyperlink ref="O183" r:id="rId42" display="https://www.pbo-dpb.gc.ca/web/default/files/Documents/Info%20Requests/2020/IR0482_FOC_COVID-19_ltr_e.pdf" xr:uid="{AA11D4EF-7023-4819-993F-E63B610F57DD}"/>
    <hyperlink ref="O183:O184" r:id="rId43" display="IR0482" xr:uid="{07AFDBEF-A896-4740-86F6-734306AB49C0}"/>
    <hyperlink ref="O195" r:id="rId44" xr:uid="{18AAF52C-3248-4B3D-8423-F614B3603352}"/>
    <hyperlink ref="O198" r:id="rId45" xr:uid="{A8B78020-C3F6-4948-A54C-CE68AF26C8EA}"/>
    <hyperlink ref="O200" r:id="rId46" xr:uid="{03753284-181D-44FC-A748-BC9911A756BB}"/>
    <hyperlink ref="O205:O206" r:id="rId47" display="IR0547" xr:uid="{5DA40522-4A26-4B32-A96E-D8CC085FF862}"/>
    <hyperlink ref="O209" r:id="rId48" xr:uid="{23FCD39C-AED0-473F-8CD1-609045A04EB5}"/>
    <hyperlink ref="O210" r:id="rId49" xr:uid="{DD8D86DF-8BCF-4622-A529-03931D77F145}"/>
    <hyperlink ref="O216" r:id="rId50" xr:uid="{D09998F6-001C-4BD7-AFC4-67D54A768F14}"/>
    <hyperlink ref="O217" r:id="rId51" xr:uid="{7294EF4B-6078-4AE8-8A74-1FB85BE81105}"/>
    <hyperlink ref="O218" r:id="rId52" xr:uid="{A16029DA-9566-465F-9DD1-DABCE25F6E8E}"/>
    <hyperlink ref="O219:O220" r:id="rId53" display="IR0549" xr:uid="{097AE9F7-8C41-4B6B-8DFF-35DFC2E60F36}"/>
    <hyperlink ref="O226" r:id="rId54" display="https://www.pbo-dpb.gc.ca/web/default/files/Documents/Info%20Requests/2020/IR0456_AAFC_COVID-19_Allocations_request_e_signed.pdf" xr:uid="{A7767BFB-BE54-4BA5-916E-9F67977B8A13}"/>
    <hyperlink ref="O226:O227" r:id="rId55" display="IR0456" xr:uid="{0196BF95-6D1D-4716-9047-EB3A2C83F00E}"/>
    <hyperlink ref="O230" r:id="rId56" display="https://www.pbo-dpb.gc.ca/web/default/files/Documents/Info%20Requests/2020/IR0516_CMHC_COVID19_update_2_request_e.pdf" xr:uid="{7DE53DC8-0E92-4D92-85F9-3291D47C969E}"/>
    <hyperlink ref="O230:O231" r:id="rId57" display="IR0516" xr:uid="{8F4D998F-D5E4-4E2C-87CD-D58ECF69BE51}"/>
    <hyperlink ref="O236" r:id="rId58" display="https://www.pbo-dpb.gc.ca/web/default/files/Documents/Info%20Requests/2020/IR0523_ISC_COVID19_update_2_request_e.pdf" xr:uid="{E3785309-4555-41A7-9040-693B9DBF6213}"/>
    <hyperlink ref="O236:O237" r:id="rId59" display="IR0523" xr:uid="{A02028C2-6210-4F27-AFDF-D1C6692AD1E6}"/>
    <hyperlink ref="O238" r:id="rId60" display="https://www.pbo-dpb.gc.ca/web/default/files/Documents/Info%20Requests/2020/IR0524_ISED_COVID19_update_2_request_e.pdf" xr:uid="{61CCC48B-16B3-4FA9-ABF5-DA5D594A96F1}"/>
    <hyperlink ref="O238:O239" r:id="rId61" display="IR0524" xr:uid="{92FF3AC4-DA9C-4AE8-A133-7C59FA6D04C0}"/>
    <hyperlink ref="O246" r:id="rId62" display="https://www.pbo-dpb.gc.ca/web/default/files/Documents/Info%20Requests/2020/IR0526_NRCCan_COVID19_update_2_request_e.pdf" xr:uid="{64D5DB96-728B-4836-9359-B238EE849BE2}"/>
    <hyperlink ref="O246:O247" r:id="rId63" display="IR0526" xr:uid="{F11E918A-614C-4DCE-8C51-67D57D3C50FB}"/>
    <hyperlink ref="O248" r:id="rId64" xr:uid="{095079C4-43A7-4C58-A8FA-8D02DC3A010A}"/>
    <hyperlink ref="O250" r:id="rId65" xr:uid="{9FB69F9F-7940-4AA2-9288-A45DCCFC4BDC}"/>
    <hyperlink ref="O234" r:id="rId66" xr:uid="{22BF7537-99E3-493C-B253-581EC657118A}"/>
    <hyperlink ref="O242:O243" r:id="rId67" display="IR0552" xr:uid="{C5F42711-CEEC-4D06-A1B9-F68E1F16D3CF}"/>
    <hyperlink ref="O224:O225" r:id="rId68" display="IR0549" xr:uid="{5D6DD822-8D3B-4D8E-B4FE-741BE507E538}"/>
    <hyperlink ref="O244:O245" r:id="rId69" display="IR0557" xr:uid="{7DCF0E0E-00C8-4E5C-B889-9B7EBF09AFE3}"/>
    <hyperlink ref="O235" r:id="rId70" xr:uid="{117122ED-24E8-4385-A68F-4A542280B41E}"/>
    <hyperlink ref="O249" r:id="rId71" xr:uid="{78A913E8-8DBB-4160-878B-6768CAEBD8C3}"/>
    <hyperlink ref="O251" r:id="rId72" xr:uid="{9E45E98B-BB4D-4427-AB5A-D11C94F088D1}"/>
    <hyperlink ref="O252" r:id="rId73" xr:uid="{331C8271-1E76-40DD-850A-A519E9E061DF}"/>
    <hyperlink ref="O255" r:id="rId74" xr:uid="{8C388146-D2E5-49C1-8F48-AE65DD874C18}"/>
    <hyperlink ref="O260" r:id="rId75" xr:uid="{A4F42B33-068E-4A60-8825-7D8325A2368D}"/>
    <hyperlink ref="O264" r:id="rId76" xr:uid="{110A4714-C81B-45C8-88FA-D98117EB8963}"/>
    <hyperlink ref="O265" r:id="rId77" xr:uid="{9DFBAE31-FEB3-4BDC-B7B1-0392CA7E491A}"/>
    <hyperlink ref="O267" r:id="rId78" xr:uid="{56B794CC-9E07-4982-B58A-3F30781A92D1}"/>
    <hyperlink ref="O272" r:id="rId79" xr:uid="{CFB7D3FA-9D2E-4ECA-B7D3-C5A43CF696EA}"/>
    <hyperlink ref="O275" r:id="rId80" display="https://www.pbo-dpb.gc.ca/web/default/files/Documents/Info%20Requests/2020/IR0475_WAGE_COVID-19_Measures_request_e_signed.pdf" xr:uid="{B92A90DC-E7F4-4699-9D8E-FFE8B21E6AD4}"/>
    <hyperlink ref="O275:O276" r:id="rId81" display="IR0475" xr:uid="{A37078D8-BD05-49A3-AED5-8A0565CC9151}"/>
    <hyperlink ref="O277" r:id="rId82" xr:uid="{783F237B-09A2-4EEC-8EF3-CA389824058E}"/>
    <hyperlink ref="O278" r:id="rId83" xr:uid="{63D8AB19-29A0-43F4-8707-A9798BF47C34}"/>
    <hyperlink ref="O279" r:id="rId84" xr:uid="{AD53CA69-EB35-4B05-83A5-0D692E8AB5A7}"/>
    <hyperlink ref="O280" r:id="rId85" xr:uid="{DE47EE6A-A506-441E-956E-A68179BCB42D}"/>
    <hyperlink ref="O284" r:id="rId86" xr:uid="{6FB0F167-A3E1-427B-8F00-B606B213766B}"/>
    <hyperlink ref="O285" r:id="rId87" xr:uid="{D22B9FEB-8201-423C-AA77-6A011EC113BA}"/>
    <hyperlink ref="O299" r:id="rId88" xr:uid="{10219D95-ABEE-450A-B9B8-44C8015167FE}"/>
    <hyperlink ref="O6" r:id="rId89" xr:uid="{21A4DA44-E851-4D08-9864-D1ABA3BD5E80}"/>
    <hyperlink ref="O14" r:id="rId90" xr:uid="{C2755199-89DA-4BFA-810D-E6570B8D6EDF}"/>
    <hyperlink ref="P14" r:id="rId91" display="CEBA data" xr:uid="{613E2DE2-F4F0-4464-B32B-05CCCB7B16A9}"/>
    <hyperlink ref="F6" r:id="rId92" xr:uid="{35984EF2-9CB5-40A2-A9B1-8C8E60C70CB9}"/>
    <hyperlink ref="O66" r:id="rId93" xr:uid="{46843F36-8CDF-4AEF-AA9B-91B6BFE0FE39}"/>
    <hyperlink ref="O75" r:id="rId94" xr:uid="{8F77106C-AD9B-430B-80D6-D39BE5E2BB7D}"/>
    <hyperlink ref="O93" r:id="rId95" xr:uid="{E601454F-6EA3-4A28-A6DD-DBAFF166B4F8}"/>
    <hyperlink ref="O5" r:id="rId96" xr:uid="{85525B30-2580-41F4-98EC-3CBA0C8D6112}"/>
    <hyperlink ref="O127" r:id="rId97" xr:uid="{1A65898B-3FF1-43B4-BE63-781291839F2B}"/>
    <hyperlink ref="O204" r:id="rId98" xr:uid="{DCE2C195-246F-4796-82CF-D8C11FBF71D9}"/>
    <hyperlink ref="O223" r:id="rId99" xr:uid="{BD54B2EC-A1E1-47D2-AA09-AB1AF7826EA8}"/>
    <hyperlink ref="O297" r:id="rId100" xr:uid="{A8F07CDD-BDF0-4B77-BEFA-8A4036D543A5}"/>
    <hyperlink ref="O301" r:id="rId101" xr:uid="{67D6D80D-0446-48AC-8738-AB384AFE4581}"/>
    <hyperlink ref="O303" r:id="rId102" xr:uid="{4A3555F8-2085-4CCD-AE5F-B98F08A717A2}"/>
    <hyperlink ref="O304" r:id="rId103" xr:uid="{7FA04975-CAB9-42E5-AFEB-456B76FD4036}"/>
    <hyperlink ref="O313" r:id="rId104" xr:uid="{29136BAA-C9AA-4825-8001-84E28CA93624}"/>
    <hyperlink ref="O305" r:id="rId105" xr:uid="{985A4B47-6196-4451-885C-B835B625B7ED}"/>
    <hyperlink ref="O306" r:id="rId106" xr:uid="{92706733-5909-4183-AB1D-FFECAB5AE731}"/>
    <hyperlink ref="O302" r:id="rId107" xr:uid="{3BEA52A1-24AD-416A-A239-05563CE0604E}"/>
    <hyperlink ref="O150" r:id="rId108" xr:uid="{FF5BA102-6D66-427C-BCE0-9C29C7DB9A29}"/>
    <hyperlink ref="O96" r:id="rId109" xr:uid="{A866F098-3E8E-49C6-91E3-2714CFE92E24}"/>
    <hyperlink ref="O271" r:id="rId110" xr:uid="{BBF9E219-A925-46D4-9543-1E4921547743}"/>
    <hyperlink ref="P69:P70" r:id="rId111" display="TBS Data: COVID-19 Economic Response Plan - Estimated Expenditures" xr:uid="{81E634D5-EFE4-4B9D-9ABF-EDE9A27DC211}"/>
    <hyperlink ref="P72:P74" r:id="rId112" display="TBS Data: COVID-19 Economic Response Plan - Estimated Expenditures" xr:uid="{D86D4405-2087-4A9F-B824-BB88C5975634}"/>
    <hyperlink ref="P97:P101" r:id="rId113" display="TBS Data: COVID-19 Economic Response Plan - Estimated Expenditures" xr:uid="{43429EF4-2B94-483D-A125-B33954CF06EA}"/>
    <hyperlink ref="P108:P109" r:id="rId114" display="TBS Data: COVID-19 Economic Response Plan - Estimated Expenditures" xr:uid="{C25AC492-9573-4B60-AF9C-2ABFED1BF75A}"/>
    <hyperlink ref="P113:P114" r:id="rId115" display="TBS Data: COVID-19 Economic Response Plan - Estimated Expenditures" xr:uid="{62B8C13F-69CE-43C5-8C3C-6A2923A1E649}"/>
    <hyperlink ref="P110" r:id="rId116" xr:uid="{265507FB-CB70-47AE-98E5-1B8D7CBA8B2C}"/>
    <hyperlink ref="P121" r:id="rId117" xr:uid="{1F1E056E-5C02-478A-B5D2-0B449A000B71}"/>
    <hyperlink ref="P122" r:id="rId118" xr:uid="{85FA885F-54E1-424A-83EA-89B9B2058FA0}"/>
    <hyperlink ref="P140" r:id="rId119" xr:uid="{BE1C4500-D007-44B5-848C-566E0B5520B7}"/>
    <hyperlink ref="P144" r:id="rId120" xr:uid="{E46925D4-678F-438B-8960-5384B0854738}"/>
    <hyperlink ref="P150" r:id="rId121" xr:uid="{14E39ADB-83A6-4DF0-979A-6139B3FF53C0}"/>
    <hyperlink ref="P152" r:id="rId122" xr:uid="{CD09C380-2D78-4FC7-AD0B-65B105EED773}"/>
    <hyperlink ref="P161" r:id="rId123" xr:uid="{224CB54E-F649-4FF1-B6D9-F2C3DABF2639}"/>
    <hyperlink ref="P175" r:id="rId124" xr:uid="{50B24474-CDDC-4FF8-8A61-ED7BE1DED3B0}"/>
    <hyperlink ref="P169:P174" r:id="rId125" display="TBS Data: COVID-19 Economic Response Plan - Estimated Expenditures" xr:uid="{B66E5912-A178-426E-8FA6-77F86E54C673}"/>
    <hyperlink ref="P141:P143" r:id="rId126" display="TBS Data: COVID-19 Economic Response Plan - Estimated Expenditures" xr:uid="{7533BB7B-0D95-4D04-B46E-C4393A287D10}"/>
    <hyperlink ref="P195:P197" r:id="rId127" display="TBS Data: COVID-19 Economic Response Plan - Estimated Expenditures" xr:uid="{DD39B89C-1A56-45E1-BC6B-1EBDE847E841}"/>
    <hyperlink ref="P219:P221" r:id="rId128" display="TBS Data: COVID-19 Economic Response Plan - Estimated Expenditures" xr:uid="{F712DDA4-FFCD-4AF2-A516-83FEDC97D9C5}"/>
    <hyperlink ref="P306" r:id="rId129" xr:uid="{305F64E0-A426-4DC6-9D37-D5B42D1010F3}"/>
    <hyperlink ref="P301" r:id="rId130" xr:uid="{CC4FD736-8484-4148-9C98-619B1B48FFC3}"/>
    <hyperlink ref="P284" r:id="rId131" xr:uid="{71CB251B-A6DE-4D5B-B8AD-D29425002C1C}"/>
    <hyperlink ref="P279" r:id="rId132" xr:uid="{595E30D7-00E0-4E27-9DA0-E02C9BE96A2B}"/>
    <hyperlink ref="P277" r:id="rId133" xr:uid="{F4BA6CD1-E0B0-41BB-BA7E-7F7C51D4C881}"/>
    <hyperlink ref="P271" r:id="rId134" xr:uid="{7E0E5E89-FA96-4D4B-9BBB-245A8E5A315C}"/>
    <hyperlink ref="P266" r:id="rId135" xr:uid="{C6DBA475-ADBF-4D21-8E89-13F99C494DF3}"/>
    <hyperlink ref="P265" r:id="rId136" xr:uid="{53EFC41C-2A0A-4756-8D61-A9FC1550D90C}"/>
    <hyperlink ref="P263" r:id="rId137" xr:uid="{2BC63185-B945-42C7-AD6D-DAC0B6CDE524}"/>
    <hyperlink ref="P250" r:id="rId138" xr:uid="{DC10CD3F-D8DE-4C9C-AE24-42A0B1C08031}"/>
    <hyperlink ref="P248" r:id="rId139" xr:uid="{A1E4F9AD-359B-4F56-9D61-230D61E28D51}"/>
    <hyperlink ref="P222" r:id="rId140" xr:uid="{2A5C0772-2510-4D00-A57C-902977BC9BDE}"/>
    <hyperlink ref="P218" r:id="rId141" xr:uid="{888C5FDF-AF0F-4801-9309-A34A74CE5A24}"/>
    <hyperlink ref="P204" r:id="rId142" xr:uid="{8938FBC8-0558-480F-A924-70591AD3006E}"/>
    <hyperlink ref="P299:P300" r:id="rId143" display="TBS Data: COVID-19 Economic Response Plan - Estimated Expenditures" xr:uid="{2B80132B-2A70-4D85-9A3E-7560A190FBBD}"/>
    <hyperlink ref="P246:P247" r:id="rId144" display="TBS Data: COVID-19 Economic Response Plan - Estimated Expenditures" xr:uid="{EEFDCE50-5AAE-41B6-BBCD-E0638E5F737F}"/>
    <hyperlink ref="P244:P245" r:id="rId145" display="TBS Data: COVID-19 Economic Response Plan - Estimated Expenditures" xr:uid="{738C0F89-F943-496B-BB64-CEAA17A3B87C}"/>
    <hyperlink ref="P242:P243" r:id="rId146" display="TBS Data: COVID-19 Economic Response Plan - Estimated Expenditures" xr:uid="{C8E5F0DB-0F1A-4416-96C4-FFB14635A2EB}"/>
    <hyperlink ref="P236:P237" r:id="rId147" display="TBS Data: COVID-19 Economic Response Plan - Estimated Expenditures" xr:uid="{7AE71E92-C064-46C2-AC3F-D002074BBE82}"/>
    <hyperlink ref="P224:P225" r:id="rId148" display="TBS Data: COVID-19 Economic Response Plan - Estimated Expenditures" xr:uid="{0B65DF21-5001-44B0-BC50-3A75E2F1BFEE}"/>
    <hyperlink ref="P198:P199" r:id="rId149" display="TBS Data: COVID-19 Economic Response Plan - Estimated Expenditures" xr:uid="{90A1BC50-54C3-4AEB-8CB9-DA17C220D320}"/>
    <hyperlink ref="P146:P147" r:id="rId150" display="TBS Data: COVID-19 Economic Response Plan - Estimated Expenditures" xr:uid="{8FDB785B-6F62-4971-B49D-ADD61B700F14}"/>
    <hyperlink ref="P255:P259" r:id="rId151" display="TBS Data: COVID-19 Economic Response Plan - Estimated Expenditures" xr:uid="{B9C4DE78-9BB7-4A56-9C2E-B156E22A3438}"/>
    <hyperlink ref="P238:P241" r:id="rId152" display="TBS Data: COVID-19 Economic Response Plan - Estimated Expenditures" xr:uid="{3F7E3380-BB11-4761-8FF7-503BA46606BE}"/>
    <hyperlink ref="P230:P233" r:id="rId153" display="TBS Data: COVID-19 Economic Response Plan - Estimated Expenditures" xr:uid="{BF8BEE6C-191B-4C1A-AFEE-F2398B58737D}"/>
    <hyperlink ref="P235" r:id="rId154" xr:uid="{F694829C-03AA-4006-8C05-7FACB4BB2293}"/>
    <hyperlink ref="P200:P203" r:id="rId155" display="TBS Data: COVID-19 Economic Response Plan - Estimated Expenditures" xr:uid="{4791575B-35E1-4D2E-8A46-842B6B9777F4}"/>
    <hyperlink ref="P186:P194" r:id="rId156" display="TBS Data: COVID-19 Economic Response Plan - Estimated Expenditures" xr:uid="{EC333F1A-A714-4C18-902C-F4433D9DD0CC}"/>
    <hyperlink ref="P153:P160" r:id="rId157" display="TBS Data: COVID-19 Economic Response Plan - Estimated Expenditures" xr:uid="{DCCFDC5C-8102-42D6-BB5A-CFD7B3175CE8}"/>
    <hyperlink ref="P130:P135" r:id="rId158" display="TBS Data: COVID-19 Economic Response Plan - Estimated Expenditures" xr:uid="{4CE80664-5FA9-4855-84BA-F3F408A6C89F}"/>
    <hyperlink ref="P115:P119" r:id="rId159" display="Canada's COVID-19 Emergency Response: CMHC" xr:uid="{8EB2C25F-833D-491E-96F5-29DA7AF81F7F}"/>
    <hyperlink ref="P123:P126" r:id="rId160" display="TBS Data: COVID-19 Economic Response Plan - Estimated Expenditures" xr:uid="{934685E6-5760-4BC0-93CD-0FE6A2006448}"/>
    <hyperlink ref="P234" r:id="rId161" xr:uid="{44E064DB-F0D4-4C54-86B9-5E5CED80B24F}"/>
    <hyperlink ref="P251" r:id="rId162" xr:uid="{A15E94A9-1E70-42A0-A4C0-3912D83A0CAD}"/>
    <hyperlink ref="P252" r:id="rId163" xr:uid="{0B03BC53-861B-4F26-B920-50DB4217DDA8}"/>
    <hyperlink ref="P280:P283" r:id="rId164" display="TBS Data: COVID-19 Economic Response Plan - Estimated Expenditures" xr:uid="{7CE97C5D-5124-42F5-AE1B-E554E7A9379F}"/>
    <hyperlink ref="P15:P65" r:id="rId165" display="TBS Data: COVID-19 Economic Response Plan - Estimated Expenditures" xr:uid="{2DE2C830-EC1D-44F9-8A29-9EB3EB61F2F4}"/>
    <hyperlink ref="P162" r:id="rId166" xr:uid="{502C8F80-0F54-43CD-830A-64A716ED2BF0}"/>
    <hyperlink ref="P163" r:id="rId167" xr:uid="{3BFC7362-AFE2-4585-A71A-6A7476F4B958}"/>
    <hyperlink ref="P164" r:id="rId168" xr:uid="{1D0CC9B9-5452-4F80-A431-F55197F07D77}"/>
    <hyperlink ref="P165" r:id="rId169" xr:uid="{B4328EBC-F191-425D-B666-38B461A2917E}"/>
    <hyperlink ref="P166" r:id="rId170" xr:uid="{F0EB3535-F0D6-4C08-9AE6-B45C47B77BE2}"/>
    <hyperlink ref="P167" r:id="rId171" xr:uid="{C41292FF-C0E1-485A-B59A-EA62508CFA8A}"/>
    <hyperlink ref="P168" r:id="rId172" xr:uid="{843EE109-F02F-43A7-92CF-62FCDF0EBBDE}"/>
    <hyperlink ref="P175:P177" r:id="rId173" display="TBS Data: COVID-19 Economic Response Plan - Estimated Expenditures" xr:uid="{4D1D1B4D-6B7A-47BB-B458-80C71C9A38FC}"/>
    <hyperlink ref="P267:P270" r:id="rId174" display="TBS Data: COVID-19 Economic Response Plan - Estimated Expenditures" xr:uid="{20E0C624-E58C-40B4-B150-5A15E9C43965}"/>
    <hyperlink ref="P226:P229" r:id="rId175" display="TBS Data: COVID-19 Economic Response Plan - Estimated Expenditures" xr:uid="{669374F9-F1FA-4B12-9816-2E8C82B4DE67}"/>
    <hyperlink ref="P127:P129" r:id="rId176" display="TBS Data: COVID-19 Economic Response Plan - Estimated Expenditures" xr:uid="{E6FA324B-80D9-4A97-9448-4E4DC54F50B1}"/>
    <hyperlink ref="P307:P309" r:id="rId177" display="TBS Data: COVID-19 Economic Response Plan - Estimated Expenditures" xr:uid="{3BB445C6-7EC8-4B2B-8FBC-07FDDEF00F6B}"/>
    <hyperlink ref="P313" r:id="rId178" xr:uid="{CA0069C8-10AB-44DF-B4AE-1EF23D8A2AF3}"/>
    <hyperlink ref="P303" r:id="rId179" xr:uid="{7415F16E-7CE5-4FE5-86D1-9D527BEA9B1D}"/>
    <hyperlink ref="P81:P82" r:id="rId180" display="TBS Data: COVID-19 Economic Response Plan - Estimated Expenditures" xr:uid="{FCBABACC-9E3A-4B67-9DA3-29E32A4D3B1C}"/>
    <hyperlink ref="P8" r:id="rId181" xr:uid="{34D5231E-8EE8-4101-A9AE-37992D1DD04A}"/>
    <hyperlink ref="P86:P87" r:id="rId182" display="TBS Data: COVID-19 Economic Response Plan - Estimated Expenditures" xr:uid="{A0BFA4C8-CC61-41C9-9A69-CB2D3534246F}"/>
    <hyperlink ref="P71" r:id="rId183" xr:uid="{A6DD05FA-948E-4B70-9666-1FA64EBA3FF6}"/>
    <hyperlink ref="P136:P139" r:id="rId184" display="Canada's COVID-19 Emergency Response: CHMC" xr:uid="{EDFF9614-20AF-4413-9D49-22BA9105CD3E}"/>
    <hyperlink ref="P13" r:id="rId185" xr:uid="{7A3FD43C-2ABB-463C-BE35-3ADD490DF3A6}"/>
    <hyperlink ref="O322" r:id="rId186" xr:uid="{8AE9F438-7ABA-4A47-94AB-88BF180E3E99}"/>
    <hyperlink ref="O324" r:id="rId187" xr:uid="{0BEBD9C3-ED8C-4C0A-BD8D-33B25A522124}"/>
    <hyperlink ref="P5" r:id="rId188" xr:uid="{EC5790DC-547B-423F-AA94-5DF4E5F91A7A}"/>
  </hyperlinks>
  <pageMargins left="0.7" right="0.7" top="0.75" bottom="0.75" header="0.3" footer="0.3"/>
  <pageSetup orientation="portrait" r:id="rId18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E673E-02CE-49F0-919C-70AD3423F227}">
  <sheetPr>
    <tabColor theme="4"/>
  </sheetPr>
  <dimension ref="A1:L14"/>
  <sheetViews>
    <sheetView showGridLines="0" zoomScale="70" zoomScaleNormal="70" workbookViewId="0"/>
  </sheetViews>
  <sheetFormatPr defaultRowHeight="15" x14ac:dyDescent="0.25"/>
  <cols>
    <col min="1" max="1" width="82.7109375" customWidth="1"/>
    <col min="2" max="2" width="42.7109375" style="52" bestFit="1" customWidth="1"/>
    <col min="3" max="3" width="26.5703125" bestFit="1" customWidth="1"/>
    <col min="4" max="4" width="33.7109375" customWidth="1"/>
    <col min="5" max="5" width="24.85546875" bestFit="1" customWidth="1"/>
    <col min="6" max="6" width="39" style="52" bestFit="1" customWidth="1"/>
    <col min="7" max="7" width="37.85546875" bestFit="1" customWidth="1"/>
    <col min="8" max="8" width="14.42578125" bestFit="1" customWidth="1"/>
    <col min="9" max="9" width="14" bestFit="1" customWidth="1"/>
    <col min="10" max="10" width="18.28515625" bestFit="1" customWidth="1"/>
    <col min="11" max="11" width="57.28515625" customWidth="1"/>
    <col min="12" max="12" width="12.42578125" bestFit="1" customWidth="1"/>
  </cols>
  <sheetData>
    <row r="1" spans="1:12" ht="15.75" thickBot="1" x14ac:dyDescent="0.3">
      <c r="A1" s="25" t="s">
        <v>50</v>
      </c>
      <c r="B1" s="25"/>
    </row>
    <row r="2" spans="1:12" ht="15.75" thickBot="1" x14ac:dyDescent="0.3">
      <c r="B2" s="1"/>
      <c r="C2" s="554" t="s">
        <v>463</v>
      </c>
      <c r="D2" s="555"/>
      <c r="E2" s="555"/>
      <c r="F2" s="555"/>
      <c r="G2" s="555"/>
    </row>
    <row r="3" spans="1:12" ht="17.25" x14ac:dyDescent="0.25">
      <c r="A3" s="39" t="s">
        <v>327</v>
      </c>
      <c r="B3" s="70" t="s">
        <v>366</v>
      </c>
      <c r="C3" s="147" t="s">
        <v>465</v>
      </c>
      <c r="D3" s="147" t="s">
        <v>1</v>
      </c>
      <c r="E3" s="147" t="s">
        <v>471</v>
      </c>
      <c r="F3" s="27" t="s">
        <v>335</v>
      </c>
      <c r="G3" s="147" t="s">
        <v>468</v>
      </c>
      <c r="H3" s="28" t="s">
        <v>2</v>
      </c>
      <c r="I3" s="28" t="s">
        <v>3</v>
      </c>
      <c r="J3" s="28" t="s">
        <v>4</v>
      </c>
      <c r="K3" s="28" t="s">
        <v>5</v>
      </c>
      <c r="L3" s="29" t="s">
        <v>6</v>
      </c>
    </row>
    <row r="4" spans="1:12" x14ac:dyDescent="0.25">
      <c r="A4" s="41" t="s">
        <v>294</v>
      </c>
      <c r="B4" s="72"/>
      <c r="C4" s="42"/>
      <c r="D4" s="42"/>
      <c r="E4" s="42"/>
      <c r="F4" s="42"/>
      <c r="G4" s="42"/>
      <c r="H4" s="42"/>
      <c r="I4" s="42"/>
      <c r="J4" s="42"/>
      <c r="K4" s="42"/>
      <c r="L4" s="43"/>
    </row>
    <row r="5" spans="1:12" x14ac:dyDescent="0.25">
      <c r="A5" s="44" t="s">
        <v>295</v>
      </c>
      <c r="B5" s="80" t="s">
        <v>126</v>
      </c>
      <c r="C5" s="6" t="s">
        <v>42</v>
      </c>
      <c r="D5" s="6" t="s">
        <v>140</v>
      </c>
      <c r="E5" s="6" t="s">
        <v>111</v>
      </c>
      <c r="F5" s="55" t="s">
        <v>359</v>
      </c>
      <c r="G5" s="6" t="s">
        <v>111</v>
      </c>
      <c r="H5" s="6" t="s">
        <v>11</v>
      </c>
      <c r="I5" s="11" t="s">
        <v>163</v>
      </c>
      <c r="J5" s="6" t="s">
        <v>19</v>
      </c>
      <c r="K5" s="19" t="s">
        <v>126</v>
      </c>
      <c r="L5" s="9"/>
    </row>
    <row r="6" spans="1:12" ht="30" x14ac:dyDescent="0.25">
      <c r="A6" s="560" t="s">
        <v>296</v>
      </c>
      <c r="B6" s="558" t="s">
        <v>126</v>
      </c>
      <c r="C6" s="558" t="s">
        <v>42</v>
      </c>
      <c r="D6" s="558" t="s">
        <v>117</v>
      </c>
      <c r="E6" s="558" t="s">
        <v>111</v>
      </c>
      <c r="F6" s="378" t="s">
        <v>360</v>
      </c>
      <c r="G6" s="558" t="s">
        <v>111</v>
      </c>
      <c r="H6" s="558" t="s">
        <v>11</v>
      </c>
      <c r="I6" s="556" t="s">
        <v>118</v>
      </c>
      <c r="J6" s="558" t="s">
        <v>19</v>
      </c>
      <c r="K6" s="20" t="s">
        <v>297</v>
      </c>
      <c r="L6" s="45">
        <v>44027</v>
      </c>
    </row>
    <row r="7" spans="1:12" ht="45" x14ac:dyDescent="0.25">
      <c r="A7" s="561"/>
      <c r="B7" s="559"/>
      <c r="C7" s="559"/>
      <c r="D7" s="559"/>
      <c r="E7" s="559"/>
      <c r="F7" s="380"/>
      <c r="G7" s="559"/>
      <c r="H7" s="559"/>
      <c r="I7" s="557"/>
      <c r="J7" s="559"/>
      <c r="K7" s="10" t="s">
        <v>298</v>
      </c>
      <c r="L7" s="46">
        <v>44044</v>
      </c>
    </row>
    <row r="8" spans="1:12" ht="15.75" thickBot="1" x14ac:dyDescent="0.3">
      <c r="A8" s="47" t="s">
        <v>299</v>
      </c>
      <c r="B8" s="79" t="s">
        <v>126</v>
      </c>
      <c r="C8" s="7" t="s">
        <v>42</v>
      </c>
      <c r="D8" s="7" t="s">
        <v>300</v>
      </c>
      <c r="E8" s="87" t="s">
        <v>111</v>
      </c>
      <c r="F8" s="127" t="s">
        <v>111</v>
      </c>
      <c r="G8" s="7" t="s">
        <v>111</v>
      </c>
      <c r="H8" s="7" t="s">
        <v>11</v>
      </c>
      <c r="I8" s="12" t="s">
        <v>15</v>
      </c>
      <c r="J8" s="8" t="s">
        <v>213</v>
      </c>
      <c r="K8" s="7"/>
      <c r="L8" s="48"/>
    </row>
    <row r="9" spans="1:12" ht="15.75" thickBot="1" x14ac:dyDescent="0.3">
      <c r="A9" s="24" t="s">
        <v>301</v>
      </c>
      <c r="B9" s="65">
        <f>SUM(B5:B8)</f>
        <v>0</v>
      </c>
      <c r="C9" s="22"/>
      <c r="D9" s="22"/>
      <c r="E9" s="22"/>
      <c r="F9" s="22"/>
      <c r="G9" s="65">
        <f>SUM(G5:G8)</f>
        <v>0</v>
      </c>
      <c r="H9" s="22"/>
      <c r="I9" s="22"/>
      <c r="J9" s="22"/>
      <c r="K9" s="22"/>
      <c r="L9" s="23"/>
    </row>
    <row r="11" spans="1:12" ht="17.25" x14ac:dyDescent="0.25">
      <c r="A11" s="54" t="s">
        <v>367</v>
      </c>
      <c r="B11" s="1"/>
    </row>
    <row r="13" spans="1:12" x14ac:dyDescent="0.25">
      <c r="A13" s="1"/>
      <c r="B13" s="1"/>
    </row>
    <row r="14" spans="1:12" x14ac:dyDescent="0.25">
      <c r="A14" s="1"/>
      <c r="B14" s="1"/>
    </row>
  </sheetData>
  <mergeCells count="11">
    <mergeCell ref="C2:G2"/>
    <mergeCell ref="I6:I7"/>
    <mergeCell ref="J6:J7"/>
    <mergeCell ref="A6:A7"/>
    <mergeCell ref="C6:C7"/>
    <mergeCell ref="D6:D7"/>
    <mergeCell ref="E6:E7"/>
    <mergeCell ref="G6:G7"/>
    <mergeCell ref="H6:H7"/>
    <mergeCell ref="F6:F7"/>
    <mergeCell ref="B6:B7"/>
  </mergeCells>
  <hyperlinks>
    <hyperlink ref="I5" r:id="rId1" xr:uid="{377346CD-197E-46BB-B601-CA9E2FD5FD51}"/>
    <hyperlink ref="I6" r:id="rId2" xr:uid="{3F92ED71-0FED-428C-8452-65D972078570}"/>
    <hyperlink ref="I8" r:id="rId3" xr:uid="{682A5356-3463-4301-B1B2-67D779748BB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8FEF4-095B-44DB-ACC4-4D83993D8CC9}">
  <sheetPr>
    <tabColor theme="4"/>
  </sheetPr>
  <dimension ref="A1:L26"/>
  <sheetViews>
    <sheetView showGridLines="0" zoomScale="70" zoomScaleNormal="70" workbookViewId="0"/>
  </sheetViews>
  <sheetFormatPr defaultRowHeight="15" x14ac:dyDescent="0.25"/>
  <cols>
    <col min="1" max="1" width="88.85546875" bestFit="1" customWidth="1"/>
    <col min="2" max="2" width="38.28515625" style="52" bestFit="1" customWidth="1"/>
    <col min="3" max="3" width="25.28515625" bestFit="1" customWidth="1"/>
    <col min="4" max="4" width="27.5703125" customWidth="1"/>
    <col min="5" max="5" width="25.28515625" bestFit="1" customWidth="1"/>
    <col min="6" max="6" width="36.5703125" style="52" customWidth="1"/>
    <col min="7" max="7" width="36.5703125" bestFit="1" customWidth="1"/>
    <col min="8" max="8" width="13.5703125" bestFit="1" customWidth="1"/>
    <col min="9" max="9" width="13" bestFit="1" customWidth="1"/>
    <col min="10" max="10" width="22.7109375" customWidth="1"/>
    <col min="11" max="11" width="48.28515625" customWidth="1"/>
    <col min="12" max="12" width="12.7109375" bestFit="1" customWidth="1"/>
  </cols>
  <sheetData>
    <row r="1" spans="1:12" ht="15.75" thickBot="1" x14ac:dyDescent="0.3">
      <c r="A1" s="25" t="s">
        <v>51</v>
      </c>
      <c r="B1" s="25"/>
    </row>
    <row r="2" spans="1:12" ht="15.75" thickBot="1" x14ac:dyDescent="0.3">
      <c r="B2" s="1"/>
      <c r="C2" s="554" t="s">
        <v>463</v>
      </c>
      <c r="D2" s="555"/>
      <c r="E2" s="555"/>
      <c r="F2" s="555"/>
      <c r="G2" s="555"/>
    </row>
    <row r="3" spans="1:12" ht="17.25" x14ac:dyDescent="0.25">
      <c r="A3" s="39" t="s">
        <v>325</v>
      </c>
      <c r="B3" s="70" t="s">
        <v>366</v>
      </c>
      <c r="C3" s="147" t="s">
        <v>465</v>
      </c>
      <c r="D3" s="147" t="s">
        <v>1</v>
      </c>
      <c r="E3" s="147" t="s">
        <v>471</v>
      </c>
      <c r="F3" s="27" t="s">
        <v>335</v>
      </c>
      <c r="G3" s="147" t="s">
        <v>468</v>
      </c>
      <c r="H3" s="28" t="s">
        <v>2</v>
      </c>
      <c r="I3" s="28" t="s">
        <v>3</v>
      </c>
      <c r="J3" s="28" t="s">
        <v>4</v>
      </c>
      <c r="K3" s="28" t="s">
        <v>5</v>
      </c>
      <c r="L3" s="29" t="s">
        <v>6</v>
      </c>
    </row>
    <row r="4" spans="1:12" x14ac:dyDescent="0.25">
      <c r="A4" s="49" t="s">
        <v>302</v>
      </c>
      <c r="B4" s="73"/>
      <c r="C4" s="53"/>
      <c r="D4" s="66"/>
      <c r="E4" s="53"/>
      <c r="F4" s="53"/>
      <c r="G4" s="53"/>
      <c r="H4" s="53"/>
      <c r="I4" s="53"/>
      <c r="J4" s="66"/>
      <c r="K4" s="53"/>
      <c r="L4" s="57"/>
    </row>
    <row r="5" spans="1:12" ht="93.75" customHeight="1" x14ac:dyDescent="0.25">
      <c r="A5" s="32" t="s">
        <v>303</v>
      </c>
      <c r="B5" s="77" t="s">
        <v>126</v>
      </c>
      <c r="C5" s="66" t="s">
        <v>42</v>
      </c>
      <c r="D5" s="56" t="s">
        <v>304</v>
      </c>
      <c r="E5" s="66" t="s">
        <v>111</v>
      </c>
      <c r="F5" s="102" t="s">
        <v>343</v>
      </c>
      <c r="G5" s="121" t="s">
        <v>111</v>
      </c>
      <c r="H5" s="66" t="s">
        <v>11</v>
      </c>
      <c r="I5" s="105" t="s">
        <v>305</v>
      </c>
      <c r="J5" s="334" t="s">
        <v>648</v>
      </c>
      <c r="K5" s="67" t="s">
        <v>673</v>
      </c>
      <c r="L5" s="137">
        <v>44323</v>
      </c>
    </row>
    <row r="6" spans="1:12" ht="60" x14ac:dyDescent="0.25">
      <c r="A6" s="32" t="s">
        <v>306</v>
      </c>
      <c r="B6" s="77" t="s">
        <v>126</v>
      </c>
      <c r="C6" s="66" t="s">
        <v>42</v>
      </c>
      <c r="D6" s="66" t="s">
        <v>307</v>
      </c>
      <c r="E6" s="66" t="s">
        <v>111</v>
      </c>
      <c r="F6" s="102" t="s">
        <v>343</v>
      </c>
      <c r="G6" s="121" t="s">
        <v>111</v>
      </c>
      <c r="H6" s="66" t="s">
        <v>11</v>
      </c>
      <c r="I6" s="105" t="s">
        <v>308</v>
      </c>
      <c r="J6" s="334" t="s">
        <v>648</v>
      </c>
      <c r="K6" s="331" t="s">
        <v>676</v>
      </c>
      <c r="L6" s="329">
        <v>44347</v>
      </c>
    </row>
    <row r="7" spans="1:12" ht="45.75" customHeight="1" x14ac:dyDescent="0.25">
      <c r="A7" s="32" t="s">
        <v>309</v>
      </c>
      <c r="B7" s="77" t="s">
        <v>126</v>
      </c>
      <c r="C7" s="66" t="s">
        <v>42</v>
      </c>
      <c r="D7" s="66" t="s">
        <v>307</v>
      </c>
      <c r="E7" s="66" t="s">
        <v>111</v>
      </c>
      <c r="F7" s="102" t="s">
        <v>343</v>
      </c>
      <c r="G7" s="121" t="s">
        <v>111</v>
      </c>
      <c r="H7" s="66" t="s">
        <v>11</v>
      </c>
      <c r="I7" s="105" t="s">
        <v>308</v>
      </c>
      <c r="J7" s="138" t="s">
        <v>310</v>
      </c>
      <c r="K7" s="331" t="s">
        <v>610</v>
      </c>
      <c r="L7" s="329">
        <v>44336</v>
      </c>
    </row>
    <row r="8" spans="1:12" ht="108.75" customHeight="1" x14ac:dyDescent="0.25">
      <c r="A8" s="560" t="s">
        <v>311</v>
      </c>
      <c r="B8" s="558" t="s">
        <v>111</v>
      </c>
      <c r="C8" s="66" t="s">
        <v>42</v>
      </c>
      <c r="D8" s="56" t="s">
        <v>304</v>
      </c>
      <c r="E8" s="66" t="s">
        <v>111</v>
      </c>
      <c r="F8" s="102" t="s">
        <v>343</v>
      </c>
      <c r="G8" s="121" t="s">
        <v>111</v>
      </c>
      <c r="H8" s="66" t="s">
        <v>11</v>
      </c>
      <c r="I8" s="105" t="s">
        <v>305</v>
      </c>
      <c r="J8" s="334" t="s">
        <v>648</v>
      </c>
      <c r="K8" s="67" t="s">
        <v>673</v>
      </c>
      <c r="L8" s="360">
        <v>44323</v>
      </c>
    </row>
    <row r="9" spans="1:12" ht="60" x14ac:dyDescent="0.25">
      <c r="A9" s="561"/>
      <c r="B9" s="559"/>
      <c r="C9" s="66" t="s">
        <v>42</v>
      </c>
      <c r="D9" s="66" t="s">
        <v>307</v>
      </c>
      <c r="E9" s="66" t="s">
        <v>111</v>
      </c>
      <c r="F9" s="102" t="s">
        <v>343</v>
      </c>
      <c r="G9" s="121" t="s">
        <v>111</v>
      </c>
      <c r="H9" s="66" t="s">
        <v>11</v>
      </c>
      <c r="I9" s="105" t="s">
        <v>308</v>
      </c>
      <c r="J9" s="334" t="s">
        <v>648</v>
      </c>
      <c r="K9" s="331" t="s">
        <v>650</v>
      </c>
      <c r="L9" s="329">
        <v>44347</v>
      </c>
    </row>
    <row r="10" spans="1:12" x14ac:dyDescent="0.25">
      <c r="A10" s="30" t="s">
        <v>312</v>
      </c>
      <c r="B10" s="74"/>
      <c r="C10" s="66"/>
      <c r="D10" s="66"/>
      <c r="E10" s="53"/>
      <c r="F10" s="53"/>
      <c r="G10" s="121"/>
      <c r="H10" s="66"/>
      <c r="I10" s="105"/>
      <c r="J10" s="66"/>
      <c r="K10" s="331"/>
      <c r="L10" s="330"/>
    </row>
    <row r="11" spans="1:12" ht="75" x14ac:dyDescent="0.25">
      <c r="A11" s="32" t="s">
        <v>313</v>
      </c>
      <c r="B11" s="77" t="s">
        <v>111</v>
      </c>
      <c r="C11" s="66" t="s">
        <v>42</v>
      </c>
      <c r="D11" s="66" t="s">
        <v>314</v>
      </c>
      <c r="E11" s="66" t="s">
        <v>111</v>
      </c>
      <c r="F11" s="102" t="s">
        <v>343</v>
      </c>
      <c r="G11" s="121" t="s">
        <v>111</v>
      </c>
      <c r="H11" s="66" t="s">
        <v>11</v>
      </c>
      <c r="I11" s="105" t="s">
        <v>315</v>
      </c>
      <c r="J11" s="334" t="s">
        <v>648</v>
      </c>
      <c r="K11" s="331" t="s">
        <v>649</v>
      </c>
      <c r="L11" s="329">
        <v>44316</v>
      </c>
    </row>
    <row r="12" spans="1:12" ht="60" x14ac:dyDescent="0.25">
      <c r="A12" s="32" t="s">
        <v>316</v>
      </c>
      <c r="B12" s="77" t="s">
        <v>111</v>
      </c>
      <c r="C12" s="66" t="s">
        <v>42</v>
      </c>
      <c r="D12" s="56" t="s">
        <v>89</v>
      </c>
      <c r="E12" s="66" t="s">
        <v>111</v>
      </c>
      <c r="F12" s="102" t="s">
        <v>357</v>
      </c>
      <c r="G12" s="121" t="s">
        <v>111</v>
      </c>
      <c r="H12" s="66" t="s">
        <v>11</v>
      </c>
      <c r="I12" s="105" t="s">
        <v>90</v>
      </c>
      <c r="J12" s="56" t="s">
        <v>19</v>
      </c>
      <c r="K12" s="331" t="s">
        <v>651</v>
      </c>
      <c r="L12" s="329">
        <v>44312</v>
      </c>
    </row>
    <row r="13" spans="1:12" ht="48.75" customHeight="1" x14ac:dyDescent="0.25">
      <c r="A13" s="562" t="s">
        <v>317</v>
      </c>
      <c r="B13" s="558" t="s">
        <v>111</v>
      </c>
      <c r="C13" s="66" t="s">
        <v>42</v>
      </c>
      <c r="D13" s="56" t="s">
        <v>318</v>
      </c>
      <c r="E13" s="66" t="s">
        <v>111</v>
      </c>
      <c r="F13" s="102" t="s">
        <v>343</v>
      </c>
      <c r="G13" s="121" t="s">
        <v>111</v>
      </c>
      <c r="H13" s="66" t="s">
        <v>11</v>
      </c>
      <c r="I13" s="101" t="s">
        <v>319</v>
      </c>
      <c r="J13" s="101" t="s">
        <v>320</v>
      </c>
      <c r="K13" s="576" t="s">
        <v>652</v>
      </c>
      <c r="L13" s="578">
        <v>44341</v>
      </c>
    </row>
    <row r="14" spans="1:12" s="52" customFormat="1" ht="48.75" customHeight="1" x14ac:dyDescent="0.25">
      <c r="A14" s="563"/>
      <c r="B14" s="559"/>
      <c r="C14" s="66" t="s">
        <v>396</v>
      </c>
      <c r="D14" s="56" t="s">
        <v>14</v>
      </c>
      <c r="E14" s="66" t="s">
        <v>10</v>
      </c>
      <c r="F14" s="125" t="s">
        <v>421</v>
      </c>
      <c r="G14" s="109">
        <v>200</v>
      </c>
      <c r="H14" s="103" t="s">
        <v>11</v>
      </c>
      <c r="I14" s="101" t="s">
        <v>15</v>
      </c>
      <c r="J14" s="334" t="s">
        <v>648</v>
      </c>
      <c r="K14" s="577"/>
      <c r="L14" s="579"/>
    </row>
    <row r="15" spans="1:12" x14ac:dyDescent="0.25">
      <c r="A15" s="30" t="s">
        <v>321</v>
      </c>
      <c r="B15" s="74"/>
      <c r="C15" s="66"/>
      <c r="D15" s="66"/>
      <c r="E15" s="53"/>
      <c r="F15" s="53"/>
      <c r="G15" s="121"/>
      <c r="H15" s="66"/>
      <c r="I15" s="66"/>
      <c r="J15" s="66"/>
      <c r="K15" s="67"/>
      <c r="L15" s="57"/>
    </row>
    <row r="16" spans="1:12" x14ac:dyDescent="0.25">
      <c r="A16" s="562" t="s">
        <v>322</v>
      </c>
      <c r="B16" s="558" t="s">
        <v>111</v>
      </c>
      <c r="C16" s="558" t="s">
        <v>42</v>
      </c>
      <c r="D16" s="564" t="s">
        <v>169</v>
      </c>
      <c r="E16" s="558" t="s">
        <v>111</v>
      </c>
      <c r="F16" s="384" t="s">
        <v>343</v>
      </c>
      <c r="G16" s="568" t="s">
        <v>111</v>
      </c>
      <c r="H16" s="558" t="s">
        <v>11</v>
      </c>
      <c r="I16" s="570" t="s">
        <v>170</v>
      </c>
      <c r="J16" s="574" t="s">
        <v>648</v>
      </c>
      <c r="K16" s="572" t="s">
        <v>323</v>
      </c>
      <c r="L16" s="566">
        <v>44317</v>
      </c>
    </row>
    <row r="17" spans="1:12" s="52" customFormat="1" x14ac:dyDescent="0.25">
      <c r="A17" s="563"/>
      <c r="B17" s="559"/>
      <c r="C17" s="559"/>
      <c r="D17" s="565"/>
      <c r="E17" s="559"/>
      <c r="F17" s="385"/>
      <c r="G17" s="569"/>
      <c r="H17" s="559"/>
      <c r="I17" s="571"/>
      <c r="J17" s="575"/>
      <c r="K17" s="573"/>
      <c r="L17" s="567"/>
    </row>
    <row r="18" spans="1:12" ht="37.5" customHeight="1" x14ac:dyDescent="0.25">
      <c r="A18" s="128" t="s">
        <v>324</v>
      </c>
      <c r="B18" s="77" t="s">
        <v>111</v>
      </c>
      <c r="C18" s="104" t="s">
        <v>42</v>
      </c>
      <c r="D18" s="104"/>
      <c r="E18" s="66" t="s">
        <v>111</v>
      </c>
      <c r="F18" s="126" t="s">
        <v>343</v>
      </c>
      <c r="G18" s="121" t="s">
        <v>111</v>
      </c>
      <c r="H18" s="104"/>
      <c r="I18" s="104"/>
      <c r="J18" s="69"/>
      <c r="K18" s="68"/>
      <c r="L18" s="48"/>
    </row>
    <row r="19" spans="1:12" ht="90.75" thickBot="1" x14ac:dyDescent="0.3">
      <c r="A19" s="128" t="s">
        <v>333</v>
      </c>
      <c r="B19" s="77" t="s">
        <v>111</v>
      </c>
      <c r="C19" s="104" t="s">
        <v>42</v>
      </c>
      <c r="D19" s="56" t="s">
        <v>304</v>
      </c>
      <c r="E19" s="66" t="s">
        <v>111</v>
      </c>
      <c r="F19" s="126" t="s">
        <v>343</v>
      </c>
      <c r="G19" s="121" t="s">
        <v>111</v>
      </c>
      <c r="H19" s="328" t="s">
        <v>11</v>
      </c>
      <c r="I19" s="332" t="s">
        <v>305</v>
      </c>
      <c r="J19" s="334" t="s">
        <v>648</v>
      </c>
      <c r="K19" s="67" t="s">
        <v>674</v>
      </c>
      <c r="L19" s="329">
        <v>44341</v>
      </c>
    </row>
    <row r="20" spans="1:12" ht="14.65" customHeight="1" thickBot="1" x14ac:dyDescent="0.3">
      <c r="A20" s="59" t="s">
        <v>326</v>
      </c>
      <c r="B20" s="65">
        <f>SUM(B5:B9,B11:B13,B17:B19)</f>
        <v>0</v>
      </c>
      <c r="C20" s="22"/>
      <c r="D20" s="22"/>
      <c r="E20" s="22"/>
      <c r="F20" s="22"/>
      <c r="G20" s="65">
        <f>SUM(G5:G9,G11:G13,G16:G19)</f>
        <v>0</v>
      </c>
      <c r="H20" s="22"/>
      <c r="I20" s="22"/>
      <c r="J20" s="22"/>
      <c r="K20" s="22"/>
      <c r="L20" s="23"/>
    </row>
    <row r="21" spans="1:12" s="52" customFormat="1" ht="15.75" thickBot="1" x14ac:dyDescent="0.3">
      <c r="A21" s="59" t="s">
        <v>481</v>
      </c>
      <c r="B21" s="65"/>
      <c r="C21" s="22"/>
      <c r="D21" s="22"/>
      <c r="E21" s="22"/>
      <c r="F21" s="22"/>
      <c r="G21" s="65">
        <f>SUMIF(C3:C19,"*Supps C*",G3:G19)</f>
        <v>200</v>
      </c>
      <c r="H21" s="22"/>
      <c r="I21" s="22"/>
      <c r="J21" s="22"/>
      <c r="K21" s="22"/>
      <c r="L21" s="23"/>
    </row>
    <row r="23" spans="1:12" ht="17.25" x14ac:dyDescent="0.25">
      <c r="A23" s="54" t="s">
        <v>367</v>
      </c>
      <c r="B23" s="1"/>
    </row>
    <row r="25" spans="1:12" x14ac:dyDescent="0.25">
      <c r="A25" s="1"/>
      <c r="B25" s="1"/>
    </row>
    <row r="26" spans="1:12" x14ac:dyDescent="0.25">
      <c r="A26" s="1"/>
      <c r="B26" s="1"/>
    </row>
  </sheetData>
  <mergeCells count="19">
    <mergeCell ref="C2:G2"/>
    <mergeCell ref="L16:L17"/>
    <mergeCell ref="F16:F17"/>
    <mergeCell ref="G16:G17"/>
    <mergeCell ref="H16:H17"/>
    <mergeCell ref="I16:I17"/>
    <mergeCell ref="K16:K17"/>
    <mergeCell ref="J16:J17"/>
    <mergeCell ref="K13:K14"/>
    <mergeCell ref="L13:L14"/>
    <mergeCell ref="A8:A9"/>
    <mergeCell ref="A16:A17"/>
    <mergeCell ref="C16:C17"/>
    <mergeCell ref="D16:D17"/>
    <mergeCell ref="E16:E17"/>
    <mergeCell ref="B8:B9"/>
    <mergeCell ref="B16:B17"/>
    <mergeCell ref="A13:A14"/>
    <mergeCell ref="B13:B14"/>
  </mergeCells>
  <hyperlinks>
    <hyperlink ref="I7" r:id="rId1" xr:uid="{1540B2A2-2984-48E7-A871-D135B0C046DA}"/>
    <hyperlink ref="I6" r:id="rId2" xr:uid="{286F0B26-41AA-436A-A80D-E9A9C492B5AC}"/>
    <hyperlink ref="I16" r:id="rId3" xr:uid="{9EE20607-2354-4D42-B7F2-CA1442D3DAF9}"/>
    <hyperlink ref="I5" r:id="rId4" xr:uid="{A4B9BE79-9D7A-438B-8D49-5EB155EA6847}"/>
    <hyperlink ref="I8" r:id="rId5" xr:uid="{671A4BFC-D553-4509-A213-915B076CAD5A}"/>
    <hyperlink ref="I11" r:id="rId6" xr:uid="{7B89B830-7E53-4A32-9F15-69687737F0D7}"/>
    <hyperlink ref="J13" r:id="rId7" xr:uid="{4EE352B4-79D3-4780-B88E-FCD45B299FC5}"/>
    <hyperlink ref="I13" r:id="rId8" xr:uid="{D9264DA8-B5B3-4F05-A7DC-95494BD0FF53}"/>
    <hyperlink ref="I12" r:id="rId9" xr:uid="{A04A0D1E-9A7C-4C93-BF60-569F4CCF3323}"/>
    <hyperlink ref="I9" r:id="rId10" xr:uid="{9FEDA449-E3FC-4175-92FE-3D8BBE7DC6FB}"/>
    <hyperlink ref="I14" r:id="rId11" xr:uid="{8D78F163-DF9F-4B9F-B0BA-8051DE2EB60D}"/>
    <hyperlink ref="J7" r:id="rId12" display="CEBA data" xr:uid="{C9275DAD-2A63-47F5-B32D-C13B0D762590}"/>
    <hyperlink ref="J16:J17" r:id="rId13" display="Canada's COVID-19 Emergency Response: CMHC" xr:uid="{AB8A4A48-EB02-4EBA-AC4A-7BF6FC56CBAC}"/>
    <hyperlink ref="J5" r:id="rId14" xr:uid="{A31F9E1F-A189-438C-8FD5-42C93F85B03B}"/>
    <hyperlink ref="J8" r:id="rId15" xr:uid="{9AD8B054-421E-472A-B8E8-70699A7BF53C}"/>
    <hyperlink ref="I19" r:id="rId16" xr:uid="{920A0756-4C89-4BA4-961B-CE8713DC6F41}"/>
    <hyperlink ref="J19" r:id="rId17" xr:uid="{04F80759-7515-40E9-B1E7-F153337CE06F}"/>
    <hyperlink ref="J11" r:id="rId18" xr:uid="{644E84D7-971F-412E-93F3-673FEEFCCC63}"/>
    <hyperlink ref="J14" r:id="rId19" xr:uid="{C838A980-A85D-4616-ACD8-1564EE9870C9}"/>
    <hyperlink ref="J6" r:id="rId20" xr:uid="{603A7814-0E45-4282-9A9E-30A3F1FC2A30}"/>
    <hyperlink ref="J9" r:id="rId21" xr:uid="{2CAA012C-53EB-40D5-868B-D10B4A7FE3C6}"/>
  </hyperlinks>
  <pageMargins left="0.7" right="0.7" top="0.75" bottom="0.75" header="0.3" footer="0.3"/>
  <pageSetup orientation="portrait" r:id="rId2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75F37-838F-4E06-B287-5F8B03278ECF}">
  <sheetPr>
    <tabColor theme="9" tint="-0.249977111117893"/>
  </sheetPr>
  <dimension ref="A1:R57"/>
  <sheetViews>
    <sheetView showGridLines="0" zoomScale="70" zoomScaleNormal="70" workbookViewId="0"/>
  </sheetViews>
  <sheetFormatPr defaultRowHeight="15" x14ac:dyDescent="0.25"/>
  <cols>
    <col min="1" max="1" width="68.85546875" customWidth="1"/>
    <col min="2" max="2" width="38.28515625" style="52" bestFit="1" customWidth="1"/>
    <col min="3" max="3" width="26.140625" bestFit="1" customWidth="1"/>
    <col min="4" max="4" width="46.5703125" customWidth="1"/>
    <col min="5" max="5" width="25.28515625" bestFit="1" customWidth="1"/>
    <col min="6" max="6" width="42.7109375" style="52" bestFit="1" customWidth="1"/>
    <col min="7" max="7" width="37.28515625" bestFit="1" customWidth="1"/>
    <col min="8" max="8" width="38.28515625" style="52" bestFit="1" customWidth="1"/>
    <col min="9" max="9" width="26.140625" style="52" bestFit="1" customWidth="1"/>
    <col min="10" max="10" width="46.5703125" style="52" customWidth="1"/>
    <col min="11" max="11" width="25.28515625" style="52" bestFit="1" customWidth="1"/>
    <col min="12" max="12" width="42.7109375" style="52" bestFit="1" customWidth="1"/>
    <col min="13" max="13" width="37.28515625" style="52" bestFit="1" customWidth="1"/>
    <col min="14" max="14" width="14.140625" bestFit="1" customWidth="1"/>
    <col min="15" max="15" width="13.7109375" bestFit="1" customWidth="1"/>
    <col min="16" max="16" width="21.140625" bestFit="1" customWidth="1"/>
    <col min="17" max="17" width="30.7109375" customWidth="1"/>
    <col min="18" max="18" width="18.42578125" bestFit="1" customWidth="1"/>
  </cols>
  <sheetData>
    <row r="1" spans="1:18" ht="15.75" thickBot="1" x14ac:dyDescent="0.3">
      <c r="A1" s="40" t="s">
        <v>645</v>
      </c>
      <c r="B1" s="40"/>
      <c r="H1" s="40"/>
    </row>
    <row r="2" spans="1:18" ht="15.75" thickBot="1" x14ac:dyDescent="0.3">
      <c r="B2" s="477" t="s">
        <v>463</v>
      </c>
      <c r="C2" s="478"/>
      <c r="D2" s="478"/>
      <c r="E2" s="478"/>
      <c r="F2" s="478"/>
      <c r="G2" s="479"/>
      <c r="H2" s="477" t="s">
        <v>640</v>
      </c>
      <c r="I2" s="478"/>
      <c r="J2" s="478"/>
      <c r="K2" s="478"/>
      <c r="L2" s="478"/>
      <c r="M2" s="580"/>
    </row>
    <row r="3" spans="1:18" ht="17.25" x14ac:dyDescent="0.25">
      <c r="A3" s="39" t="s">
        <v>645</v>
      </c>
      <c r="B3" s="70" t="s">
        <v>366</v>
      </c>
      <c r="C3" s="147" t="s">
        <v>465</v>
      </c>
      <c r="D3" s="147" t="s">
        <v>1</v>
      </c>
      <c r="E3" s="147" t="s">
        <v>471</v>
      </c>
      <c r="F3" s="27" t="s">
        <v>335</v>
      </c>
      <c r="G3" s="147" t="s">
        <v>468</v>
      </c>
      <c r="H3" s="70" t="s">
        <v>639</v>
      </c>
      <c r="I3" s="147" t="s">
        <v>466</v>
      </c>
      <c r="J3" s="147" t="s">
        <v>1</v>
      </c>
      <c r="K3" s="147" t="s">
        <v>471</v>
      </c>
      <c r="L3" s="27" t="s">
        <v>335</v>
      </c>
      <c r="M3" s="147" t="s">
        <v>469</v>
      </c>
      <c r="N3" s="28" t="s">
        <v>2</v>
      </c>
      <c r="O3" s="28" t="s">
        <v>3</v>
      </c>
      <c r="P3" s="28" t="s">
        <v>4</v>
      </c>
      <c r="Q3" s="28" t="s">
        <v>5</v>
      </c>
      <c r="R3" s="29" t="s">
        <v>6</v>
      </c>
    </row>
    <row r="4" spans="1:18" ht="32.25" customHeight="1" x14ac:dyDescent="0.25">
      <c r="A4" s="427" t="s">
        <v>293</v>
      </c>
      <c r="B4" s="384"/>
      <c r="C4" s="357" t="s">
        <v>26</v>
      </c>
      <c r="D4" s="144" t="s">
        <v>292</v>
      </c>
      <c r="E4" s="357" t="s">
        <v>16</v>
      </c>
      <c r="F4" s="357" t="s">
        <v>111</v>
      </c>
      <c r="G4" s="355">
        <v>-20</v>
      </c>
      <c r="H4" s="384"/>
      <c r="I4" s="357"/>
      <c r="J4" s="144"/>
      <c r="K4" s="357"/>
      <c r="L4" s="357"/>
      <c r="M4" s="355"/>
      <c r="N4" s="584" t="s">
        <v>85</v>
      </c>
      <c r="O4" s="584"/>
      <c r="P4" s="584"/>
      <c r="Q4" s="584"/>
      <c r="R4" s="585"/>
    </row>
    <row r="5" spans="1:18" ht="36" customHeight="1" x14ac:dyDescent="0.25">
      <c r="A5" s="427"/>
      <c r="B5" s="385"/>
      <c r="C5" s="357" t="s">
        <v>26</v>
      </c>
      <c r="D5" s="144" t="s">
        <v>292</v>
      </c>
      <c r="E5" s="357" t="s">
        <v>16</v>
      </c>
      <c r="F5" s="357" t="s">
        <v>111</v>
      </c>
      <c r="G5" s="355">
        <v>20</v>
      </c>
      <c r="H5" s="385"/>
      <c r="I5" s="357"/>
      <c r="J5" s="144"/>
      <c r="K5" s="357"/>
      <c r="L5" s="357"/>
      <c r="M5" s="355"/>
      <c r="N5" s="584"/>
      <c r="O5" s="584"/>
      <c r="P5" s="584"/>
      <c r="Q5" s="584"/>
      <c r="R5" s="585"/>
    </row>
    <row r="6" spans="1:18" x14ac:dyDescent="0.25">
      <c r="A6" s="340" t="s">
        <v>291</v>
      </c>
      <c r="B6" s="95"/>
      <c r="C6" s="346" t="s">
        <v>8</v>
      </c>
      <c r="D6" s="346" t="s">
        <v>17</v>
      </c>
      <c r="E6" s="346" t="s">
        <v>16</v>
      </c>
      <c r="F6" s="357" t="s">
        <v>111</v>
      </c>
      <c r="G6" s="355">
        <v>6.4198120000000003</v>
      </c>
      <c r="H6" s="95"/>
      <c r="I6" s="346"/>
      <c r="J6" s="346"/>
      <c r="K6" s="346"/>
      <c r="L6" s="357"/>
      <c r="M6" s="355"/>
      <c r="N6" s="346" t="s">
        <v>11</v>
      </c>
      <c r="O6" s="343" t="s">
        <v>18</v>
      </c>
      <c r="P6" s="347" t="s">
        <v>19</v>
      </c>
      <c r="Q6" s="90" t="s">
        <v>661</v>
      </c>
      <c r="R6" s="350">
        <v>44316</v>
      </c>
    </row>
    <row r="7" spans="1:18" ht="45" x14ac:dyDescent="0.25">
      <c r="A7" s="340" t="s">
        <v>290</v>
      </c>
      <c r="B7" s="95"/>
      <c r="C7" s="346" t="s">
        <v>8</v>
      </c>
      <c r="D7" s="347" t="s">
        <v>236</v>
      </c>
      <c r="E7" s="346" t="s">
        <v>16</v>
      </c>
      <c r="F7" s="357" t="s">
        <v>111</v>
      </c>
      <c r="G7" s="355">
        <v>5</v>
      </c>
      <c r="H7" s="95"/>
      <c r="I7" s="346"/>
      <c r="J7" s="347"/>
      <c r="K7" s="346"/>
      <c r="L7" s="357"/>
      <c r="M7" s="355"/>
      <c r="N7" s="346" t="s">
        <v>11</v>
      </c>
      <c r="O7" s="343" t="s">
        <v>217</v>
      </c>
      <c r="P7" s="347" t="s">
        <v>73</v>
      </c>
      <c r="Q7" s="90"/>
      <c r="R7" s="94"/>
    </row>
    <row r="8" spans="1:18" ht="30" customHeight="1" x14ac:dyDescent="0.25">
      <c r="A8" s="427" t="s">
        <v>289</v>
      </c>
      <c r="B8" s="384"/>
      <c r="C8" s="346" t="s">
        <v>8</v>
      </c>
      <c r="D8" s="347" t="s">
        <v>288</v>
      </c>
      <c r="E8" s="346" t="s">
        <v>16</v>
      </c>
      <c r="F8" s="357" t="s">
        <v>111</v>
      </c>
      <c r="G8" s="355">
        <v>-3.3290000000000002</v>
      </c>
      <c r="H8" s="384"/>
      <c r="I8" s="346"/>
      <c r="J8" s="347"/>
      <c r="K8" s="346"/>
      <c r="L8" s="357"/>
      <c r="M8" s="355"/>
      <c r="N8" s="414" t="s">
        <v>85</v>
      </c>
      <c r="O8" s="414"/>
      <c r="P8" s="414"/>
      <c r="Q8" s="581"/>
      <c r="R8" s="582"/>
    </row>
    <row r="9" spans="1:18" ht="30" customHeight="1" x14ac:dyDescent="0.25">
      <c r="A9" s="427"/>
      <c r="B9" s="385"/>
      <c r="C9" s="346" t="s">
        <v>8</v>
      </c>
      <c r="D9" s="346" t="s">
        <v>288</v>
      </c>
      <c r="E9" s="346" t="s">
        <v>16</v>
      </c>
      <c r="F9" s="357" t="s">
        <v>111</v>
      </c>
      <c r="G9" s="355">
        <v>3.3290000000000002</v>
      </c>
      <c r="H9" s="385"/>
      <c r="I9" s="346"/>
      <c r="J9" s="346"/>
      <c r="K9" s="346"/>
      <c r="L9" s="357"/>
      <c r="M9" s="355"/>
      <c r="N9" s="414"/>
      <c r="O9" s="414"/>
      <c r="P9" s="414"/>
      <c r="Q9" s="581"/>
      <c r="R9" s="582"/>
    </row>
    <row r="10" spans="1:18" x14ac:dyDescent="0.25">
      <c r="A10" s="427" t="s">
        <v>287</v>
      </c>
      <c r="B10" s="384"/>
      <c r="C10" s="346" t="s">
        <v>8</v>
      </c>
      <c r="D10" s="346" t="s">
        <v>286</v>
      </c>
      <c r="E10" s="346" t="s">
        <v>16</v>
      </c>
      <c r="F10" s="357" t="s">
        <v>111</v>
      </c>
      <c r="G10" s="355">
        <v>-33.732999999999997</v>
      </c>
      <c r="H10" s="384"/>
      <c r="I10" s="346"/>
      <c r="J10" s="346"/>
      <c r="K10" s="346"/>
      <c r="L10" s="357"/>
      <c r="M10" s="355"/>
      <c r="N10" s="414" t="s">
        <v>85</v>
      </c>
      <c r="O10" s="414"/>
      <c r="P10" s="414"/>
      <c r="Q10" s="581"/>
      <c r="R10" s="582"/>
    </row>
    <row r="11" spans="1:18" x14ac:dyDescent="0.25">
      <c r="A11" s="427"/>
      <c r="B11" s="385"/>
      <c r="C11" s="346" t="s">
        <v>8</v>
      </c>
      <c r="D11" s="346" t="s">
        <v>286</v>
      </c>
      <c r="E11" s="346" t="s">
        <v>16</v>
      </c>
      <c r="F11" s="357" t="s">
        <v>111</v>
      </c>
      <c r="G11" s="355">
        <v>33.732999999999997</v>
      </c>
      <c r="H11" s="385"/>
      <c r="I11" s="346"/>
      <c r="J11" s="346"/>
      <c r="K11" s="346"/>
      <c r="L11" s="357"/>
      <c r="M11" s="355"/>
      <c r="N11" s="414"/>
      <c r="O11" s="414"/>
      <c r="P11" s="414"/>
      <c r="Q11" s="581"/>
      <c r="R11" s="582"/>
    </row>
    <row r="12" spans="1:18" ht="30" customHeight="1" x14ac:dyDescent="0.25">
      <c r="A12" s="427" t="s">
        <v>285</v>
      </c>
      <c r="B12" s="384"/>
      <c r="C12" s="346" t="s">
        <v>8</v>
      </c>
      <c r="D12" s="347" t="s">
        <v>284</v>
      </c>
      <c r="E12" s="346" t="s">
        <v>16</v>
      </c>
      <c r="F12" s="357" t="s">
        <v>111</v>
      </c>
      <c r="G12" s="355">
        <v>5.5269320000000004</v>
      </c>
      <c r="H12" s="384"/>
      <c r="I12" s="346"/>
      <c r="J12" s="347"/>
      <c r="K12" s="346"/>
      <c r="L12" s="357"/>
      <c r="M12" s="355"/>
      <c r="N12" s="346" t="s">
        <v>85</v>
      </c>
      <c r="O12" s="346"/>
      <c r="P12" s="346"/>
      <c r="Q12" s="90"/>
      <c r="R12" s="94"/>
    </row>
    <row r="13" spans="1:18" x14ac:dyDescent="0.25">
      <c r="A13" s="427"/>
      <c r="B13" s="385"/>
      <c r="C13" s="346" t="s">
        <v>8</v>
      </c>
      <c r="D13" s="347" t="s">
        <v>91</v>
      </c>
      <c r="E13" s="346" t="s">
        <v>16</v>
      </c>
      <c r="F13" s="357" t="s">
        <v>111</v>
      </c>
      <c r="G13" s="355">
        <f>27.30409+63.65</f>
        <v>90.954089999999994</v>
      </c>
      <c r="H13" s="385"/>
      <c r="I13" s="346"/>
      <c r="J13" s="347"/>
      <c r="K13" s="346"/>
      <c r="L13" s="357"/>
      <c r="M13" s="355"/>
      <c r="N13" s="346" t="s">
        <v>11</v>
      </c>
      <c r="O13" s="343" t="s">
        <v>92</v>
      </c>
      <c r="P13" s="347" t="s">
        <v>19</v>
      </c>
      <c r="Q13" s="129" t="s">
        <v>638</v>
      </c>
      <c r="R13" s="350">
        <v>44286</v>
      </c>
    </row>
    <row r="14" spans="1:18" ht="30" customHeight="1" x14ac:dyDescent="0.25">
      <c r="A14" s="427" t="s">
        <v>283</v>
      </c>
      <c r="B14" s="384"/>
      <c r="C14" s="346" t="s">
        <v>8</v>
      </c>
      <c r="D14" s="347" t="s">
        <v>277</v>
      </c>
      <c r="E14" s="346" t="s">
        <v>16</v>
      </c>
      <c r="F14" s="357" t="s">
        <v>111</v>
      </c>
      <c r="G14" s="355">
        <v>1.3129919999999999</v>
      </c>
      <c r="H14" s="384"/>
      <c r="I14" s="346"/>
      <c r="J14" s="347"/>
      <c r="K14" s="346"/>
      <c r="L14" s="357"/>
      <c r="M14" s="355"/>
      <c r="N14" s="346" t="s">
        <v>11</v>
      </c>
      <c r="O14" s="343" t="s">
        <v>276</v>
      </c>
      <c r="P14" s="347" t="s">
        <v>19</v>
      </c>
      <c r="Q14" s="97" t="s">
        <v>378</v>
      </c>
      <c r="R14" s="350">
        <v>44135</v>
      </c>
    </row>
    <row r="15" spans="1:18" ht="30" x14ac:dyDescent="0.25">
      <c r="A15" s="427"/>
      <c r="B15" s="410"/>
      <c r="C15" s="346" t="s">
        <v>8</v>
      </c>
      <c r="D15" s="347" t="s">
        <v>35</v>
      </c>
      <c r="E15" s="346" t="s">
        <v>16</v>
      </c>
      <c r="F15" s="357" t="s">
        <v>111</v>
      </c>
      <c r="G15" s="122">
        <v>0.44668799999999997</v>
      </c>
      <c r="H15" s="410"/>
      <c r="I15" s="346"/>
      <c r="J15" s="347"/>
      <c r="K15" s="346"/>
      <c r="L15" s="357"/>
      <c r="M15" s="122"/>
      <c r="N15" s="346" t="s">
        <v>11</v>
      </c>
      <c r="O15" s="343" t="s">
        <v>282</v>
      </c>
      <c r="P15" s="347" t="s">
        <v>213</v>
      </c>
      <c r="Q15" s="90"/>
      <c r="R15" s="94"/>
    </row>
    <row r="16" spans="1:18" x14ac:dyDescent="0.25">
      <c r="A16" s="427"/>
      <c r="B16" s="385"/>
      <c r="C16" s="346" t="s">
        <v>8</v>
      </c>
      <c r="D16" s="347" t="s">
        <v>30</v>
      </c>
      <c r="E16" s="346" t="s">
        <v>16</v>
      </c>
      <c r="F16" s="357" t="s">
        <v>111</v>
      </c>
      <c r="G16" s="122">
        <v>0.19544</v>
      </c>
      <c r="H16" s="385"/>
      <c r="I16" s="346"/>
      <c r="J16" s="347"/>
      <c r="K16" s="346"/>
      <c r="L16" s="357"/>
      <c r="M16" s="122"/>
      <c r="N16" s="346" t="s">
        <v>11</v>
      </c>
      <c r="O16" s="343" t="s">
        <v>31</v>
      </c>
      <c r="P16" s="346" t="s">
        <v>13</v>
      </c>
      <c r="Q16" s="90"/>
      <c r="R16" s="94"/>
    </row>
    <row r="17" spans="1:18" ht="30" x14ac:dyDescent="0.25">
      <c r="A17" s="427" t="s">
        <v>281</v>
      </c>
      <c r="B17" s="384"/>
      <c r="C17" s="346" t="s">
        <v>8</v>
      </c>
      <c r="D17" s="347" t="s">
        <v>110</v>
      </c>
      <c r="E17" s="346" t="s">
        <v>16</v>
      </c>
      <c r="F17" s="357" t="s">
        <v>111</v>
      </c>
      <c r="G17" s="355">
        <v>-2</v>
      </c>
      <c r="H17" s="384"/>
      <c r="I17" s="346"/>
      <c r="J17" s="347"/>
      <c r="K17" s="346"/>
      <c r="L17" s="357"/>
      <c r="M17" s="355"/>
      <c r="N17" s="414" t="s">
        <v>11</v>
      </c>
      <c r="O17" s="435" t="s">
        <v>75</v>
      </c>
      <c r="P17" s="467" t="s">
        <v>73</v>
      </c>
      <c r="Q17" s="581"/>
      <c r="R17" s="582"/>
    </row>
    <row r="18" spans="1:18" x14ac:dyDescent="0.25">
      <c r="A18" s="427"/>
      <c r="B18" s="385"/>
      <c r="C18" s="346" t="s">
        <v>8</v>
      </c>
      <c r="D18" s="346" t="s">
        <v>70</v>
      </c>
      <c r="E18" s="346" t="s">
        <v>16</v>
      </c>
      <c r="F18" s="357" t="s">
        <v>111</v>
      </c>
      <c r="G18" s="355">
        <v>2</v>
      </c>
      <c r="H18" s="385"/>
      <c r="I18" s="346"/>
      <c r="J18" s="346"/>
      <c r="K18" s="346"/>
      <c r="L18" s="357"/>
      <c r="M18" s="355"/>
      <c r="N18" s="414"/>
      <c r="O18" s="435"/>
      <c r="P18" s="467"/>
      <c r="Q18" s="581"/>
      <c r="R18" s="582"/>
    </row>
    <row r="19" spans="1:18" x14ac:dyDescent="0.25">
      <c r="A19" s="583" t="s">
        <v>280</v>
      </c>
      <c r="B19" s="378"/>
      <c r="C19" s="346" t="s">
        <v>8</v>
      </c>
      <c r="D19" s="346" t="s">
        <v>20</v>
      </c>
      <c r="E19" s="346" t="s">
        <v>16</v>
      </c>
      <c r="F19" s="357" t="s">
        <v>111</v>
      </c>
      <c r="G19" s="122">
        <v>-0.45871099999999998</v>
      </c>
      <c r="H19" s="378"/>
      <c r="I19" s="346"/>
      <c r="J19" s="346"/>
      <c r="K19" s="346"/>
      <c r="L19" s="357"/>
      <c r="M19" s="122"/>
      <c r="N19" s="414" t="s">
        <v>11</v>
      </c>
      <c r="O19" s="435" t="s">
        <v>157</v>
      </c>
      <c r="P19" s="467" t="s">
        <v>73</v>
      </c>
      <c r="Q19" s="581"/>
      <c r="R19" s="582"/>
    </row>
    <row r="20" spans="1:18" x14ac:dyDescent="0.25">
      <c r="A20" s="583"/>
      <c r="B20" s="380"/>
      <c r="C20" s="346" t="s">
        <v>8</v>
      </c>
      <c r="D20" s="346" t="s">
        <v>66</v>
      </c>
      <c r="E20" s="346" t="s">
        <v>16</v>
      </c>
      <c r="F20" s="357" t="s">
        <v>111</v>
      </c>
      <c r="G20" s="122">
        <v>0.45871099999999998</v>
      </c>
      <c r="H20" s="380"/>
      <c r="I20" s="346"/>
      <c r="J20" s="346"/>
      <c r="K20" s="346"/>
      <c r="L20" s="357"/>
      <c r="M20" s="122"/>
      <c r="N20" s="414"/>
      <c r="O20" s="435"/>
      <c r="P20" s="467"/>
      <c r="Q20" s="581"/>
      <c r="R20" s="582"/>
    </row>
    <row r="21" spans="1:18" ht="30" x14ac:dyDescent="0.25">
      <c r="A21" s="583" t="s">
        <v>279</v>
      </c>
      <c r="B21" s="378"/>
      <c r="C21" s="346" t="s">
        <v>8</v>
      </c>
      <c r="D21" s="346" t="s">
        <v>66</v>
      </c>
      <c r="E21" s="346" t="s">
        <v>16</v>
      </c>
      <c r="F21" s="357" t="s">
        <v>111</v>
      </c>
      <c r="G21" s="355">
        <v>44.52328</v>
      </c>
      <c r="H21" s="378"/>
      <c r="I21" s="346" t="s">
        <v>26</v>
      </c>
      <c r="J21" s="346" t="s">
        <v>66</v>
      </c>
      <c r="K21" s="346" t="s">
        <v>16</v>
      </c>
      <c r="L21" s="357" t="s">
        <v>111</v>
      </c>
      <c r="M21" s="355">
        <v>2.191055</v>
      </c>
      <c r="N21" s="346" t="s">
        <v>11</v>
      </c>
      <c r="O21" s="343" t="s">
        <v>157</v>
      </c>
      <c r="P21" s="347" t="s">
        <v>73</v>
      </c>
      <c r="Q21" s="90"/>
      <c r="R21" s="94"/>
    </row>
    <row r="22" spans="1:18" ht="30" x14ac:dyDescent="0.25">
      <c r="A22" s="583"/>
      <c r="B22" s="380"/>
      <c r="C22" s="346" t="s">
        <v>8</v>
      </c>
      <c r="D22" s="346" t="s">
        <v>70</v>
      </c>
      <c r="E22" s="346" t="s">
        <v>16</v>
      </c>
      <c r="F22" s="357" t="s">
        <v>111</v>
      </c>
      <c r="G22" s="355">
        <v>3.9385840000000001</v>
      </c>
      <c r="H22" s="380"/>
      <c r="I22" s="346"/>
      <c r="J22" s="346"/>
      <c r="K22" s="346"/>
      <c r="L22" s="357"/>
      <c r="M22" s="355"/>
      <c r="N22" s="346" t="s">
        <v>11</v>
      </c>
      <c r="O22" s="343" t="s">
        <v>75</v>
      </c>
      <c r="P22" s="347" t="s">
        <v>73</v>
      </c>
      <c r="Q22" s="90"/>
      <c r="R22" s="94"/>
    </row>
    <row r="23" spans="1:18" ht="30" x14ac:dyDescent="0.25">
      <c r="A23" s="359" t="s">
        <v>278</v>
      </c>
      <c r="B23" s="96"/>
      <c r="C23" s="346" t="s">
        <v>8</v>
      </c>
      <c r="D23" s="347" t="s">
        <v>124</v>
      </c>
      <c r="E23" s="346" t="s">
        <v>16</v>
      </c>
      <c r="F23" s="357" t="s">
        <v>111</v>
      </c>
      <c r="G23" s="355">
        <v>4.2189170000000003</v>
      </c>
      <c r="H23" s="96"/>
      <c r="I23" s="346"/>
      <c r="J23" s="347"/>
      <c r="K23" s="346"/>
      <c r="L23" s="357"/>
      <c r="M23" s="355"/>
      <c r="N23" s="346" t="s">
        <v>85</v>
      </c>
      <c r="O23" s="346"/>
      <c r="P23" s="346"/>
      <c r="Q23" s="90"/>
      <c r="R23" s="94"/>
    </row>
    <row r="24" spans="1:18" x14ac:dyDescent="0.25">
      <c r="A24" s="340" t="s">
        <v>275</v>
      </c>
      <c r="B24" s="95"/>
      <c r="C24" s="346" t="s">
        <v>42</v>
      </c>
      <c r="D24" s="346" t="s">
        <v>274</v>
      </c>
      <c r="E24" s="346" t="s">
        <v>111</v>
      </c>
      <c r="F24" s="357" t="s">
        <v>111</v>
      </c>
      <c r="G24" s="355" t="s">
        <v>111</v>
      </c>
      <c r="H24" s="95"/>
      <c r="I24" s="346"/>
      <c r="J24" s="346"/>
      <c r="K24" s="346"/>
      <c r="L24" s="357"/>
      <c r="M24" s="355"/>
      <c r="N24" s="346" t="s">
        <v>11</v>
      </c>
      <c r="O24" s="343" t="s">
        <v>273</v>
      </c>
      <c r="P24" s="347" t="s">
        <v>19</v>
      </c>
      <c r="Q24" s="90" t="s">
        <v>126</v>
      </c>
      <c r="R24" s="94"/>
    </row>
    <row r="25" spans="1:18" ht="45" x14ac:dyDescent="0.25">
      <c r="A25" s="340" t="s">
        <v>328</v>
      </c>
      <c r="B25" s="95"/>
      <c r="C25" s="346" t="s">
        <v>42</v>
      </c>
      <c r="D25" s="347" t="s">
        <v>35</v>
      </c>
      <c r="E25" s="346" t="s">
        <v>111</v>
      </c>
      <c r="F25" s="357" t="s">
        <v>111</v>
      </c>
      <c r="G25" s="355" t="s">
        <v>111</v>
      </c>
      <c r="H25" s="95"/>
      <c r="I25" s="346"/>
      <c r="J25" s="347"/>
      <c r="K25" s="346"/>
      <c r="L25" s="357"/>
      <c r="M25" s="355"/>
      <c r="N25" s="347" t="s">
        <v>424</v>
      </c>
      <c r="O25" s="346" t="s">
        <v>111</v>
      </c>
      <c r="P25" s="352" t="s">
        <v>242</v>
      </c>
      <c r="Q25" s="348" t="s">
        <v>329</v>
      </c>
      <c r="R25" s="351" t="s">
        <v>86</v>
      </c>
    </row>
    <row r="26" spans="1:18" ht="60" x14ac:dyDescent="0.25">
      <c r="A26" s="340" t="s">
        <v>330</v>
      </c>
      <c r="B26" s="76">
        <v>4</v>
      </c>
      <c r="C26" s="346" t="s">
        <v>42</v>
      </c>
      <c r="D26" s="347" t="s">
        <v>35</v>
      </c>
      <c r="E26" s="346" t="s">
        <v>111</v>
      </c>
      <c r="F26" s="352" t="s">
        <v>355</v>
      </c>
      <c r="G26" s="355" t="s">
        <v>111</v>
      </c>
      <c r="H26" s="76"/>
      <c r="I26" s="346"/>
      <c r="J26" s="347"/>
      <c r="K26" s="346"/>
      <c r="L26" s="352"/>
      <c r="M26" s="355"/>
      <c r="N26" s="346" t="s">
        <v>11</v>
      </c>
      <c r="O26" s="343" t="s">
        <v>331</v>
      </c>
      <c r="P26" s="352" t="s">
        <v>332</v>
      </c>
      <c r="Q26" s="92" t="s">
        <v>611</v>
      </c>
      <c r="R26" s="350">
        <v>44339</v>
      </c>
    </row>
    <row r="27" spans="1:18" s="52" customFormat="1" ht="30" x14ac:dyDescent="0.25">
      <c r="A27" s="340" t="s">
        <v>271</v>
      </c>
      <c r="B27" s="348"/>
      <c r="C27" s="346" t="s">
        <v>42</v>
      </c>
      <c r="D27" s="347" t="s">
        <v>154</v>
      </c>
      <c r="E27" s="346" t="s">
        <v>111</v>
      </c>
      <c r="F27" s="339" t="s">
        <v>111</v>
      </c>
      <c r="G27" s="342" t="s">
        <v>111</v>
      </c>
      <c r="H27" s="348"/>
      <c r="I27" s="346"/>
      <c r="J27" s="347"/>
      <c r="K27" s="346"/>
      <c r="L27" s="339"/>
      <c r="M27" s="342"/>
      <c r="N27" s="335" t="s">
        <v>11</v>
      </c>
      <c r="O27" s="336" t="s">
        <v>157</v>
      </c>
      <c r="P27" s="339" t="s">
        <v>73</v>
      </c>
      <c r="Q27" s="345"/>
      <c r="R27" s="354"/>
    </row>
    <row r="28" spans="1:18" s="52" customFormat="1" ht="30" x14ac:dyDescent="0.25">
      <c r="A28" s="340" t="s">
        <v>365</v>
      </c>
      <c r="B28" s="348"/>
      <c r="C28" s="346" t="s">
        <v>42</v>
      </c>
      <c r="D28" s="347" t="s">
        <v>9</v>
      </c>
      <c r="E28" s="346" t="s">
        <v>111</v>
      </c>
      <c r="F28" s="347" t="s">
        <v>111</v>
      </c>
      <c r="G28" s="355" t="s">
        <v>111</v>
      </c>
      <c r="H28" s="348"/>
      <c r="I28" s="346"/>
      <c r="J28" s="347"/>
      <c r="K28" s="346"/>
      <c r="L28" s="347"/>
      <c r="M28" s="355"/>
      <c r="N28" s="346" t="s">
        <v>11</v>
      </c>
      <c r="O28" s="344" t="s">
        <v>12</v>
      </c>
      <c r="P28" s="346" t="s">
        <v>19</v>
      </c>
      <c r="Q28" s="353" t="s">
        <v>449</v>
      </c>
      <c r="R28" s="350">
        <v>44257</v>
      </c>
    </row>
    <row r="29" spans="1:18" s="52" customFormat="1" ht="30" x14ac:dyDescent="0.25">
      <c r="A29" s="340" t="s">
        <v>415</v>
      </c>
      <c r="B29" s="348"/>
      <c r="C29" s="346" t="s">
        <v>396</v>
      </c>
      <c r="D29" s="341" t="s">
        <v>219</v>
      </c>
      <c r="E29" s="346" t="s">
        <v>16</v>
      </c>
      <c r="F29" s="347" t="s">
        <v>111</v>
      </c>
      <c r="G29" s="355">
        <v>6.8760000000000003</v>
      </c>
      <c r="H29" s="348"/>
      <c r="I29" s="346"/>
      <c r="J29" s="341"/>
      <c r="K29" s="346"/>
      <c r="L29" s="347"/>
      <c r="M29" s="355"/>
      <c r="N29" s="346" t="s">
        <v>11</v>
      </c>
      <c r="O29" s="343" t="s">
        <v>31</v>
      </c>
      <c r="P29" s="346" t="s">
        <v>13</v>
      </c>
      <c r="Q29" s="345"/>
      <c r="R29" s="358"/>
    </row>
    <row r="30" spans="1:18" s="52" customFormat="1" ht="30" x14ac:dyDescent="0.25">
      <c r="A30" s="427" t="s">
        <v>414</v>
      </c>
      <c r="B30" s="467"/>
      <c r="C30" s="346" t="s">
        <v>396</v>
      </c>
      <c r="D30" s="347" t="s">
        <v>22</v>
      </c>
      <c r="E30" s="346" t="s">
        <v>16</v>
      </c>
      <c r="F30" s="347" t="s">
        <v>111</v>
      </c>
      <c r="G30" s="355">
        <v>-1.1006830000000001</v>
      </c>
      <c r="H30" s="467"/>
      <c r="I30" s="346"/>
      <c r="J30" s="347"/>
      <c r="K30" s="346"/>
      <c r="L30" s="347"/>
      <c r="M30" s="355"/>
      <c r="N30" s="414" t="s">
        <v>11</v>
      </c>
      <c r="O30" s="435" t="s">
        <v>75</v>
      </c>
      <c r="P30" s="378" t="s">
        <v>13</v>
      </c>
      <c r="Q30" s="378"/>
      <c r="R30" s="588"/>
    </row>
    <row r="31" spans="1:18" s="52" customFormat="1" x14ac:dyDescent="0.25">
      <c r="A31" s="427"/>
      <c r="B31" s="467"/>
      <c r="C31" s="346" t="s">
        <v>396</v>
      </c>
      <c r="D31" s="56" t="s">
        <v>70</v>
      </c>
      <c r="E31" s="346" t="s">
        <v>16</v>
      </c>
      <c r="F31" s="347" t="s">
        <v>111</v>
      </c>
      <c r="G31" s="355">
        <v>1.1006830000000001</v>
      </c>
      <c r="H31" s="467"/>
      <c r="I31" s="346"/>
      <c r="J31" s="56"/>
      <c r="K31" s="346"/>
      <c r="L31" s="347"/>
      <c r="M31" s="355"/>
      <c r="N31" s="414"/>
      <c r="O31" s="435"/>
      <c r="P31" s="380"/>
      <c r="Q31" s="380"/>
      <c r="R31" s="589"/>
    </row>
    <row r="32" spans="1:18" s="52" customFormat="1" x14ac:dyDescent="0.25">
      <c r="A32" s="340" t="s">
        <v>413</v>
      </c>
      <c r="B32" s="348"/>
      <c r="C32" s="346" t="s">
        <v>396</v>
      </c>
      <c r="D32" s="56" t="s">
        <v>66</v>
      </c>
      <c r="E32" s="346" t="s">
        <v>16</v>
      </c>
      <c r="F32" s="347" t="s">
        <v>111</v>
      </c>
      <c r="G32" s="355">
        <v>1.5</v>
      </c>
      <c r="H32" s="348"/>
      <c r="I32" s="346"/>
      <c r="J32" s="56"/>
      <c r="K32" s="346"/>
      <c r="L32" s="347"/>
      <c r="M32" s="355"/>
      <c r="N32" s="346" t="s">
        <v>11</v>
      </c>
      <c r="O32" s="343" t="s">
        <v>157</v>
      </c>
      <c r="P32" s="335" t="s">
        <v>13</v>
      </c>
      <c r="Q32" s="345"/>
      <c r="R32" s="358"/>
    </row>
    <row r="33" spans="1:18" s="52" customFormat="1" x14ac:dyDescent="0.25">
      <c r="A33" s="419" t="s">
        <v>411</v>
      </c>
      <c r="B33" s="384"/>
      <c r="C33" s="346" t="s">
        <v>396</v>
      </c>
      <c r="D33" s="56" t="s">
        <v>33</v>
      </c>
      <c r="E33" s="346" t="s">
        <v>16</v>
      </c>
      <c r="F33" s="347" t="s">
        <v>111</v>
      </c>
      <c r="G33" s="355">
        <f>58+-3.5</f>
        <v>54.5</v>
      </c>
      <c r="H33" s="384"/>
      <c r="I33" s="346"/>
      <c r="J33" s="56"/>
      <c r="K33" s="346"/>
      <c r="L33" s="347"/>
      <c r="M33" s="355"/>
      <c r="N33" s="346" t="s">
        <v>11</v>
      </c>
      <c r="O33" s="343" t="s">
        <v>38</v>
      </c>
      <c r="P33" s="335" t="s">
        <v>13</v>
      </c>
      <c r="Q33" s="345"/>
      <c r="R33" s="358"/>
    </row>
    <row r="34" spans="1:18" s="52" customFormat="1" ht="30" x14ac:dyDescent="0.25">
      <c r="A34" s="421"/>
      <c r="B34" s="385"/>
      <c r="C34" s="346" t="s">
        <v>396</v>
      </c>
      <c r="D34" s="56" t="s">
        <v>27</v>
      </c>
      <c r="E34" s="346" t="s">
        <v>16</v>
      </c>
      <c r="F34" s="347" t="s">
        <v>111</v>
      </c>
      <c r="G34" s="355">
        <v>3.5</v>
      </c>
      <c r="H34" s="385"/>
      <c r="I34" s="346"/>
      <c r="J34" s="56"/>
      <c r="K34" s="346"/>
      <c r="L34" s="347"/>
      <c r="M34" s="355"/>
      <c r="N34" s="335" t="s">
        <v>362</v>
      </c>
      <c r="O34" s="337"/>
      <c r="P34" s="335"/>
      <c r="Q34" s="345"/>
      <c r="R34" s="358"/>
    </row>
    <row r="35" spans="1:18" s="52" customFormat="1" x14ac:dyDescent="0.25">
      <c r="A35" s="338" t="s">
        <v>410</v>
      </c>
      <c r="B35" s="349"/>
      <c r="C35" s="346" t="s">
        <v>396</v>
      </c>
      <c r="D35" s="56" t="s">
        <v>91</v>
      </c>
      <c r="E35" s="346" t="s">
        <v>16</v>
      </c>
      <c r="F35" s="347" t="s">
        <v>111</v>
      </c>
      <c r="G35" s="355">
        <v>27.858000000000001</v>
      </c>
      <c r="H35" s="349"/>
      <c r="I35" s="346"/>
      <c r="J35" s="56"/>
      <c r="K35" s="346"/>
      <c r="L35" s="347"/>
      <c r="M35" s="355"/>
      <c r="N35" s="119" t="s">
        <v>11</v>
      </c>
      <c r="O35" s="120" t="s">
        <v>92</v>
      </c>
      <c r="P35" s="335" t="s">
        <v>19</v>
      </c>
      <c r="Q35" s="345" t="s">
        <v>425</v>
      </c>
      <c r="R35" s="350">
        <v>44255</v>
      </c>
    </row>
    <row r="36" spans="1:18" s="52" customFormat="1" x14ac:dyDescent="0.25">
      <c r="A36" s="340" t="s">
        <v>408</v>
      </c>
      <c r="B36" s="349"/>
      <c r="C36" s="346" t="s">
        <v>396</v>
      </c>
      <c r="D36" s="347" t="s">
        <v>409</v>
      </c>
      <c r="E36" s="346" t="s">
        <v>16</v>
      </c>
      <c r="F36" s="347" t="s">
        <v>111</v>
      </c>
      <c r="G36" s="355">
        <v>12</v>
      </c>
      <c r="H36" s="349"/>
      <c r="I36" s="346"/>
      <c r="J36" s="347"/>
      <c r="K36" s="346"/>
      <c r="L36" s="347"/>
      <c r="M36" s="355"/>
      <c r="N36" s="335" t="s">
        <v>85</v>
      </c>
      <c r="O36" s="337"/>
      <c r="P36" s="335"/>
      <c r="Q36" s="345"/>
      <c r="R36" s="358"/>
    </row>
    <row r="37" spans="1:18" s="52" customFormat="1" x14ac:dyDescent="0.25">
      <c r="A37" s="340" t="s">
        <v>404</v>
      </c>
      <c r="B37" s="349"/>
      <c r="C37" s="346" t="s">
        <v>396</v>
      </c>
      <c r="D37" s="56" t="s">
        <v>140</v>
      </c>
      <c r="E37" s="346" t="s">
        <v>16</v>
      </c>
      <c r="F37" s="347" t="s">
        <v>111</v>
      </c>
      <c r="G37" s="355">
        <v>1.095429</v>
      </c>
      <c r="H37" s="349"/>
      <c r="I37" s="346"/>
      <c r="J37" s="56"/>
      <c r="K37" s="346"/>
      <c r="L37" s="347"/>
      <c r="M37" s="355"/>
      <c r="N37" s="335" t="s">
        <v>85</v>
      </c>
      <c r="O37" s="337"/>
      <c r="P37" s="335"/>
      <c r="Q37" s="345"/>
      <c r="R37" s="358"/>
    </row>
    <row r="38" spans="1:18" s="52" customFormat="1" x14ac:dyDescent="0.25">
      <c r="A38" s="340" t="s">
        <v>405</v>
      </c>
      <c r="B38" s="349"/>
      <c r="C38" s="346" t="s">
        <v>396</v>
      </c>
      <c r="D38" s="56" t="s">
        <v>140</v>
      </c>
      <c r="E38" s="346" t="s">
        <v>16</v>
      </c>
      <c r="F38" s="347" t="s">
        <v>111</v>
      </c>
      <c r="G38" s="355">
        <v>20.712181000000001</v>
      </c>
      <c r="H38" s="349"/>
      <c r="I38" s="346"/>
      <c r="J38" s="56"/>
      <c r="K38" s="346"/>
      <c r="L38" s="347"/>
      <c r="M38" s="355"/>
      <c r="N38" s="335" t="s">
        <v>85</v>
      </c>
      <c r="O38" s="337"/>
      <c r="P38" s="335"/>
      <c r="Q38" s="345"/>
      <c r="R38" s="358"/>
    </row>
    <row r="39" spans="1:18" s="52" customFormat="1" x14ac:dyDescent="0.25">
      <c r="A39" s="340" t="s">
        <v>406</v>
      </c>
      <c r="B39" s="349"/>
      <c r="C39" s="346" t="s">
        <v>396</v>
      </c>
      <c r="D39" s="56" t="s">
        <v>140</v>
      </c>
      <c r="E39" s="346" t="s">
        <v>16</v>
      </c>
      <c r="F39" s="347" t="s">
        <v>111</v>
      </c>
      <c r="G39" s="355">
        <v>2.1428500000000001</v>
      </c>
      <c r="H39" s="349"/>
      <c r="I39" s="346"/>
      <c r="J39" s="56"/>
      <c r="K39" s="346"/>
      <c r="L39" s="347"/>
      <c r="M39" s="355"/>
      <c r="N39" s="335" t="s">
        <v>85</v>
      </c>
      <c r="O39" s="337"/>
      <c r="P39" s="335"/>
      <c r="Q39" s="345"/>
      <c r="R39" s="358"/>
    </row>
    <row r="40" spans="1:18" s="52" customFormat="1" x14ac:dyDescent="0.25">
      <c r="A40" s="340" t="s">
        <v>407</v>
      </c>
      <c r="B40" s="349"/>
      <c r="C40" s="346" t="s">
        <v>396</v>
      </c>
      <c r="D40" s="56" t="s">
        <v>140</v>
      </c>
      <c r="E40" s="346" t="s">
        <v>16</v>
      </c>
      <c r="F40" s="347" t="s">
        <v>111</v>
      </c>
      <c r="G40" s="355">
        <f>31.1063+5.213945</f>
        <v>36.320245</v>
      </c>
      <c r="H40" s="349"/>
      <c r="I40" s="346"/>
      <c r="J40" s="56"/>
      <c r="K40" s="346"/>
      <c r="L40" s="347"/>
      <c r="M40" s="355"/>
      <c r="N40" s="335" t="s">
        <v>85</v>
      </c>
      <c r="O40" s="337"/>
      <c r="P40" s="335"/>
      <c r="Q40" s="345"/>
      <c r="R40" s="358"/>
    </row>
    <row r="41" spans="1:18" s="52" customFormat="1" x14ac:dyDescent="0.25">
      <c r="A41" s="427" t="s">
        <v>401</v>
      </c>
      <c r="B41" s="384"/>
      <c r="C41" s="346" t="s">
        <v>396</v>
      </c>
      <c r="D41" s="347" t="s">
        <v>17</v>
      </c>
      <c r="E41" s="346" t="s">
        <v>16</v>
      </c>
      <c r="F41" s="347" t="s">
        <v>111</v>
      </c>
      <c r="G41" s="355">
        <v>-10.3</v>
      </c>
      <c r="H41" s="384"/>
      <c r="I41" s="346"/>
      <c r="J41" s="347"/>
      <c r="K41" s="346"/>
      <c r="L41" s="347"/>
      <c r="M41" s="355"/>
      <c r="N41" s="378" t="s">
        <v>85</v>
      </c>
      <c r="O41" s="378"/>
      <c r="P41" s="378"/>
      <c r="Q41" s="378"/>
      <c r="R41" s="459"/>
    </row>
    <row r="42" spans="1:18" s="52" customFormat="1" x14ac:dyDescent="0.25">
      <c r="A42" s="427"/>
      <c r="B42" s="410"/>
      <c r="C42" s="346" t="s">
        <v>396</v>
      </c>
      <c r="D42" s="347" t="s">
        <v>17</v>
      </c>
      <c r="E42" s="346" t="s">
        <v>16</v>
      </c>
      <c r="F42" s="347" t="s">
        <v>111</v>
      </c>
      <c r="G42" s="355">
        <v>9</v>
      </c>
      <c r="H42" s="410"/>
      <c r="I42" s="346"/>
      <c r="J42" s="347"/>
      <c r="K42" s="346"/>
      <c r="L42" s="347"/>
      <c r="M42" s="355"/>
      <c r="N42" s="379"/>
      <c r="O42" s="379"/>
      <c r="P42" s="379"/>
      <c r="Q42" s="379"/>
      <c r="R42" s="498"/>
    </row>
    <row r="43" spans="1:18" s="52" customFormat="1" x14ac:dyDescent="0.25">
      <c r="A43" s="427"/>
      <c r="B43" s="385"/>
      <c r="C43" s="346" t="s">
        <v>396</v>
      </c>
      <c r="D43" s="347" t="s">
        <v>17</v>
      </c>
      <c r="E43" s="346" t="s">
        <v>16</v>
      </c>
      <c r="F43" s="347" t="s">
        <v>111</v>
      </c>
      <c r="G43" s="355">
        <v>1.3</v>
      </c>
      <c r="H43" s="385"/>
      <c r="I43" s="346"/>
      <c r="J43" s="347"/>
      <c r="K43" s="346"/>
      <c r="L43" s="347"/>
      <c r="M43" s="355"/>
      <c r="N43" s="380"/>
      <c r="O43" s="380"/>
      <c r="P43" s="380"/>
      <c r="Q43" s="380"/>
      <c r="R43" s="460"/>
    </row>
    <row r="44" spans="1:18" s="52" customFormat="1" x14ac:dyDescent="0.25">
      <c r="A44" s="427" t="s">
        <v>399</v>
      </c>
      <c r="B44" s="384"/>
      <c r="C44" s="346" t="s">
        <v>396</v>
      </c>
      <c r="D44" s="347" t="s">
        <v>400</v>
      </c>
      <c r="E44" s="346" t="s">
        <v>16</v>
      </c>
      <c r="F44" s="347" t="s">
        <v>111</v>
      </c>
      <c r="G44" s="355">
        <v>-3</v>
      </c>
      <c r="H44" s="384"/>
      <c r="I44" s="346"/>
      <c r="J44" s="347"/>
      <c r="K44" s="346"/>
      <c r="L44" s="347"/>
      <c r="M44" s="355"/>
      <c r="N44" s="378" t="s">
        <v>85</v>
      </c>
      <c r="O44" s="378"/>
      <c r="P44" s="378"/>
      <c r="Q44" s="378"/>
      <c r="R44" s="459"/>
    </row>
    <row r="45" spans="1:18" s="52" customFormat="1" x14ac:dyDescent="0.25">
      <c r="A45" s="427"/>
      <c r="B45" s="385"/>
      <c r="C45" s="346" t="s">
        <v>396</v>
      </c>
      <c r="D45" s="347" t="s">
        <v>400</v>
      </c>
      <c r="E45" s="346" t="s">
        <v>16</v>
      </c>
      <c r="F45" s="347" t="s">
        <v>111</v>
      </c>
      <c r="G45" s="355">
        <v>3</v>
      </c>
      <c r="H45" s="385"/>
      <c r="I45" s="346"/>
      <c r="J45" s="347"/>
      <c r="K45" s="346"/>
      <c r="L45" s="347"/>
      <c r="M45" s="355"/>
      <c r="N45" s="380"/>
      <c r="O45" s="380"/>
      <c r="P45" s="380"/>
      <c r="Q45" s="380"/>
      <c r="R45" s="460"/>
    </row>
    <row r="46" spans="1:18" s="52" customFormat="1" x14ac:dyDescent="0.25">
      <c r="A46" s="427" t="s">
        <v>398</v>
      </c>
      <c r="B46" s="384"/>
      <c r="C46" s="346" t="s">
        <v>396</v>
      </c>
      <c r="D46" s="347" t="s">
        <v>9</v>
      </c>
      <c r="E46" s="346" t="s">
        <v>16</v>
      </c>
      <c r="F46" s="347" t="s">
        <v>111</v>
      </c>
      <c r="G46" s="355">
        <v>-3.6</v>
      </c>
      <c r="H46" s="384"/>
      <c r="I46" s="346"/>
      <c r="J46" s="347"/>
      <c r="K46" s="346"/>
      <c r="L46" s="347"/>
      <c r="M46" s="355"/>
      <c r="N46" s="378" t="s">
        <v>85</v>
      </c>
      <c r="O46" s="403"/>
      <c r="P46" s="403"/>
      <c r="Q46" s="403"/>
      <c r="R46" s="586"/>
    </row>
    <row r="47" spans="1:18" s="52" customFormat="1" x14ac:dyDescent="0.25">
      <c r="A47" s="427"/>
      <c r="B47" s="385"/>
      <c r="C47" s="346" t="s">
        <v>396</v>
      </c>
      <c r="D47" s="347" t="s">
        <v>9</v>
      </c>
      <c r="E47" s="346" t="s">
        <v>16</v>
      </c>
      <c r="F47" s="347" t="s">
        <v>111</v>
      </c>
      <c r="G47" s="355">
        <v>3.6</v>
      </c>
      <c r="H47" s="385"/>
      <c r="I47" s="346"/>
      <c r="J47" s="347"/>
      <c r="K47" s="346"/>
      <c r="L47" s="347"/>
      <c r="M47" s="355"/>
      <c r="N47" s="380"/>
      <c r="O47" s="405"/>
      <c r="P47" s="405"/>
      <c r="Q47" s="405"/>
      <c r="R47" s="587"/>
    </row>
    <row r="48" spans="1:18" s="52" customFormat="1" x14ac:dyDescent="0.25">
      <c r="A48" s="340" t="s">
        <v>416</v>
      </c>
      <c r="B48" s="53"/>
      <c r="C48" s="341" t="s">
        <v>396</v>
      </c>
      <c r="D48" s="341" t="s">
        <v>140</v>
      </c>
      <c r="E48" s="341" t="s">
        <v>10</v>
      </c>
      <c r="F48" s="341" t="s">
        <v>397</v>
      </c>
      <c r="G48" s="109">
        <v>38.5</v>
      </c>
      <c r="H48" s="53"/>
      <c r="I48" s="341"/>
      <c r="J48" s="341"/>
      <c r="K48" s="341"/>
      <c r="L48" s="341"/>
      <c r="M48" s="109"/>
      <c r="N48" s="356" t="s">
        <v>85</v>
      </c>
      <c r="O48" s="356"/>
      <c r="P48" s="356"/>
      <c r="Q48" s="50"/>
      <c r="R48" s="48"/>
    </row>
    <row r="49" spans="1:18" s="52" customFormat="1" ht="15.75" thickBot="1" x14ac:dyDescent="0.3">
      <c r="A49" s="338" t="s">
        <v>647</v>
      </c>
      <c r="B49" s="50"/>
      <c r="C49" s="69" t="s">
        <v>42</v>
      </c>
      <c r="D49" s="69" t="s">
        <v>17</v>
      </c>
      <c r="E49" s="69" t="s">
        <v>111</v>
      </c>
      <c r="F49" s="69" t="s">
        <v>111</v>
      </c>
      <c r="G49" s="320" t="s">
        <v>111</v>
      </c>
      <c r="H49" s="319"/>
      <c r="I49" s="69" t="s">
        <v>26</v>
      </c>
      <c r="J49" s="69" t="s">
        <v>17</v>
      </c>
      <c r="K49" s="69" t="s">
        <v>16</v>
      </c>
      <c r="L49" s="69" t="s">
        <v>111</v>
      </c>
      <c r="M49" s="320">
        <v>80</v>
      </c>
      <c r="N49" s="356" t="s">
        <v>11</v>
      </c>
      <c r="O49" s="336" t="s">
        <v>18</v>
      </c>
      <c r="P49" s="356" t="s">
        <v>13</v>
      </c>
      <c r="Q49" s="50"/>
      <c r="R49" s="48"/>
    </row>
    <row r="50" spans="1:18" ht="15.75" thickBot="1" x14ac:dyDescent="0.3">
      <c r="A50" s="115" t="s">
        <v>662</v>
      </c>
      <c r="B50" s="116">
        <f>SUM(B4:B49)</f>
        <v>4</v>
      </c>
      <c r="C50" s="117"/>
      <c r="D50" s="117"/>
      <c r="E50" s="117"/>
      <c r="F50" s="117"/>
      <c r="G50" s="116">
        <f>SUM(G4:G49)</f>
        <v>367.54144000000002</v>
      </c>
      <c r="H50" s="116"/>
      <c r="I50" s="117"/>
      <c r="J50" s="117"/>
      <c r="K50" s="117"/>
      <c r="L50" s="117"/>
      <c r="M50" s="116">
        <f>SUM(M4:M49)</f>
        <v>82.191055000000006</v>
      </c>
      <c r="N50" s="117"/>
      <c r="O50" s="117"/>
      <c r="P50" s="117"/>
      <c r="Q50" s="117"/>
      <c r="R50" s="118"/>
    </row>
    <row r="51" spans="1:18" ht="15.75" thickBot="1" x14ac:dyDescent="0.3">
      <c r="A51" s="38" t="s">
        <v>663</v>
      </c>
      <c r="B51" s="75"/>
      <c r="C51" s="36"/>
      <c r="D51" s="36"/>
      <c r="E51" s="36"/>
      <c r="F51" s="36"/>
      <c r="G51" s="37">
        <f>SUMIF(C4:C49,"*Supps A*",G4:G49)</f>
        <v>0</v>
      </c>
      <c r="H51" s="75"/>
      <c r="I51" s="36"/>
      <c r="J51" s="36"/>
      <c r="K51" s="36"/>
      <c r="L51" s="36"/>
      <c r="M51" s="368" t="s">
        <v>111</v>
      </c>
      <c r="N51" s="36"/>
      <c r="O51" s="36"/>
      <c r="P51" s="36"/>
      <c r="Q51" s="36"/>
      <c r="R51" s="35"/>
    </row>
    <row r="52" spans="1:18" ht="15.75" thickBot="1" x14ac:dyDescent="0.3">
      <c r="A52" s="38" t="s">
        <v>664</v>
      </c>
      <c r="B52" s="75"/>
      <c r="C52" s="36"/>
      <c r="D52" s="36"/>
      <c r="E52" s="36"/>
      <c r="F52" s="36"/>
      <c r="G52" s="37">
        <f>SUMIF(C4:C49,"*Supps B*",G4:G49)</f>
        <v>162.53673499999999</v>
      </c>
      <c r="H52" s="75"/>
      <c r="I52" s="36"/>
      <c r="J52" s="36"/>
      <c r="K52" s="36"/>
      <c r="L52" s="36"/>
      <c r="M52" s="368" t="s">
        <v>111</v>
      </c>
      <c r="N52" s="36"/>
      <c r="O52" s="36"/>
      <c r="P52" s="36"/>
      <c r="Q52" s="36"/>
      <c r="R52" s="35"/>
    </row>
    <row r="53" spans="1:18" s="52" customFormat="1" ht="15.75" thickBot="1" x14ac:dyDescent="0.3">
      <c r="A53" s="362" t="s">
        <v>665</v>
      </c>
      <c r="B53" s="363"/>
      <c r="C53" s="206"/>
      <c r="D53" s="206"/>
      <c r="E53" s="206"/>
      <c r="F53" s="206"/>
      <c r="G53" s="62">
        <f>SUMIF(C5:C49,"*Supps C*",G5:G49)</f>
        <v>205.004705</v>
      </c>
      <c r="H53" s="363"/>
      <c r="I53" s="206"/>
      <c r="J53" s="206"/>
      <c r="K53" s="206"/>
      <c r="L53" s="206"/>
      <c r="M53" s="368" t="s">
        <v>111</v>
      </c>
      <c r="N53" s="206"/>
      <c r="O53" s="206"/>
      <c r="P53" s="206"/>
      <c r="Q53" s="206"/>
      <c r="R53" s="364"/>
    </row>
    <row r="54" spans="1:18" ht="15.75" thickBot="1" x14ac:dyDescent="0.3">
      <c r="A54" s="365" t="s">
        <v>666</v>
      </c>
      <c r="B54" s="22"/>
      <c r="C54" s="366"/>
      <c r="D54" s="22"/>
      <c r="E54" s="22"/>
      <c r="F54" s="22"/>
      <c r="G54" s="368" t="s">
        <v>111</v>
      </c>
      <c r="H54" s="22"/>
      <c r="I54" s="366"/>
      <c r="J54" s="22"/>
      <c r="K54" s="22"/>
      <c r="L54" s="22"/>
      <c r="M54" s="367">
        <f>SUMIF(I4:I49,"*Supps A*",M4:M49)</f>
        <v>82.191055000000006</v>
      </c>
      <c r="N54" s="22"/>
      <c r="O54" s="22"/>
      <c r="P54" s="22"/>
      <c r="Q54" s="22"/>
      <c r="R54" s="23"/>
    </row>
    <row r="55" spans="1:18" s="52" customFormat="1" x14ac:dyDescent="0.25">
      <c r="A55" s="361"/>
      <c r="C55" s="33"/>
      <c r="G55" s="34"/>
      <c r="I55" s="33"/>
      <c r="M55" s="34"/>
    </row>
    <row r="56" spans="1:18" ht="17.25" x14ac:dyDescent="0.25">
      <c r="A56" s="82" t="s">
        <v>616</v>
      </c>
      <c r="C56" s="33"/>
      <c r="I56" s="33"/>
    </row>
    <row r="57" spans="1:18" x14ac:dyDescent="0.25">
      <c r="G57" s="21"/>
      <c r="M57" s="21"/>
    </row>
  </sheetData>
  <mergeCells count="86">
    <mergeCell ref="A33:A34"/>
    <mergeCell ref="B33:B34"/>
    <mergeCell ref="N30:N31"/>
    <mergeCell ref="Q30:Q31"/>
    <mergeCell ref="A4:A5"/>
    <mergeCell ref="A10:A11"/>
    <mergeCell ref="A8:A9"/>
    <mergeCell ref="N4:N5"/>
    <mergeCell ref="O4:O5"/>
    <mergeCell ref="B4:B5"/>
    <mergeCell ref="B8:B9"/>
    <mergeCell ref="B10:B11"/>
    <mergeCell ref="N10:N11"/>
    <mergeCell ref="N8:N9"/>
    <mergeCell ref="O8:O9"/>
    <mergeCell ref="P4:P5"/>
    <mergeCell ref="R30:R31"/>
    <mergeCell ref="A30:A31"/>
    <mergeCell ref="B30:B31"/>
    <mergeCell ref="O30:O31"/>
    <mergeCell ref="P30:P31"/>
    <mergeCell ref="O41:O43"/>
    <mergeCell ref="P41:P43"/>
    <mergeCell ref="Q41:Q43"/>
    <mergeCell ref="R41:R43"/>
    <mergeCell ref="A41:A43"/>
    <mergeCell ref="B41:B43"/>
    <mergeCell ref="N41:N43"/>
    <mergeCell ref="Q46:Q47"/>
    <mergeCell ref="R46:R47"/>
    <mergeCell ref="A44:A45"/>
    <mergeCell ref="B44:B45"/>
    <mergeCell ref="N44:N45"/>
    <mergeCell ref="O44:O45"/>
    <mergeCell ref="P44:P45"/>
    <mergeCell ref="Q44:Q45"/>
    <mergeCell ref="R44:R45"/>
    <mergeCell ref="A46:A47"/>
    <mergeCell ref="B46:B47"/>
    <mergeCell ref="N46:N47"/>
    <mergeCell ref="O46:O47"/>
    <mergeCell ref="P46:P47"/>
    <mergeCell ref="Q4:Q5"/>
    <mergeCell ref="R4:R5"/>
    <mergeCell ref="R10:R11"/>
    <mergeCell ref="P10:P11"/>
    <mergeCell ref="Q10:Q11"/>
    <mergeCell ref="P8:P9"/>
    <mergeCell ref="Q8:Q9"/>
    <mergeCell ref="R8:R9"/>
    <mergeCell ref="A12:A13"/>
    <mergeCell ref="A14:A16"/>
    <mergeCell ref="A19:A20"/>
    <mergeCell ref="A17:A18"/>
    <mergeCell ref="O10:O11"/>
    <mergeCell ref="O17:O18"/>
    <mergeCell ref="P17:P18"/>
    <mergeCell ref="Q17:Q18"/>
    <mergeCell ref="R17:R18"/>
    <mergeCell ref="A21:A22"/>
    <mergeCell ref="B14:B16"/>
    <mergeCell ref="B17:B18"/>
    <mergeCell ref="B19:B20"/>
    <mergeCell ref="B21:B22"/>
    <mergeCell ref="N17:N18"/>
    <mergeCell ref="N19:N20"/>
    <mergeCell ref="O19:O20"/>
    <mergeCell ref="P19:P20"/>
    <mergeCell ref="Q19:Q20"/>
    <mergeCell ref="R19:R20"/>
    <mergeCell ref="B2:G2"/>
    <mergeCell ref="H33:H34"/>
    <mergeCell ref="H41:H43"/>
    <mergeCell ref="H44:H45"/>
    <mergeCell ref="H46:H47"/>
    <mergeCell ref="H2:M2"/>
    <mergeCell ref="H14:H16"/>
    <mergeCell ref="H17:H18"/>
    <mergeCell ref="H19:H20"/>
    <mergeCell ref="H21:H22"/>
    <mergeCell ref="H30:H31"/>
    <mergeCell ref="H4:H5"/>
    <mergeCell ref="H8:H9"/>
    <mergeCell ref="H10:H11"/>
    <mergeCell ref="H12:H13"/>
    <mergeCell ref="B12:B13"/>
  </mergeCells>
  <hyperlinks>
    <hyperlink ref="O6" r:id="rId1" xr:uid="{C7DDA9C8-47F3-486D-8596-2F472AF12DC6}"/>
    <hyperlink ref="O7" r:id="rId2" xr:uid="{B1B59685-0D57-4731-8F89-FF2A6F1AE57E}"/>
    <hyperlink ref="O22" r:id="rId3" display="https://www.pbo-dpb.gc.ca/web/default/files/Documents/Info%20Requests/2020/IR0526_NRCCan_COVID19_update_2_request_e.pdf" xr:uid="{C6DCDF1D-C3F6-4229-A3AA-408668ACF8F5}"/>
    <hyperlink ref="O21" r:id="rId4" xr:uid="{08202B5F-E1F1-428F-AEE8-CB880F0AFB8B}"/>
    <hyperlink ref="O16" r:id="rId5" xr:uid="{24E08BA2-17D1-4FF6-AADB-3F07B2F25798}"/>
    <hyperlink ref="O17" r:id="rId6" xr:uid="{3379C29F-3F86-402B-A5D9-42F58BC1A6E1}"/>
    <hyperlink ref="O19" r:id="rId7" xr:uid="{8C2C03CD-5CAA-4B36-8AA3-7095914BFF2F}"/>
    <hyperlink ref="O24" r:id="rId8" xr:uid="{D8E3577F-CE8A-469D-8531-8AD6C9A523CA}"/>
    <hyperlink ref="O13" r:id="rId9" xr:uid="{8651A629-7658-42DC-A505-72A0555C03A6}"/>
    <hyperlink ref="O14" r:id="rId10" xr:uid="{C7A8E8CE-E16F-4906-9378-30C0BD3873DF}"/>
    <hyperlink ref="O15" r:id="rId11" xr:uid="{4C4E0F10-62E0-4D52-98FF-6BE24A28EC6B}"/>
    <hyperlink ref="P25" r:id="rId12" display="New Horizons Seniors Grants data" xr:uid="{04BAC282-B83B-4E69-8B30-B4191DA89335}"/>
    <hyperlink ref="O26" r:id="rId13" xr:uid="{C6280C0B-F36C-4D4D-89E1-B76C0F3DA924}"/>
    <hyperlink ref="P26" r:id="rId14" xr:uid="{E44F612C-0D3F-4F2E-A5B7-1A868B94132D}"/>
    <hyperlink ref="O27" r:id="rId15" xr:uid="{39793C87-EC64-43B0-BB6D-6E844D4B6F6C}"/>
    <hyperlink ref="F26" r:id="rId16" xr:uid="{C1C1519A-B9CA-4E08-8674-9A47776B11FC}"/>
    <hyperlink ref="O28" r:id="rId17" xr:uid="{E7E1B426-F619-4BAC-99BA-F8E134274A9A}"/>
    <hyperlink ref="O29" r:id="rId18" xr:uid="{0C5860C0-08F6-4595-B23E-C9D9610835C7}"/>
    <hyperlink ref="O30" r:id="rId19" display="https://www.pbo-dpb.gc.ca/web/default/files/Documents/Info%20Requests/2020/IR0526_NRCCan_COVID19_update_2_request_e.pdf" xr:uid="{4C68C5C2-D3B1-4379-A493-4EEA7D3E15FF}"/>
    <hyperlink ref="O30:O31" r:id="rId20" display="IR0526" xr:uid="{86BEAA9D-26EE-4196-80E0-94DCF873F023}"/>
    <hyperlink ref="O32" r:id="rId21" xr:uid="{0F7BA51C-63D7-4991-8BB7-3A9C00A32277}"/>
    <hyperlink ref="O33" r:id="rId22" xr:uid="{EC6E3700-5CD3-4617-B2E6-06257ADC17AE}"/>
    <hyperlink ref="O35" r:id="rId23" xr:uid="{2947C40B-FDCE-4262-938E-2F6E74CDD50D}"/>
    <hyperlink ref="O49" r:id="rId24" xr:uid="{F67BC229-A540-4951-9304-C0245F5B3751}"/>
  </hyperlinks>
  <pageMargins left="0.7" right="0.7" top="0.75" bottom="0.75" header="0.3" footer="0.3"/>
  <pageSetup orientation="portrait" r:id="rId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Legend</vt:lpstr>
      <vt:lpstr>Protecting Health and Safety</vt:lpstr>
      <vt:lpstr>Direct Support Measures</vt:lpstr>
      <vt:lpstr>Tax Liquidity Support</vt:lpstr>
      <vt:lpstr>Other Liquidity Support</vt:lpstr>
      <vt:lpstr>Additional Measures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Giswold, Jill</dc:creator>
  <cp:lastModifiedBy>Stanton, Jason</cp:lastModifiedBy>
  <dcterms:created xsi:type="dcterms:W3CDTF">2020-12-01T14:43:59Z</dcterms:created>
  <dcterms:modified xsi:type="dcterms:W3CDTF">2021-06-02T20:13:16Z</dcterms:modified>
</cp:coreProperties>
</file>