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tantJ\AppData\Roaming\OpenText\OTEdit\EC_pbodocs\c371853\"/>
    </mc:Choice>
  </mc:AlternateContent>
  <xr:revisionPtr revIDLastSave="0" documentId="13_ncr:1_{814087CC-058F-4917-B42E-474C97D3B6F4}" xr6:coauthVersionLast="45" xr6:coauthVersionMax="45" xr10:uidLastSave="{00000000-0000-0000-0000-000000000000}"/>
  <bookViews>
    <workbookView xWindow="-120" yWindow="-120" windowWidth="29040" windowHeight="15840" xr2:uid="{E49D7F26-01B7-43A3-B980-6B1CB5D0A2BA}"/>
  </bookViews>
  <sheets>
    <sheet name="Légende" sheetId="8" r:id="rId1"/>
    <sheet name="Protéger la santé et la sécurit" sheetId="1" r:id="rId2"/>
    <sheet name="Mesures de soutien direct" sheetId="3" r:id="rId3"/>
    <sheet name="Soutien fiscal à la liquidité" sheetId="9" r:id="rId4"/>
    <sheet name="Autres soutien à la liquidité" sheetId="10" r:id="rId5"/>
    <sheet name="Mesures Supplémentaires" sheetId="5" r:id="rId6"/>
  </sheets>
  <definedNames>
    <definedName name="_xlnm._FilterDatabase" localSheetId="2" hidden="1">'Mesures de soutien direct'!$A$3:$R$328</definedName>
    <definedName name="_xlnm._FilterDatabase" localSheetId="5" hidden="1">'Mesures Supplémentaires'!$A$3:$R$23</definedName>
    <definedName name="_xlnm._FilterDatabase" localSheetId="1" hidden="1">'Protéger la santé et la sécurit'!$A$3:$R$209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63" i="1" l="1"/>
  <c r="M50" i="5" l="1"/>
  <c r="M54" i="5"/>
  <c r="G53" i="5"/>
  <c r="G52" i="5"/>
  <c r="G51" i="5"/>
  <c r="G50" i="5"/>
  <c r="B50" i="5"/>
  <c r="M330" i="3" l="1"/>
  <c r="M326" i="3"/>
  <c r="H326" i="3"/>
  <c r="G329" i="3"/>
  <c r="G328" i="3"/>
  <c r="G327" i="3"/>
  <c r="G326" i="3"/>
  <c r="B326" i="3"/>
  <c r="M206" i="1" l="1"/>
  <c r="H206" i="1"/>
  <c r="G209" i="1"/>
  <c r="G208" i="1"/>
  <c r="G207" i="1"/>
  <c r="G206" i="1"/>
  <c r="B206" i="1"/>
  <c r="M210" i="1"/>
  <c r="M211" i="1"/>
  <c r="M90" i="1" l="1"/>
  <c r="M183" i="1"/>
  <c r="M96" i="3"/>
  <c r="M145" i="1"/>
  <c r="M204" i="1"/>
  <c r="M203" i="1"/>
  <c r="H203" i="1"/>
  <c r="M36" i="1"/>
  <c r="M14" i="3"/>
  <c r="H15" i="3"/>
  <c r="H14" i="3"/>
  <c r="M324" i="3"/>
  <c r="M213" i="3"/>
  <c r="M184" i="1" l="1"/>
  <c r="M165" i="1"/>
  <c r="M67" i="3"/>
  <c r="M69" i="1"/>
  <c r="M124" i="1"/>
  <c r="M95" i="3"/>
  <c r="M289" i="3"/>
  <c r="M123" i="1"/>
  <c r="M122" i="1"/>
  <c r="M121" i="1"/>
  <c r="M17" i="1"/>
  <c r="M146" i="1"/>
  <c r="M103" i="1"/>
  <c r="M129" i="1"/>
  <c r="M134" i="1"/>
  <c r="M55" i="3"/>
  <c r="M48" i="3"/>
  <c r="M38" i="3"/>
  <c r="M88" i="1"/>
  <c r="M87" i="1"/>
  <c r="M15" i="3"/>
  <c r="H297" i="3" l="1"/>
  <c r="H103" i="3"/>
  <c r="H9" i="3"/>
  <c r="B9" i="3" l="1"/>
  <c r="M331" i="3" l="1"/>
  <c r="H71" i="1" l="1"/>
  <c r="H53" i="1"/>
  <c r="G21" i="10" l="1"/>
  <c r="B15" i="3" l="1"/>
  <c r="G177" i="1" l="1"/>
  <c r="G104" i="1" l="1"/>
  <c r="G144" i="1"/>
  <c r="G154" i="1"/>
  <c r="G91" i="1"/>
  <c r="G33" i="5" l="1"/>
  <c r="G172" i="1" l="1"/>
  <c r="G101" i="1"/>
  <c r="G40" i="5"/>
  <c r="G143" i="3"/>
  <c r="G142" i="3"/>
  <c r="G164" i="1"/>
  <c r="G127" i="3"/>
  <c r="G68" i="1" l="1"/>
  <c r="G128" i="1"/>
  <c r="G89" i="1"/>
  <c r="G87" i="1"/>
  <c r="G99" i="1"/>
  <c r="G259" i="3" l="1"/>
  <c r="G196" i="3"/>
  <c r="G134" i="1" l="1"/>
  <c r="G174" i="1" l="1"/>
  <c r="G46" i="1"/>
  <c r="G12" i="1"/>
  <c r="G241" i="3"/>
  <c r="G285" i="3"/>
  <c r="B180" i="1" l="1"/>
  <c r="B71" i="1" l="1"/>
  <c r="B299" i="3" l="1"/>
  <c r="B267" i="3"/>
  <c r="B219" i="3"/>
  <c r="B218" i="3"/>
  <c r="B120" i="3"/>
  <c r="B115" i="3"/>
  <c r="B112" i="3"/>
  <c r="B106" i="3"/>
  <c r="B103" i="3"/>
  <c r="B97" i="3"/>
  <c r="B69" i="3"/>
  <c r="B176" i="1" l="1"/>
  <c r="B163" i="1"/>
  <c r="B157" i="1"/>
  <c r="B126" i="1"/>
  <c r="B124" i="1"/>
  <c r="B115" i="1"/>
  <c r="B36" i="1"/>
  <c r="B30" i="1"/>
  <c r="B4" i="1"/>
  <c r="B20" i="10" l="1"/>
  <c r="B9" i="9"/>
  <c r="G20" i="10" l="1"/>
  <c r="G76" i="1" l="1"/>
  <c r="G79" i="1"/>
  <c r="G71" i="1"/>
  <c r="G127" i="1" l="1"/>
  <c r="G126" i="1"/>
  <c r="G85" i="1"/>
  <c r="G83" i="1"/>
  <c r="G284" i="3" l="1"/>
  <c r="G243" i="3" l="1"/>
  <c r="G133" i="3"/>
  <c r="G131" i="3"/>
  <c r="G58" i="3"/>
  <c r="G41" i="3"/>
  <c r="G17" i="3"/>
  <c r="G183" i="1" l="1"/>
  <c r="G148" i="1"/>
  <c r="G142" i="1"/>
  <c r="G139" i="1"/>
  <c r="G66" i="1"/>
  <c r="G34" i="1"/>
  <c r="G18" i="1"/>
  <c r="G13" i="5"/>
  <c r="G9" i="9"/>
</calcChain>
</file>

<file path=xl/sharedStrings.xml><?xml version="1.0" encoding="utf-8"?>
<sst xmlns="http://schemas.openxmlformats.org/spreadsheetml/2006/main" count="4349" uniqueCount="696">
  <si>
    <t>IR0530</t>
  </si>
  <si>
    <t>IR0550</t>
  </si>
  <si>
    <t>IR0528</t>
  </si>
  <si>
    <t>IR0551</t>
  </si>
  <si>
    <t>IR0559</t>
  </si>
  <si>
    <t>IR0462</t>
  </si>
  <si>
    <t>IR0519</t>
  </si>
  <si>
    <t>IR0470</t>
  </si>
  <si>
    <t>IR0549</t>
  </si>
  <si>
    <t>IR0523</t>
  </si>
  <si>
    <t>IR0490</t>
  </si>
  <si>
    <t>IR0491</t>
  </si>
  <si>
    <t>IR0478</t>
  </si>
  <si>
    <t>IR0526</t>
  </si>
  <si>
    <t>IR0468</t>
  </si>
  <si>
    <t>IR0456</t>
  </si>
  <si>
    <t>IR0561</t>
  </si>
  <si>
    <t>IR0486</t>
  </si>
  <si>
    <t>IR0529</t>
  </si>
  <si>
    <t>IR0476</t>
  </si>
  <si>
    <t>IR0471</t>
  </si>
  <si>
    <t>IR0472</t>
  </si>
  <si>
    <t>IR0459</t>
  </si>
  <si>
    <t>IR0467</t>
  </si>
  <si>
    <t>IR0464</t>
  </si>
  <si>
    <t>IR0558</t>
  </si>
  <si>
    <t>IR0474</t>
  </si>
  <si>
    <t>IR0481</t>
  </si>
  <si>
    <t>IR0524</t>
  </si>
  <si>
    <t>IR0547</t>
  </si>
  <si>
    <t>IR0517</t>
  </si>
  <si>
    <t>IR0480</t>
  </si>
  <si>
    <t>IR0515</t>
  </si>
  <si>
    <t>IR0516</t>
  </si>
  <si>
    <t>IR0521</t>
  </si>
  <si>
    <t>IR0540</t>
  </si>
  <si>
    <t>IR0461</t>
  </si>
  <si>
    <t>IR0469</t>
  </si>
  <si>
    <t>IR0494</t>
  </si>
  <si>
    <t>IR0473</t>
  </si>
  <si>
    <t>IR0482</t>
  </si>
  <si>
    <t>IR0539</t>
  </si>
  <si>
    <t>IR0522</t>
  </si>
  <si>
    <t>IR0518</t>
  </si>
  <si>
    <t>IR0552</t>
  </si>
  <si>
    <t>IR0557</t>
  </si>
  <si>
    <t>IR0560</t>
  </si>
  <si>
    <t>IR0475</t>
  </si>
  <si>
    <t>IR0492</t>
  </si>
  <si>
    <t>IR0548</t>
  </si>
  <si>
    <t>IR0562</t>
  </si>
  <si>
    <t>IR0564</t>
  </si>
  <si>
    <t>IR0457</t>
  </si>
  <si>
    <t>IR0465</t>
  </si>
  <si>
    <t>IR0466</t>
  </si>
  <si>
    <t>IR0479</t>
  </si>
  <si>
    <t>IR0483</t>
  </si>
  <si>
    <t>Objectif :</t>
  </si>
  <si>
    <t>Le directeur parlementaire du budget (DPB) a développé un cadre de surveillance pour aider les parlementaires à suivre toutes les annonces et les dépenses du gouvernement liées à la COVID-19.</t>
  </si>
  <si>
    <t>Le présent document de surveillance dresse la liste des mesures liées à la COVID-19 annoncées par le gouvernement  et comprend des données de haut niveau sur la mise en œuvre et les dépenses recueillies par le DPB auprès de nombreux ministères et organismes fédéraux au moyen de demandes d'information.</t>
  </si>
  <si>
    <t xml:space="preserve">Notes : </t>
  </si>
  <si>
    <t xml:space="preserve">Le présent document de suivi n'inclut pas les estimations de coûts du DPB concernant les mesures liées à la COVID-19. </t>
  </si>
  <si>
    <t>Onglets :</t>
  </si>
  <si>
    <t>Protéger la santé et la sécurité</t>
  </si>
  <si>
    <t>Mesures de soutien direct</t>
  </si>
  <si>
    <t>Soutien fiscal à la liquidité</t>
  </si>
  <si>
    <t>Autres soutien à la liquidité</t>
  </si>
  <si>
    <t>Colonne de l’état des données :</t>
  </si>
  <si>
    <t>Fournies :</t>
  </si>
  <si>
    <t>Le DPB a reçu les données par l’intermédiaire d’une demande d’information.</t>
  </si>
  <si>
    <t>En attente :</t>
  </si>
  <si>
    <t>Les données ont été demandées au titre d’une demande d’information présentée par le DPB, mais le financement ou le programme est relativement nouveau, ou un suivi supplémentaire est nécessaire. Les données devraient être fournies dans les mises à jour futures.</t>
  </si>
  <si>
    <t>En souffrance :</t>
  </si>
  <si>
    <t>Les données ont été demandées au titre d’une demande d’information présentée par le DPB. La date limite pour répondre à la demande est passée, mais l'information n’a encore été fournie.</t>
  </si>
  <si>
    <t>Le DPB confirme les données avec le ministère:</t>
  </si>
  <si>
    <t>Les données ont été fournies. Le DPB cherche à obtenir des clarifications sur les données.</t>
  </si>
  <si>
    <t>Date de réponse non encore passée :</t>
  </si>
  <si>
    <t>Les données ont été demandées récemment au titre d’une demande d’information présentée par le DPB. La date limite pour répondre à la demande n’est pas encore passée.</t>
  </si>
  <si>
    <t>Le Secrétariat du Conseil du Trésor du Canada, Budget supplémentaire des dépenses (A), 2020-2021</t>
  </si>
  <si>
    <t>Le Secrétariat du Conseil du Trésor du Canada, Budget supplémentaire des dépenses (B), 2020-2021</t>
  </si>
  <si>
    <t>Organisme</t>
  </si>
  <si>
    <t>Demande d'information du DBP envoyé</t>
  </si>
  <si>
    <t>Lien à la demande d'information du DPB</t>
  </si>
  <si>
    <t xml:space="preserve"> L’état des données</t>
  </si>
  <si>
    <t>Données</t>
  </si>
  <si>
    <t>En date du</t>
  </si>
  <si>
    <t>Soutien à la liquidité par l’ARC et l’ASFC aux entreprises et aux particuliers</t>
  </si>
  <si>
    <t>Report du paiement d’impôt sur le revenu jusqu’en septembre</t>
  </si>
  <si>
    <t>Non inclus</t>
  </si>
  <si>
    <t>Agence du revenu du Canada</t>
  </si>
  <si>
    <t>S.O.</t>
  </si>
  <si>
    <t>Oui</t>
  </si>
  <si>
    <t>Fournies</t>
  </si>
  <si>
    <t>Confidentiel</t>
  </si>
  <si>
    <t>Report des versements de la taxe de vente et des droits de douane</t>
  </si>
  <si>
    <t>Agence des services frontaliers du Canada</t>
  </si>
  <si>
    <t>Report du paiement de la TPS et des droits de douane sur les importations:  l’ASFC n’avait pas encore reçu despaiements totalisant 955 790 744 $</t>
  </si>
  <si>
    <t>15 juillet 2020</t>
  </si>
  <si>
    <t>Le report du paiement de la location pour les exploitants de boutiques hors taxes et les courtiers: lemontant du loyer renoncé se chiffre à approximativement à 49 076 $</t>
  </si>
  <si>
    <t>août 2020</t>
  </si>
  <si>
    <t>Appuyer les emplois et des activités sécuritaires dans le secteur des petites sociétés minières</t>
  </si>
  <si>
    <t>Ministère des Finances</t>
  </si>
  <si>
    <t>Total - Soutien fiscal à la liquidité</t>
  </si>
  <si>
    <t>Autres mesures de soutien à la liquidité et d'allègement liées au capital</t>
  </si>
  <si>
    <t>Garantie du Programme de crédit aux entreprises (PCE) (BDC et EDC)</t>
  </si>
  <si>
    <t>Programme de prêts pour les petites et moyennes entreprises</t>
  </si>
  <si>
    <t>Banque de Développement du Canada</t>
  </si>
  <si>
    <t>Programme de garantie  pour les petites et moyennes entreprises</t>
  </si>
  <si>
    <t xml:space="preserve">Exportation et développement Canada </t>
  </si>
  <si>
    <t>31 octobre 2020</t>
  </si>
  <si>
    <t>Compte d’urgence pour les entreprises canadiennes</t>
  </si>
  <si>
    <t>Données concernant le CUEC</t>
  </si>
  <si>
    <t>Aide financière pour les moyennes entreprises dans le cadre du PCE</t>
  </si>
  <si>
    <t>Le DPB confirme les données avec le ministère</t>
  </si>
  <si>
    <t>Soutien au crédit et à la liquidité pour le secteur agricole</t>
  </si>
  <si>
    <t xml:space="preserve">Financement agricole Canada-Augmentation de sa capacité de prêt </t>
  </si>
  <si>
    <t>Financement agricole Canada</t>
  </si>
  <si>
    <t>Sursis à la mise en défaut pour le Programme de paiements anticipés</t>
  </si>
  <si>
    <t>Ministère de l’Agriculture et de l’Agroalimentaire</t>
  </si>
  <si>
    <t>Crédit d’urgence pour les grands employeurs</t>
  </si>
  <si>
    <t>Corporation de développement des investissements du Canada</t>
  </si>
  <si>
    <t>Données concernant le CUGE</t>
  </si>
  <si>
    <t>Soutien au crédit et à la liquidité par l’entremise de la Banque du Canada, de la SCHL et des prêteurs commerciaux</t>
  </si>
  <si>
    <t>Programme d’achat de prêts hypothécaires assurés du SCHL</t>
  </si>
  <si>
    <t>Societé canadienne d'hypothèques et de logement</t>
  </si>
  <si>
    <t>Achat de 31 857 titres adossés à des actifs, pour un total de 5,8 milliards $</t>
  </si>
  <si>
    <t>Allègements liés au capital (réserves pour stabilité intérieure, BSIF)</t>
  </si>
  <si>
    <t>Total - Autres mesures de soutien à la liquidité et d'allègement liées au capital</t>
  </si>
  <si>
    <t>Programme de crédit pour les secteurs durement touchés</t>
  </si>
  <si>
    <t>Réaffectation des ressources à l’interne pour que les entreprises de transformation d’aliments puissent mettre en œuvre des mesures d’hygiène leur permettant de maintenir la capacité nationale de production et de transformation des aliments</t>
  </si>
  <si>
    <t>Supp A</t>
  </si>
  <si>
    <t>Voté</t>
  </si>
  <si>
    <t>Non</t>
  </si>
  <si>
    <t>Ministère des Services aux Autochtones</t>
  </si>
  <si>
    <t>En attente</t>
  </si>
  <si>
    <t xml:space="preserve"> Assurer l’approvisionnement domestique des respirateurs N95</t>
  </si>
  <si>
    <t>Supp B</t>
  </si>
  <si>
    <t>Agence de la santé publique du Canada</t>
  </si>
  <si>
    <t>Mettre sur pied un réseau multidisciplinaire de spécialistes des données dans la modélisation des maladies infectieuses émergentes pour appuyer les mesures de santé publique partout au Canada</t>
  </si>
  <si>
    <t>Conseil de recherches en sciences naturelles et en génie</t>
  </si>
  <si>
    <t>Réaffectation des ressources à l’interne pour financer le secteur de lʼespace et stimuler lʼéconomie en réponse à la COVID-19</t>
  </si>
  <si>
    <t>Agence spatiale canadienne</t>
  </si>
  <si>
    <t>Réaffectation des ressources à lʼinterne pour faire face aux répercussions de la COVID-19 sur les recettes publicitaires et les dépenses d’exploitation</t>
  </si>
  <si>
    <t>Société Radio-Canada</t>
  </si>
  <si>
    <t>Services de technologie de l’information, lʼinfrastructure et la cybersécurité</t>
  </si>
  <si>
    <t>Centre de la sécurité des télécommunications</t>
  </si>
  <si>
    <t>Services partagés Canada</t>
  </si>
  <si>
    <t>Soutenir les voyages intérieurs (Destinations Canada)</t>
  </si>
  <si>
    <t>Destinations Canada</t>
  </si>
  <si>
    <t>Centre canadien d’hygiène et de sécurité au travail</t>
  </si>
  <si>
    <t xml:space="preserve"> Financer le Réseau CanCOVID</t>
  </si>
  <si>
    <t>Ministère de la Santé</t>
  </si>
  <si>
    <t>Ministère de l’Industrie</t>
  </si>
  <si>
    <t>Créer des possibilités d’emploi pour les étudiants</t>
  </si>
  <si>
    <t>Conseil national de recherches du Canada</t>
  </si>
  <si>
    <t>Les besoins opérationnels critiques</t>
  </si>
  <si>
    <t>Conseil de la radiodiffusion et des télécommunications canadiennes</t>
  </si>
  <si>
    <t>Contribution de 9 M$, par l’entremise de Centraide, destinée aux organismes locaux (en 2019-2020)</t>
  </si>
  <si>
    <t>Ministère de l’Emploi et du Développement social</t>
  </si>
  <si>
    <t>Données concernant le programme Nouveaux Horizons pour les aînés</t>
  </si>
  <si>
    <t>Un accord de subvention avec Centraide Canada d’une valeur de 9 millions $</t>
  </si>
  <si>
    <t xml:space="preserve">Date non disponible </t>
  </si>
  <si>
    <t>Améliorations au programme Travail partagé</t>
  </si>
  <si>
    <t>Données concernant la programme de Travail partagé</t>
  </si>
  <si>
    <t xml:space="preserve">Soutenir la reprise des activités des employeurs relevant de la compétence fédérale </t>
  </si>
  <si>
    <t>Ministère des Transports</t>
  </si>
  <si>
    <t>Appuyer le programme Eureka en réponse à la COVID-19</t>
  </si>
  <si>
    <t>Ministère des Affaires étrangères, du Commerce et du Développement</t>
  </si>
  <si>
    <t>Entente sur la relance sécuritaire, contribution fédérale (comprend du soutien pour les soins de santé, dont la santé mentale et la consommation problématique de substances; le soutien au dépistage et à la recherche des contacts pour les groupes vulnérables; la garde d’enfants, les congés de maladie, les municipalités et l’acquisition d’équipement de protection individuelle)</t>
  </si>
  <si>
    <t>Instituts de recherche en santé du Canada</t>
  </si>
  <si>
    <t>Législatif</t>
  </si>
  <si>
    <t>30 septembre 2020</t>
  </si>
  <si>
    <t>Ministère des Travaux publics et des Services gouvernementaux</t>
  </si>
  <si>
    <t xml:space="preserve"> Fonds pour une rentrée scolaire sécuritaire</t>
  </si>
  <si>
    <t>Mesures d’aide pour les services sociaux et de santé dans les communautés du Nord
(priorités critiques, transporteurs aériens, subvention alimentaire bonifiée)</t>
  </si>
  <si>
    <t>Ministère des Relations Couronne-Autochtones et des Affaires du Nord</t>
  </si>
  <si>
    <t>Fonds pour la prestation des services essentiels de transport aérien aux collectivités éloignées</t>
  </si>
  <si>
    <t>Fonds de soutien aux communautés autochtones</t>
  </si>
  <si>
    <t>Soutenir une relance sécuritaire dans les communautés autochtones</t>
  </si>
  <si>
    <t>Aucune activité à ce jour</t>
  </si>
  <si>
    <t>Remplacement des revenus autonomes des communautés autochtones</t>
  </si>
  <si>
    <t>Recherche médicale sur la COVID-19 et développement de vaccins (sur deux ans)</t>
  </si>
  <si>
    <t>Ministère de la Diversification économique de l’Ouest canadien</t>
  </si>
  <si>
    <t>Accord de contribution signé pour 23 millions de dollars (8 millions de dollars en 2020-21 et 15 millions de dollars en 2021-22)</t>
  </si>
  <si>
    <t>Élargissement de la capacité de biofabrication</t>
  </si>
  <si>
    <t>Recherche innovante et soutien pour les nouvelles approches et technologies</t>
  </si>
  <si>
    <t>Soutenir les activités de l’Agence de la santé publique du Canada et de Santé Canada pendant la pandémie</t>
  </si>
  <si>
    <t xml:space="preserve">Service numérique canadien </t>
  </si>
  <si>
    <t>Financement pour l’équipement de protection individuelle (EPI) et des fournitures (dont 200 M$ en 2019-2020)</t>
  </si>
  <si>
    <t>Soutien en matière d’EPI et d’équipement connexe pour les travailleurs essentiels (fonds d’approvisionnement et soutien accru)</t>
  </si>
  <si>
    <t>Approvisionnement supplémentaire en EPI et soutien pour le stockage et l’entreposage des EPI</t>
  </si>
  <si>
    <t>Allègement de la TPS/TVH sur les masques et les visières</t>
  </si>
  <si>
    <t>Améliorer la ventilation dans les immeubles publics</t>
  </si>
  <si>
    <t xml:space="preserve">Soutien aux personnes sans-abri (par l’entremise de Vers un chez-soi) </t>
  </si>
  <si>
    <t xml:space="preserve">Installations de quarantaine et mesures frontalières liées à la COVID-19 </t>
  </si>
  <si>
    <t>Soutien aux entreprises qui embauchent des travailleurs étrangers temporaires</t>
  </si>
  <si>
    <t>Extension du programme d’aide à l’isolement obligatoire pour les travailleurs étrangers temporaires</t>
  </si>
  <si>
    <t>Lutte contre l’éclosion de la COVID-19 chez les travailleurs étrangers temporaires sur les fermes</t>
  </si>
  <si>
    <t>Appuyer la réponse des Forces armées canadiennes à la crise de la COVID-19 (incluant Opération LASER)</t>
  </si>
  <si>
    <t>Ministère de la Défense nationale</t>
  </si>
  <si>
    <t xml:space="preserve"> La formation des préposés aux bénéficiaires et les mesures visant à remédier aux pénuries de main-d’œuvre dans le secteur des soins de longue durée et à domicile</t>
  </si>
  <si>
    <t>Investissements supplémentaires dans les soins de longue durée</t>
  </si>
  <si>
    <t>Outils de soins et de santé mentale virtuels pour les Canadiens</t>
  </si>
  <si>
    <t>Appuyer les centres de détresse et le portail Espace mieux-être Canada</t>
  </si>
  <si>
    <t>Appuyer les Canadiens qui luttent contre les troubles de la consommation de substances</t>
  </si>
  <si>
    <t>Soutien à la Croix-Rouge canadienne</t>
  </si>
  <si>
    <t>Ministère de la Sécurité publique et de la Protection civile</t>
  </si>
  <si>
    <t>Effectif humanitaire civil (Croix-Rouge)</t>
  </si>
  <si>
    <t>Améliorer les mesures de santé publique dans les communautés autochtones</t>
  </si>
  <si>
    <t>La santé mentale des populations autochtones</t>
  </si>
  <si>
    <t>Soins dans les communautés autochtones</t>
  </si>
  <si>
    <t>Soutien aux partenaires internationaux (comprend 322,9 M$ provenant du Compte de crises de l’enveloppe de l’aide internationale ou découlant de la réaffectation de fonds)</t>
  </si>
  <si>
    <t xml:space="preserve">Intervention de santé publique immédiate (dont 25 M$ pour l’ASPC en 2019-2020) </t>
  </si>
  <si>
    <t>Réduire les coûts d’importation afin de faciliter l’accès aux produits médicaux essentiels</t>
  </si>
  <si>
    <t>Aide consulaire (dont 36 M$ en 2019-2020)</t>
  </si>
  <si>
    <t>Total - Protéger la santé et la sécurité</t>
  </si>
  <si>
    <t>Subvention salariale d’urgence du Canada (du 15 mars au 19 décembre)</t>
  </si>
  <si>
    <t>Données concernant la SSUC</t>
  </si>
  <si>
    <t>Annuler le délai de carence de l’assurance-emploi pour les personnes en quarantaine obligatoire</t>
  </si>
  <si>
    <t>Prestation canadienne de relance économique</t>
  </si>
  <si>
    <t>Prestation canadienne de maladie pour la relance économique</t>
  </si>
  <si>
    <t>Prestation canadienne de relance économique pour les proches aidants</t>
  </si>
  <si>
    <t xml:space="preserve">Compte d’urgence pour les entreprises canadiennes – incitatif de 25 % </t>
  </si>
  <si>
    <t>Exportation et développement Canada</t>
  </si>
  <si>
    <t>Agence de promotion économique du Canada atlantique</t>
  </si>
  <si>
    <t>Agence canadienne de développement économique du Nord</t>
  </si>
  <si>
    <t>Agence de développement économique du Canada pour les régions du Québec</t>
  </si>
  <si>
    <t>Agence fédérale de développement économique pour le Sud de l’Ontario</t>
  </si>
  <si>
    <t>Soutien au développement économique dans le Nord</t>
  </si>
  <si>
    <t>Soutien aux travailleurs des secteurs des événements en direct et des arts</t>
  </si>
  <si>
    <t xml:space="preserve">Soutien au secteur de la radiodiffusion </t>
  </si>
  <si>
    <t>Soutien à l’Office national du film</t>
  </si>
  <si>
    <t xml:space="preserve"> Soutenir l’industrie audiovisuelle</t>
  </si>
  <si>
    <t>Téléfilm Canada</t>
  </si>
  <si>
    <t>Initiative du transport aérien régional</t>
  </si>
  <si>
    <t>Programme aide aux immobilisations aéroportuaires</t>
  </si>
  <si>
    <t>Soutien pour les infrastructures essentielles des grands aéroports</t>
  </si>
  <si>
    <t>Allègement du loyer des aéroports</t>
  </si>
  <si>
    <t>Soutien pour le secteur du transport aérien</t>
  </si>
  <si>
    <t xml:space="preserve">Soutien au secteur du transport aérien </t>
  </si>
  <si>
    <t>Transports Canada</t>
  </si>
  <si>
    <t>Subvention salariale temporaire de 10 % pour les entreprises</t>
  </si>
  <si>
    <t xml:space="preserve">Complément salarial pour les travailleurs essentiels </t>
  </si>
  <si>
    <t>Prestation canadienne d’urgence (PCU)</t>
  </si>
  <si>
    <t>Données concernant la PCU</t>
  </si>
  <si>
    <t>Frais d’administration de la Prestation canadienne d’urgence</t>
  </si>
  <si>
    <t>Aide d’urgence du Canada pour le loyer commercial (AUCLC)</t>
  </si>
  <si>
    <t>Moins: Contribution des provinces pour l’AUCLC</t>
  </si>
  <si>
    <t>Soutien aux économies autochtones locales et à l’industrie du tourisme autochtone</t>
  </si>
  <si>
    <t>Allègement financier pour les Premières Nations par l’intermédiaire de l’Autorité financière des Premières Nations</t>
  </si>
  <si>
    <t>Transfert de 17,1 millions $ à l'Autorité financière des Premières nations</t>
  </si>
  <si>
    <t>Soutien aux entreprises autochtones et aux institutions financières autochtones</t>
  </si>
  <si>
    <t>Soutien aux entreprises des rues commerçantes</t>
  </si>
  <si>
    <t>Stratégie pour les femmes en entrepreneuriat – supplément pour l’écosystème</t>
  </si>
  <si>
    <t xml:space="preserve">Fonds d’urgence pour Granville Island </t>
  </si>
  <si>
    <t>Campagne de publicité : Plan d’intervention du gouvernement du Canada pour répondre à la COVID-19 - 2020-2021</t>
  </si>
  <si>
    <t>Communications et marketing en lien avec la COVID-19</t>
  </si>
  <si>
    <t>Bureau du Conseil privé</t>
  </si>
  <si>
    <t>Subvention salariale pour le personnel des fonds non publics, Forces canadiennes</t>
  </si>
  <si>
    <t>Soutien pour les services d’inspection des aliments</t>
  </si>
  <si>
    <t>Agence canadienne d’inspection des aliments</t>
  </si>
  <si>
    <t>Soutien aux organisations chargées de la culture, du patrimoine et du sport</t>
  </si>
  <si>
    <t>Conseil des arts du Canada</t>
  </si>
  <si>
    <t>Ministère du Patrimoine canadien</t>
  </si>
  <si>
    <t>Le Musée canadien des droits de la personne</t>
  </si>
  <si>
    <t>Le Musée canadien de l’histoire</t>
  </si>
  <si>
    <t>Le Musée canadien de l’immigration du Quai 21</t>
  </si>
  <si>
    <t>Le Musée canadien de la nature</t>
  </si>
  <si>
    <t>Le Musée des beaux-arts du Canada</t>
  </si>
  <si>
    <t>Le Musée des sciences et de la technologie du Canada</t>
  </si>
  <si>
    <t>Commission des champs de bataille nationaux</t>
  </si>
  <si>
    <t>Soutien au Centre national des Arts du Canada pendant la pandémie de COVID-19</t>
  </si>
  <si>
    <t>Centre national des arts</t>
  </si>
  <si>
    <t xml:space="preserve">Nettoyage d’anciens puits pétroliers et gaziers </t>
  </si>
  <si>
    <t>Non budgétaire législatif</t>
  </si>
  <si>
    <t>Fonds de réduction des émissions pour le secteur pétrolier et gazier (sur deux ans)</t>
  </si>
  <si>
    <t>Ministère des Ressources naturelles</t>
  </si>
  <si>
    <t>Soutien pour les agriculteurs, les entreprises agroalimentaires et la chaîne d’approvisionnement</t>
  </si>
  <si>
    <t>Soutien aux transformateurs de poissons et de produits de la mer - Fonds canadien pour la stabilisation des produits de la mer</t>
  </si>
  <si>
    <t>Ministère des Pêches et des Océans</t>
  </si>
  <si>
    <t>Soutien aux pêcheurs du Canada</t>
  </si>
  <si>
    <t>Soutien pour milieu de la recherche universitaire du Canada</t>
  </si>
  <si>
    <t>Conseil de recherches en sciences humaines</t>
  </si>
  <si>
    <t xml:space="preserve">Soutien à la Société des ponts fédéraux Limitée </t>
  </si>
  <si>
    <t>La Société des ponts fédéraux Limitée</t>
  </si>
  <si>
    <t xml:space="preserve">Soutien aux travailleurs du secteur de l’énergie extracôtière de Terre-Neuve-et-Labrador </t>
  </si>
  <si>
    <t xml:space="preserve"> Assurer l’accès aux centres d’appels de l’Agence du revenu du Canada </t>
  </si>
  <si>
    <t>Paiements pour soutenir les mesures économiques liées à la COVID-19 (Agence du revenu du Canada)</t>
  </si>
  <si>
    <t xml:space="preserve">Bonification temporaire du crédit pour la TPS </t>
  </si>
  <si>
    <t>Bonification temporaire de l’Allocation canadienne pour enfants</t>
  </si>
  <si>
    <t>Versement unique aux bénéficiaires de la Sécurité de la vieillesse et du SRG</t>
  </si>
  <si>
    <t>Soutien aux personnes handicapées (1 millions de dollars en financement existant)</t>
  </si>
  <si>
    <t>Programmes d’emploi et de perfectionnement des compétences pour les jeunes</t>
  </si>
  <si>
    <t>Ministère de l’Environnement</t>
  </si>
  <si>
    <t>Programme de prêts d’études canadiens (sur deux ans)</t>
  </si>
  <si>
    <t xml:space="preserve">Bourse canadienne pour le bénévolat étudiant </t>
  </si>
  <si>
    <t>Soutien au Programme d’aide au revenu dans les réserves</t>
  </si>
  <si>
    <t>Élargissement du programme Nouveaux Horizons pour les aînés</t>
  </si>
  <si>
    <t>Soutien aux enfants et aux jeunes (Jeunesse, J’écoute)</t>
  </si>
  <si>
    <t>Réduction du montant minimal des retraits des FERR</t>
  </si>
  <si>
    <t xml:space="preserve"> Soutenir les organisations de vétérans</t>
  </si>
  <si>
    <t>Ministère des Anciens Combattants</t>
  </si>
  <si>
    <t>Soutien aux organismes de bienfaisance et à but non lucratif qui desservent les populations vulnérables (Fonds d'urgence pour l'appui communautaire)</t>
  </si>
  <si>
    <t xml:space="preserve">Contrer la violence fondée sur le sexe </t>
  </si>
  <si>
    <t>Ministère des Femmes et de l’Égalité des genres </t>
  </si>
  <si>
    <t xml:space="preserve">Soutien aux refuges pour femmes et aux centres d’aide aux victimes d’agression sexuelle, y compris les installations dans les collectivités autochtones </t>
  </si>
  <si>
    <t>Début du financement en 2021-2022</t>
  </si>
  <si>
    <t>Protection et soutien des femmes et des filles autochtones fuyant la violence (deux premiers exercices)</t>
  </si>
  <si>
    <t xml:space="preserve">Appuyer les efforts de formation professionnelle des provinces et des territoires dans le cadre de la reprise économique liée à la COVID-19 </t>
  </si>
  <si>
    <t xml:space="preserve"> lʼInitiative pour la création rapide de logements</t>
  </si>
  <si>
    <t>Société canadienne d’hypothèques et de logement</t>
  </si>
  <si>
    <t xml:space="preserve">Financement d’urgence pour les mesures de sécurité des activités d’exploitation forestière </t>
  </si>
  <si>
    <t>Programme pour l’entrepreneuriat des communautés noires</t>
  </si>
  <si>
    <t>Appuyer les mesures de santé publique dans les établissements correctionnels</t>
  </si>
  <si>
    <t>Remplacement des recettes et allègement des loyers de Parcs Canada</t>
  </si>
  <si>
    <t>Parcs Canada</t>
  </si>
  <si>
    <t>Soutien pour la Commission de la capitale nationale</t>
  </si>
  <si>
    <t>Intégrité des programmes de Services publics et Approvisionnement Canada</t>
  </si>
  <si>
    <t>Appuyer la prestation continue des principales prestations</t>
  </si>
  <si>
    <t>Améliorer notre capacité d’atteindre tous les Canadiens</t>
  </si>
  <si>
    <t>Maintenir la capacité des services juridiques du gouvernement fédéral</t>
  </si>
  <si>
    <t>Soutien aux opérations judiciaires et accès à la justice</t>
  </si>
  <si>
    <t>Soutien à l’intégrité des paiements de la Prestation canadienne d’urgence liés à la COVID-19</t>
  </si>
  <si>
    <t>Financement pour VIA Rail Canada Inc.</t>
  </si>
  <si>
    <t>Ministère de la Justice</t>
  </si>
  <si>
    <t xml:space="preserve">1 100 000 $ utilisés à ce jour </t>
  </si>
  <si>
    <t>La législation qui fournit l'autorité législatif</t>
  </si>
  <si>
    <t>Les mesures présentées dans ce document de suivi sont organisées de manière à correspondre au regroupement des mesures présentées dans les tableaux du Plan d’intervention économique pour répondre à la COVID-19 de l'Énoncé économique de l’automne de 2020 (à la fin des chapitres 1 et 2). Le document comprend les onglets suivants :</t>
  </si>
  <si>
    <t>Ministère des Finances Canada, Énoncé économique de l’automne de 2020 : Soutenir les Canadiens et lutter contre la COVID-19</t>
  </si>
  <si>
    <t>Soutien aux entreprises du Nord-Fonds de soutien aux entreprises du Nord (provenant des ressources existantes)</t>
  </si>
  <si>
    <t xml:space="preserve">Mesures de soutien direct </t>
  </si>
  <si>
    <t xml:space="preserve">Total - Mesures de soutien direct </t>
  </si>
  <si>
    <t>Soutien supplémentaire pour la recherche médicale, les contre-mesures et les vaccins</t>
  </si>
  <si>
    <t>Commission de la capitale nationale</t>
  </si>
  <si>
    <t>Service correctionnel Canada</t>
  </si>
  <si>
    <t>VIA Rail Canada Inc.</t>
  </si>
  <si>
    <t>Changements temporaires à l’assurance emploi pour en améliorer l’accès</t>
  </si>
  <si>
    <t>Dépenses de 10 millions $</t>
  </si>
  <si>
    <t>Project de loi C-13 (43e législature, 1re session) Loi concernant certaines mesures en réponse à la COVID-19</t>
  </si>
  <si>
    <t>Projet de loi C-4 (43e législature, 2e session) Loi relative à certaines mesures en réponse à la COVID-19</t>
  </si>
  <si>
    <t>Project de loi C-13 (43e législature, 1re session) Loi concernant certaines mesures en réponse à la COVID-19 et Projet de loi C-4 (43e législature, 2e session) Loi relative à certaines mesures en réponse à la COVID-19</t>
  </si>
  <si>
    <t>Projet de loi C-13 (43e législature, 1re session) Loi concernant certaines mesures en réponse à la COVID-19</t>
  </si>
  <si>
    <t>Projet de loi C-13 (43e législature, 1re session) Loi concernant certaines mesures en réponse à la COVID-19 et Projet de loi C-4 (43e législature, 2e session) Loi relative à certaines mesures en réponse à la COVID-19</t>
  </si>
  <si>
    <t>Projet de loi C-9 (43e législature, 2e session) Loi modifiant la Loi de l'impôt sur le revenu (Subvention d'urgence pour le loyer du Canada et Subvention salariale d'urgence du Canada)</t>
  </si>
  <si>
    <t>Projet de loi C-14 (43e législature, 1re session) Loi no 2 concernant certaines mesures en réponse à la COVID-19, Projet de loi C-20 (43e législature, 1re session) Loi concernant des mesures supplémentaires liées à la COVID-19, Projet de loi C-9 (43e législature, 2e session) Loi modifiant la Loi de l'impôt sur le revenu (Subvention d'urgence pour le loyer du Canada et Subvention salariale d'urgence du Canada), Projet de loi C-17 (43e législature, 1re session)</t>
  </si>
  <si>
    <t>Projet de loi C-20 (43e législature, 1re session) Loi concernant des mesures supplémentaires liées à la COVID-19</t>
  </si>
  <si>
    <t>Arrêté provisoire no 10 modifiant la Loi sur l’assurance-emploi (prestation d’assurance-emploi d’urgence)</t>
  </si>
  <si>
    <t>décembre 2020</t>
  </si>
  <si>
    <t>Arrêté provisoire no 7 modifiant la Loi sur l’assurance-emploi (prestation d’assurance-emploi d’urgence)</t>
  </si>
  <si>
    <t>Le Décret de remise visant certaines marchandises (COVID-19)</t>
  </si>
  <si>
    <t>Loi sur les programmes de commercialisation agricole</t>
  </si>
  <si>
    <t>Loi relative aux cessions d’aéroports</t>
  </si>
  <si>
    <t>Loi de l’impôt sur le revenu</t>
  </si>
  <si>
    <t>Loi sur la taxe d’accise et Loi sur les douanes</t>
  </si>
  <si>
    <t xml:space="preserve">Les données fournies par les ministères représentent les données sur les dépenses à une date définie, sauf indication contraire. </t>
  </si>
  <si>
    <t>Sera envoyée</t>
  </si>
  <si>
    <t>Paiements des prêts d’études canadiens (Moratoire)</t>
  </si>
  <si>
    <t>L’ASFC a accordé une remise à 11 821 importateurs, dont les montants exonérés s’élèvent à 289 616 769 $ en droits et 14 062 640 $ en taxes.</t>
  </si>
  <si>
    <t>23 novembre 2020</t>
  </si>
  <si>
    <t>Renforcement de la préparation à la pandémie dans les établissements de soins de longue durée et les résidences pour personnes âgées</t>
  </si>
  <si>
    <r>
      <t>Estimation du Gouvernement pour 2020-21 (trésorerie) (M$)</t>
    </r>
    <r>
      <rPr>
        <vertAlign val="superscript"/>
        <sz val="11"/>
        <color theme="0"/>
        <rFont val="Calibri"/>
        <family val="2"/>
        <scheme val="minor"/>
      </rPr>
      <t xml:space="preserve"> 1</t>
    </r>
  </si>
  <si>
    <r>
      <rPr>
        <vertAlign val="superscript"/>
        <sz val="11"/>
        <color theme="1"/>
        <rFont val="Calibri"/>
        <family val="2"/>
        <scheme val="minor"/>
      </rPr>
      <t>1</t>
    </r>
    <r>
      <rPr>
        <sz val="11"/>
        <color theme="1"/>
        <rFont val="Calibri"/>
        <family val="2"/>
        <scheme val="minor"/>
      </rPr>
      <t xml:space="preserve"> Le gouvernement a inclus des valeurs des incidences de ces mesures dans l'énoncé économique d'automne 2020.</t>
    </r>
  </si>
  <si>
    <t>Transfert de 4,2 millions $</t>
  </si>
  <si>
    <t>Autres soutiens au crédit pour les entreprises - Programme d’aide à la recherche industrielle</t>
  </si>
  <si>
    <t>Autres soutiens au crédit pour les entreprises - Futurpreneur Canada</t>
  </si>
  <si>
    <t>Somme de 20,1 millions $ dépensés, pour soutenir plus de 3 200 petites entreprises</t>
  </si>
  <si>
    <t>1 199 987 $ en subvention</t>
  </si>
  <si>
    <t>16 000 $ utilisés</t>
  </si>
  <si>
    <t>9 964 000$ utilisés</t>
  </si>
  <si>
    <t>2,4 millions $ utilisés</t>
  </si>
  <si>
    <t>*Les loyers reportés sont remboursables au Ministère et ne seront pas récupérés au cours de la durée restante des baux.</t>
  </si>
  <si>
    <t>Pas disponible :</t>
  </si>
  <si>
    <t>Pas disponible</t>
  </si>
  <si>
    <t>155 087 $ payés</t>
  </si>
  <si>
    <t>Le ministère a fait savoir dans sa réponse au DPB que l’information sur cette mesure n’est pas encore disponible ou ne peut être fournie.</t>
  </si>
  <si>
    <t>Sources :</t>
  </si>
  <si>
    <t>Données concernant la PCRE</t>
  </si>
  <si>
    <t>Données concernant la PCMRE</t>
  </si>
  <si>
    <t>Données concernant la PCREPA</t>
  </si>
  <si>
    <t>Données concernant la PCUE</t>
  </si>
  <si>
    <t>Programme d’achat d’aliments exédentaires : Des accords avec neuf candidats ont été signés pour un montant de 49,4 millions $</t>
  </si>
  <si>
    <t>Infrastructure Canada</t>
  </si>
  <si>
    <t>l’Office national du film du Canada</t>
  </si>
  <si>
    <t>Fonds d’urgence pour les vétérans</t>
  </si>
  <si>
    <t>Secrétariat du Conseil du Trésor du Canada</t>
  </si>
  <si>
    <t>IR0584</t>
  </si>
  <si>
    <t>IR0579</t>
  </si>
  <si>
    <t>IR0578</t>
  </si>
  <si>
    <t>IR0583</t>
  </si>
  <si>
    <t>IR0580</t>
  </si>
  <si>
    <t>IR0582</t>
  </si>
  <si>
    <t>IR0585</t>
  </si>
  <si>
    <t>Fonds de réponse à la COVID-19 (dont 500 M$ pour les provinces et les territoires en 2019-2020, et 50 M$ provenant de ressources existantes)</t>
  </si>
  <si>
    <t>Soutien à Santé Canada et à l’Agence de la santé publique du Canada</t>
  </si>
  <si>
    <t xml:space="preserve">*La somme est plus élevée que les fonds reçus dans le Budget supplémentaire des dépenses (A) en raison des investissements supplémentaires effectués par les IRSC à partir de leur financement de base-a. </t>
  </si>
  <si>
    <t>IR0581</t>
  </si>
  <si>
    <t>Somme de 19 999 420 $ alloués à 305 653 individus à l'aide de 30 organisations</t>
  </si>
  <si>
    <t>Le Secrétariat du Conseil du Trésor du Canada, Budget supplémentaire des dépenses (C), 2020-2021</t>
  </si>
  <si>
    <t>Supp C</t>
  </si>
  <si>
    <t>Projet de loi C-14 (43e législature, 2e session) Loi d’exécution de l’énoncé économique de 2020</t>
  </si>
  <si>
    <t>Service administratif des tribunaux judiciaires</t>
  </si>
  <si>
    <t>Registraire de la Cour suprême du Canada</t>
  </si>
  <si>
    <t>Loi sur l’Agence du revenu du Canada</t>
  </si>
  <si>
    <t>Bibliothèque et Archives du Canada</t>
  </si>
  <si>
    <t>Réaffectation des ressources à lʼinterne pour répondre à divers besoins de fonctionnement comme ceux liés aux pressions inhérentes à la COVID-19, et à diverses initiatives de transition</t>
  </si>
  <si>
    <t>Réaffectation des ressources à lʼinterne pour soutenir la réponse initiale du Canada à la COVID-19</t>
  </si>
  <si>
    <t>Réaffectation des ressources à lʼinterne en vue de financer des subventions méritoires pour des possibilités de financement dʼintervention rapide face à la COVID-19</t>
  </si>
  <si>
    <t>Fonds pour les services de communication</t>
  </si>
  <si>
    <t>Fonds aux fins de gestion de la Subvention salariale d’urgence du Canada</t>
  </si>
  <si>
    <t>Fonds aux fins de gestion de la Subvention salariale temporaire de 10 % pour les employeurs</t>
  </si>
  <si>
    <t>Fonds aux fins de gestion de la Subvention d’urgence du Canada pour le loyer</t>
  </si>
  <si>
    <t>Fonds aux fins de gestion du Compte d’urgence pour les entreprises canadiennes</t>
  </si>
  <si>
    <t>Dépense des recettes résultant de la poursuite des opérations</t>
  </si>
  <si>
    <t>Bureau du vérificateur général du Canada</t>
  </si>
  <si>
    <t>Fonds pour les besoins opérationnels critiques du Bureau du vérificateur général du Canada</t>
  </si>
  <si>
    <t>Fonds pour permettre au gouvernement du Nunavut de faire face à l’augmentation des coûts des soins de santé due à la pandémie</t>
  </si>
  <si>
    <t>Fonds pour les besoins opérationnels critiques de la Société des ponts fédéraux Limitée</t>
  </si>
  <si>
    <t>Fonds pour aider lʼindustrie canadienne à relever le défi posé par la COVID-19 par lʼentremise du programme Solutions innovatrices Canada</t>
  </si>
  <si>
    <t>Fonds pour le projet du Compte d’urgence pour les entreprises canadiennes</t>
  </si>
  <si>
    <t>Autres soutiens au crédit pour les entreprises ̶ Agences de développement régional (Fonds d'aide et de relance régionale, y compris le Réseau de développement des collectivités)</t>
  </si>
  <si>
    <t>Données concernant le SUCL et Indemnité de confinement</t>
  </si>
  <si>
    <t>Fonds stratégique pour l’innovation</t>
  </si>
  <si>
    <t>Projet de loi C-14 (43e législature, 1re session) Loi no 2 concernant certaines mesures en réponse à la COVID-19</t>
  </si>
  <si>
    <t xml:space="preserve">Somme de 2,0 millards $ transféré aux 13 provinces et territoires </t>
  </si>
  <si>
    <t>18 février 2021</t>
  </si>
  <si>
    <t>Somme de 320 millions $ ont été fournis</t>
  </si>
  <si>
    <t>Données disponibles en ligne</t>
  </si>
  <si>
    <t xml:space="preserve">Versement de 741,2 millions $ par l’intermédiaire de l’aide internationale </t>
  </si>
  <si>
    <t>5 mars 2021</t>
  </si>
  <si>
    <t>28 février 2021</t>
  </si>
  <si>
    <t>25 153 018 $ utilisés</t>
  </si>
  <si>
    <t>Somme de 108 455 832 $ dépensée</t>
  </si>
  <si>
    <t>10 mars 2021</t>
  </si>
  <si>
    <t>24 février 2021</t>
  </si>
  <si>
    <t>Fonds d’urgence pour la transformation : versement de 65,3 millions $ pour les projets approuvés</t>
  </si>
  <si>
    <t>Somme reçue de 39 237 083 $</t>
  </si>
  <si>
    <t>Somme de 12 276 726 000 $ transféré aux 13 provinces et territoires</t>
  </si>
  <si>
    <t>1 720 000 000 $ de dépenses estimées</t>
  </si>
  <si>
    <t>9 998 735 $ de dépenses estimées</t>
  </si>
  <si>
    <t>63 738 124 $ de dépenses estimées</t>
  </si>
  <si>
    <t>394 075 985 $ de dépenses estimées</t>
  </si>
  <si>
    <t>12 550 284 $ de dépenses estimées</t>
  </si>
  <si>
    <t>19 973 765 $ de dépenses estimées</t>
  </si>
  <si>
    <t>349 698 783 $ de dépenses estimées</t>
  </si>
  <si>
    <t>1 499 265 341 $ de dépenses estimées</t>
  </si>
  <si>
    <t>11 262 711 $ de dépenses estimées</t>
  </si>
  <si>
    <t>35 717 351 $ de dépenses estimées</t>
  </si>
  <si>
    <t>62 787 208 $ de dépenses estimées</t>
  </si>
  <si>
    <t>405 430 389 $ de dépenses estimées</t>
  </si>
  <si>
    <t>29 654 492 $ de dépenses estimées</t>
  </si>
  <si>
    <t>1 148 000 $ de dépenses estimées</t>
  </si>
  <si>
    <t>863 000 $ de dépenses estimées</t>
  </si>
  <si>
    <t>32 211 469 $ de dépenses estimées</t>
  </si>
  <si>
    <t>Statistique Canada</t>
  </si>
  <si>
    <t xml:space="preserve">Données du SCT: Estimation des dépenses du Plan d’intervention économique pour répondre à la COVID-19 </t>
  </si>
  <si>
    <t>2 mars 2021</t>
  </si>
  <si>
    <t>83 311 449 $ de dépenses estimées</t>
  </si>
  <si>
    <t>3 153 073 $ en subventions</t>
  </si>
  <si>
    <t>7 000 000 $ de dépenses estimées</t>
  </si>
  <si>
    <t>29 mars 2021</t>
  </si>
  <si>
    <t>Report de loyer : approbation de 33 demandes de report de loyer de locataires, pour un total d’environ 190 441 $ en loyer*
Allégement de loyer : approbation de 4 formulaires d’attestation, pour une perte de 13 532 $ en revenus de location</t>
  </si>
  <si>
    <t>2 206 586 $ transférés</t>
  </si>
  <si>
    <t>2 049 575 $ transférés</t>
  </si>
  <si>
    <t>5 927 263 $  transférés</t>
  </si>
  <si>
    <t>4 808 711 $ transférés</t>
  </si>
  <si>
    <t>5 338 974 $ transférés</t>
  </si>
  <si>
    <t>1 112 328 $ transférés</t>
  </si>
  <si>
    <t>Projet de loi C-4 (43e législature, 2e session) Loi relative à certaines mesures en réponse à la COVID-19 et Projet de loi C-24 (43e législature, 2e session) Loi modifiant la Loi sur l’assurance-emploi (prestations régulières supplémentaires), la Loi sur les prestations canadiennes de relance économique (restriction de l’admissibilité) et une autre loi en réponse à la COVID-19</t>
  </si>
  <si>
    <t>15 000 000 $ de dépenses estimées</t>
  </si>
  <si>
    <t>****Ce chiffre représente une estimation du coût de l'augmentation des subventions canadiennes aux étudiants de 50 % pour l'année de prêt 2020-21.  Les coûts des prêts d'études canadiens associés à la suspension des cotisations de l'étudiant et du conjoint et à l'augmentation du montant maximal hebdomadaire du prêt de 210 $ à 350 $ ne sont pas inclus.</t>
  </si>
  <si>
    <t>***Ce chiffre représente les paiements effectués par le Gouvernement du Canada pour compenser les institutions financières pour le moratoire de six mois sur les prêts dans le cadre des régimes garantis et à risques partagés. Les coûts associés au régime de prêts directs ne sont pas inclus.</t>
  </si>
  <si>
    <t xml:space="preserve">Voté/législatif dans les Budgets des dépenses </t>
  </si>
  <si>
    <t>Montant dans les Budgets des dépenses 2020-2021 (M$)</t>
  </si>
  <si>
    <t>Inclus dans les Budgets des dépenses 2020-2021</t>
  </si>
  <si>
    <t>Inclus dans les Budgets des dépenses 2021-2022</t>
  </si>
  <si>
    <t>Montant dans les Budgets des dépenses 2021-2022 (M$)</t>
  </si>
  <si>
    <t>2020-2021</t>
  </si>
  <si>
    <t>2021-2022</t>
  </si>
  <si>
    <t>Budget principal</t>
  </si>
  <si>
    <t>Le Secrétariat du Conseil du Trésor du Canada, Estimation des dépenses du Plan d’intervention économique pour répondre à la COVID-19 soumis au Comité permanent des opérations gouvernementales et des prévisions budgétaire</t>
  </si>
  <si>
    <t>Le Secrétariat du Conseil du Trésor du Canada, Budget principal des dépenses, 2021-2022</t>
  </si>
  <si>
    <t>Total Budget principal 2021-22 - Protéger la santé et la sécurité</t>
  </si>
  <si>
    <t>Total Supp A 2020-21 - Protéger la santé et la sécurité</t>
  </si>
  <si>
    <t>Total Supp B 2020-21 - Protéger la santé et la sécurité</t>
  </si>
  <si>
    <t>Total Supp C 2020-21 - Protéger la santé et la sécurité</t>
  </si>
  <si>
    <t xml:space="preserve">Total Supp A 2020-21 - Mesures de soutien direct </t>
  </si>
  <si>
    <t xml:space="preserve">Total Supp B 2020-21 - Mesures de soutien direct </t>
  </si>
  <si>
    <t xml:space="preserve">Total Supp C 2020-21 - Mesures de soutien direct </t>
  </si>
  <si>
    <t xml:space="preserve">Total Budget principal 2021-22 - Mesures de soutien direct </t>
  </si>
  <si>
    <t>Total Supp C 2020-21 - Autres mesures de soutien à la liquidité et d'allègement liées au capital</t>
  </si>
  <si>
    <t>940 209$ de dépenses estimées</t>
  </si>
  <si>
    <t>143 000 $ de dépenses estimées</t>
  </si>
  <si>
    <t>34 380 000 $ de dépenses estimées</t>
  </si>
  <si>
    <t>9 962 000 $ de dépenses estimées</t>
  </si>
  <si>
    <t>262 175 718 $ de dépenses estimées</t>
  </si>
  <si>
    <t>6 013 896 $ de dépenses estimées</t>
  </si>
  <si>
    <t>18,2 millions $ transférés</t>
  </si>
  <si>
    <t>1 821 311 $ de dépenses estimées</t>
  </si>
  <si>
    <t>114 857 813 $ de dépenses estimées</t>
  </si>
  <si>
    <t>292 365 906 $ de dépenses estimées</t>
  </si>
  <si>
    <t>Projet de loi C-24 (43e législature, 2e session) Loi modifiant la Loi sur l’assurance-emploi (prestations régulières supplémentaires), la Loi sur les prestations canadiennes de relance économique (restriction de l’admissibilité) et une autre loi en réponse à la COVID-19</t>
  </si>
  <si>
    <t>² La Loi d’exécution de l'énoncé économique de 2020 (projet de loi C-14) n'a pas reçu la sanction royale en date du 31 mars 2021, laquelle est la date requise pour autoriser le paiement de certaines mesures. Par conséquent, les dépenses relatives à ces mesures seront considérablement réduites en 2020-2021, et peut-être même complètement reportées à 2021-2022, puisqu'elles ne peuvent être engagées que pour des autorisations reçues par un autre moyen (InfoBase).</t>
  </si>
  <si>
    <t>Projet de loi C-14 (43e législature, 2e session) Loi d’exécution de l’énoncé économique de 2020 ²</t>
  </si>
  <si>
    <t>Les montants indiqués dans les budget des dépenses représentent les montants maximums des dépenses de l'exercice en cours. Ces montants sont calculés selon la méthode de la comptabilité de caisse et représentent donc des montants qui peuvent entrer dans l'économie cette année-là.</t>
  </si>
  <si>
    <r>
      <t>Estimation du Gouvernement pour 2020-2021 (trésorerie) (M$)</t>
    </r>
    <r>
      <rPr>
        <vertAlign val="superscript"/>
        <sz val="11"/>
        <color theme="0"/>
        <rFont val="Calibri"/>
        <family val="2"/>
        <scheme val="minor"/>
      </rPr>
      <t xml:space="preserve"> 1</t>
    </r>
  </si>
  <si>
    <t>Loi fédérale sur l’aide financière aux étudiants</t>
  </si>
  <si>
    <t>Somme de 2,88 milliards $ transféré aux 13 provinces et territoires</t>
  </si>
  <si>
    <t>Dépenses de 11,99 millions $</t>
  </si>
  <si>
    <t>20 avril 2021</t>
  </si>
  <si>
    <r>
      <t>Estimation du Gouvernement pour 2021-2022 (trésorerie) (M$)</t>
    </r>
    <r>
      <rPr>
        <vertAlign val="superscript"/>
        <sz val="11"/>
        <color theme="0"/>
        <rFont val="Calibri"/>
        <family val="2"/>
        <scheme val="minor"/>
      </rPr>
      <t xml:space="preserve"> 1</t>
    </r>
  </si>
  <si>
    <r>
      <t>Estimation du Gouvernement pour 2021-22 (trésorerie) (M$)</t>
    </r>
    <r>
      <rPr>
        <vertAlign val="superscript"/>
        <sz val="11"/>
        <color theme="0"/>
        <rFont val="Calibri"/>
        <family val="2"/>
        <scheme val="minor"/>
      </rPr>
      <t xml:space="preserve"> 1</t>
    </r>
  </si>
  <si>
    <t>Prestation canadienne d'urgence pour les étudiants (PCUE) (y compris les coûts administratifs)</t>
  </si>
  <si>
    <t>Le Secrétariat du Conseil du Trésor du Canada, Budget supplémentaire des dépenses (A), 2021-2022</t>
  </si>
  <si>
    <t>31 mars 2021</t>
  </si>
  <si>
    <t>Somme de 212,5 millions $ dépensée</t>
  </si>
  <si>
    <t>Somme de 72 millions $ dépensée</t>
  </si>
  <si>
    <t>Somme de 7,3 millions $ dépensée</t>
  </si>
  <si>
    <t>Somme de 8,2 millions $ dépensée</t>
  </si>
  <si>
    <t>Somme de 6 millions $ dépensée</t>
  </si>
  <si>
    <t>Somme reçue de 39 700 212 $</t>
  </si>
  <si>
    <t>Somme de 45,4 millions $ dépensée</t>
  </si>
  <si>
    <t>Somme de 95,1 millions $ dépensée</t>
  </si>
  <si>
    <t>46 268 915 $ de dépenses estimées</t>
  </si>
  <si>
    <t>77 379 806 $ de dépenses estimées</t>
  </si>
  <si>
    <t>179 600 000 $ de dépenses estimées</t>
  </si>
  <si>
    <t>Des accords avec 6 provinces et territoires signés pour un total de 68 347 000 millions $</t>
  </si>
  <si>
    <t>1 027 681 401 $ de dépenses estimées</t>
  </si>
  <si>
    <t>31 mars 21</t>
  </si>
  <si>
    <t>242 813 766 $ de dépenses estimées</t>
  </si>
  <si>
    <t>56 767 8584 $ de dépenses estimées</t>
  </si>
  <si>
    <t>8 550 507 $ de dépenses estimées</t>
  </si>
  <si>
    <t>36 314 012 $ de dépenses estimées</t>
  </si>
  <si>
    <t>35 782 646 $ de dépenses estimées</t>
  </si>
  <si>
    <t>22 795 712 $ de dépenses estimées</t>
  </si>
  <si>
    <t>43 468 440 $ de dépenses estimées</t>
  </si>
  <si>
    <t>31  mars 2021</t>
  </si>
  <si>
    <t>3 594 925 $ de dépenses estimées</t>
  </si>
  <si>
    <t>21 905 822 $ de dépenses estimées</t>
  </si>
  <si>
    <t>254 926 939 $ de dépenses estimées</t>
  </si>
  <si>
    <t>2 777 000 $ de dépenses estimées</t>
  </si>
  <si>
    <t>74 042 533 $ de dépenses estimées</t>
  </si>
  <si>
    <t>31,420,749 $ de dépenses estimées</t>
  </si>
  <si>
    <t>17 896 658 $ de dépenses estimées</t>
  </si>
  <si>
    <t>31 mars 221</t>
  </si>
  <si>
    <t>137 315 012 $ de dépenses estimées</t>
  </si>
  <si>
    <t>99 344 807  $ de dépenses estimées</t>
  </si>
  <si>
    <t>654 511 953 $ de dépenses estimées**</t>
  </si>
  <si>
    <t>254 100 $ de dépenses estimées</t>
  </si>
  <si>
    <t>82 427 994 $ de dépenses estimées</t>
  </si>
  <si>
    <t>147 662 612 $ de dépenses estimées</t>
  </si>
  <si>
    <t>30 061 387 $ de dépenses estimées</t>
  </si>
  <si>
    <t>12 123 184 $ de dépenses estimées</t>
  </si>
  <si>
    <t>11 645 507 $ de dépenses estimées</t>
  </si>
  <si>
    <t>56 499 223 $ de dépenses estimées</t>
  </si>
  <si>
    <t>206 812 323 $ de dépenses estimées</t>
  </si>
  <si>
    <t>32 795 890 $ de dépenses estimées</t>
  </si>
  <si>
    <t>93 833 152 $ de dépenses estimées</t>
  </si>
  <si>
    <t>606 142 037 $ de dépenses estimées</t>
  </si>
  <si>
    <t>242 963 387 $ de dépenses estimées</t>
  </si>
  <si>
    <t>438 921 521 $ de dépenses estimées</t>
  </si>
  <si>
    <t>752 522 $ de dépenses estimées</t>
  </si>
  <si>
    <t>375 099 336 $ de dépenses estimées**</t>
  </si>
  <si>
    <t>Traitement de 27,56 millions de demandes pour 8,9 millions demandeurs uniques ; 68 022 369 106 $ de dépenses estimées
Frais d’administration de 277 615 730 $</t>
  </si>
  <si>
    <t>11 036 936 $ de dépenses estimées</t>
  </si>
  <si>
    <t xml:space="preserve">Approbation de 2 140 230 demandes pour 708 440 demandeurs uniques; 2 945 786 250 $ de dépenses estimées
Frais d’administration de 17 624 372 $ </t>
  </si>
  <si>
    <t>133 000 000  $ de dépenses estimées</t>
  </si>
  <si>
    <t>228 795 440 $ de dépenses estimées</t>
  </si>
  <si>
    <t>7 820 906 $ de dépenses estimées</t>
  </si>
  <si>
    <t>5 000 000 $ de dépenses estimées</t>
  </si>
  <si>
    <t>3 171 420 $ de dépenses estimées</t>
  </si>
  <si>
    <t>4 700 000 $ de dépenses estimées</t>
  </si>
  <si>
    <t>4 565 927 $ en dépenses estimées</t>
  </si>
  <si>
    <t>899 668 $ de dépenses estimées</t>
  </si>
  <si>
    <t>15 811 249 $ de dépenses estimées</t>
  </si>
  <si>
    <t>300 000 $ de dépenses estimées</t>
  </si>
  <si>
    <t>19 400 000 $ de dépenses estimées</t>
  </si>
  <si>
    <t>4 256 563 $ transférés</t>
  </si>
  <si>
    <t>31 708 760 $ de dépenses estimées</t>
  </si>
  <si>
    <t>31 714 992 $ de dépenses estimées</t>
  </si>
  <si>
    <t>144 823 722 $ de dépenses estimées</t>
  </si>
  <si>
    <t>434 458 507 $ de dépenses estimées</t>
  </si>
  <si>
    <t>5 755 637 $ de dépenses estimées</t>
  </si>
  <si>
    <t>2 461 142 765 $ de dépenses estimées</t>
  </si>
  <si>
    <t>810 304 629$ de dépenses estimées</t>
  </si>
  <si>
    <t>381 825 221 $ de dépenses estimées</t>
  </si>
  <si>
    <t>Approbation de 1 132 demandes, pour un total de 10,8 millions $, 9 622 456 $ de dépenses estimées</t>
  </si>
  <si>
    <t>2 000 000 $ de dépenses estimées</t>
  </si>
  <si>
    <t>105 199 498 $ de dépenses estimées</t>
  </si>
  <si>
    <t>88 469 146 $ de dépenses estimées</t>
  </si>
  <si>
    <t>16 978 406 $ de dépenses estimées</t>
  </si>
  <si>
    <t>19 250 126 $ de dépenses estimées</t>
  </si>
  <si>
    <t>2 486 172 $ de dépenses estimées***</t>
  </si>
  <si>
    <t>1 350 892 983 $ de dépenses estimées****</t>
  </si>
  <si>
    <t>140 964 432 $ de dépenses estimées</t>
  </si>
  <si>
    <t>29 973 830 $ de dépenses estimées</t>
  </si>
  <si>
    <t>870 443 986 $ de dépenses estimées</t>
  </si>
  <si>
    <t>30 077 342 $ de dépenses estimées</t>
  </si>
  <si>
    <t>17 799 732 $ de dépenses estimées</t>
  </si>
  <si>
    <t>2 322 245 $ de dépenses estimées</t>
  </si>
  <si>
    <t>70 163 $ de dépenses estimées</t>
  </si>
  <si>
    <t>90 426 025 $ de dépenses estimées</t>
  </si>
  <si>
    <t>30 332 531 $ de dépenses estimées</t>
  </si>
  <si>
    <t>6 708 002 $ de dépenses estimées</t>
  </si>
  <si>
    <t>1 036 242 $ de dépenses estimées</t>
  </si>
  <si>
    <t>5 987 097 $ de dépenses estimées</t>
  </si>
  <si>
    <t>59 438 $ de dépenses estimées</t>
  </si>
  <si>
    <t>4 740 000 $ de dépenses estimées</t>
  </si>
  <si>
    <t>Bureau du surintendant des institutions financières</t>
  </si>
  <si>
    <t>60 968 $ de dépenses estimées</t>
  </si>
  <si>
    <t>Bureau de l'enquêteur correctionnel</t>
  </si>
  <si>
    <t>9 006 $ de dépenses estimées</t>
  </si>
  <si>
    <t>Total Supp A 2021-22 - Protéger la santé et la sécurité</t>
  </si>
  <si>
    <t xml:space="preserve">Total Supp A 2021-22 - Mesures de soutien direct </t>
  </si>
  <si>
    <t>Approbation de 3 435 510 demandes pour 444 910 demandeurs uniques; versement de 79,03 milliards $ en subventions</t>
  </si>
  <si>
    <t>16 mai 2021</t>
  </si>
  <si>
    <t>Approbation de 17 754 940 demandes pour 1 952 090 demandeurs uniques, pour une somme de 17,75 milliards $</t>
  </si>
  <si>
    <t>14 mai 2021</t>
  </si>
  <si>
    <t>Approbation de 1 031 370 demandes pour 550 960 demandeurs uniques, pour une somme de 515 685 000 $</t>
  </si>
  <si>
    <t>Approbation de 4 739 910 demandes pour 399 870 demandeurs uniques, pour une somme de 2,37 millards $</t>
  </si>
  <si>
    <t>Approbation de 940 390 demandes pour 182 590 demandeurs uniques, pour une somme de 3,68 millards $</t>
  </si>
  <si>
    <t>Total des fonds approuvés pour les prêts et les majorations : 47,3 milliards $
Nombre d’entreprises ayant reçu une approbation de prêt : 876 644
Nombre d’entreprises ayant reçu une approbation de majoration : 540 598</t>
  </si>
  <si>
    <t>20 mai 2021</t>
  </si>
  <si>
    <t>4 488 ententes approuvées pour un nombre d'employés estimé à 136 869. Valeur totale estimée à 1 549 348 274 $</t>
  </si>
  <si>
    <t>23 mai 2021</t>
  </si>
  <si>
    <t>1 mai 2021</t>
  </si>
  <si>
    <r>
      <t>4,7 millions $ d'allégement direct du loyer des locataires et 8 millions $ pour financer les opérations de l'</t>
    </r>
    <r>
      <rPr>
        <sz val="11"/>
        <color theme="1"/>
        <rFont val="Calibri"/>
        <family val="2"/>
      </rPr>
      <t>ȋ</t>
    </r>
    <r>
      <rPr>
        <sz val="11"/>
        <color theme="1"/>
        <rFont val="Calibri"/>
        <family val="2"/>
        <scheme val="minor"/>
      </rPr>
      <t>le</t>
    </r>
  </si>
  <si>
    <t xml:space="preserve"> L'intervention d'urgence du Canada en réponse à la COVID-19 : SCHL</t>
  </si>
  <si>
    <r>
      <t>2,03 milliards $ en pr</t>
    </r>
    <r>
      <rPr>
        <sz val="11"/>
        <rFont val="Calibri"/>
        <family val="2"/>
      </rPr>
      <t>ê</t>
    </r>
    <r>
      <rPr>
        <sz val="11"/>
        <rFont val="Calibri"/>
        <family val="2"/>
        <scheme val="minor"/>
      </rPr>
      <t>ts-subventions pour l'allégement du loyer de 140 524 entreprises ayant jusqu'</t>
    </r>
    <r>
      <rPr>
        <sz val="11"/>
        <rFont val="Calibri"/>
        <family val="2"/>
      </rPr>
      <t>à</t>
    </r>
    <r>
      <rPr>
        <sz val="11"/>
        <rFont val="Calibri"/>
        <family val="2"/>
        <scheme val="minor"/>
      </rPr>
      <t xml:space="preserve"> 1,26 millions d'employés</t>
    </r>
  </si>
  <si>
    <t>Ministère des Finances Canada, Budget 2021 : Une relance axée sur les emplois, la croissance et la résilience</t>
  </si>
  <si>
    <r>
      <rPr>
        <vertAlign val="superscript"/>
        <sz val="11"/>
        <color theme="1"/>
        <rFont val="Calibri"/>
        <family val="2"/>
        <scheme val="minor"/>
      </rPr>
      <t>1</t>
    </r>
    <r>
      <rPr>
        <sz val="11"/>
        <color theme="1"/>
        <rFont val="Calibri"/>
        <family val="2"/>
        <scheme val="minor"/>
      </rPr>
      <t xml:space="preserve"> Les estimations présentées dans cette colonne ont été fournies par le ministère des Finances dans les demandes d'information suivantes : IR0503, IR0534, IR0566 et IR0594. Il s'agit d'estimations de coûts sur la base de trésorerie pour l'exercice financier en cours. Les données fournies vont jusqu'au Budget 2021 (19 avril 2021).</t>
    </r>
  </si>
  <si>
    <t>**Y comprend les dépenses estimées pour les mesures "Améliorer les mesures de santé publique dans les communautés autochtones" et "Améliorer davantage les mesures de santé publique dans les communautés autochtones" présentées dans l'Estimation des dépenses du Plan d’intervention économique pour répondre à la COVID-19 soumis par le Secrétariat du Conseil du Trésor au Comité permanent des opérations gouvernementales et des prévisions budgétaire.</t>
  </si>
  <si>
    <t>**Y comprend les dépenses estimées pour les mesures "Fonds d’aide et de relance régionale" et "Prolongation ciblée du Programme d’aide à l’innovation" présentées dans l'Estimation des dépenses du Plan d’intervention économique pour répondre à la COVID-19 soumis par le Secrétariat du Conseil du Trésor au Comité permanent des opérations gouvernementales et des prévisions budgétaire.</t>
  </si>
  <si>
    <r>
      <t xml:space="preserve">Soutien aux musées nationaux du Canada et </t>
    </r>
    <r>
      <rPr>
        <sz val="11"/>
        <color theme="1"/>
        <rFont val="Calibri"/>
        <family val="2"/>
      </rPr>
      <t>à</t>
    </r>
    <r>
      <rPr>
        <sz val="11"/>
        <color theme="1"/>
        <rFont val="Calibri"/>
        <family val="2"/>
        <scheme val="minor"/>
      </rPr>
      <t xml:space="preserve"> la Commission des champs de bataille nationaux</t>
    </r>
  </si>
  <si>
    <t>Aider les systèmes de soins de santé à se rétablir</t>
  </si>
  <si>
    <t>Plan de vaccination du Canada contre la COVID-19</t>
  </si>
  <si>
    <t>Soutenir la santé mentale des personnes les plus touchées par la COVID-19</t>
  </si>
  <si>
    <t xml:space="preserve">Rentrée sécuritaire dans les écoles des réserves </t>
  </si>
  <si>
    <t>Subvention d’urgence du Canada pour le loyer et de la mesure de soutien en cas de confinement</t>
  </si>
  <si>
    <t>Soutien aux banques alimentaires et aux organisations alimentaires locales (dont 25 M$ en 2019-2020) (par la biais du Fonds d’urgence pour la sécurité
alimentaire et du Fonds des infrastructures alimentaires locales)</t>
  </si>
  <si>
    <t>Soutien du transport aérien sécuritaire</t>
  </si>
  <si>
    <t>Prolongation du soutien temporaire aux travailleurs saisonniers qui sont toujours touchés par la pandémie</t>
  </si>
  <si>
    <t>Revitalisation du tourisme</t>
  </si>
  <si>
    <t>Appui aux travailleurs et aux organismes des arts, de la culture, du patrimoine et des sports du Canada</t>
  </si>
  <si>
    <t>Aide aux producteurs télévisuels et cinématographiques canadiens pendant la pandémie de COVID 19</t>
  </si>
  <si>
    <t>Soutien à Radio Canada / Canadian Broadcasting Corporation</t>
  </si>
  <si>
    <t>Soutien à l’industrie canadienne du livre</t>
  </si>
  <si>
    <t>Amélioration de l’accès numérique à notre patrimoine</t>
  </si>
  <si>
    <t>Soutien aux économies autochtones (renouvellement du Fonds d’appui aux entreprises communautaires autochtones)</t>
  </si>
  <si>
    <t>Soutien aux économies autochtones (Administration financière des Premières Nations)</t>
  </si>
  <si>
    <t>Appuyer l’éducation postsecondaire des Autochtones pendant la pandémie de COVID 19</t>
  </si>
  <si>
    <t>Gérer les répercussions économiques sur Énergie atomique du Canada limitée</t>
  </si>
  <si>
    <t>90 954 090 $ utilisés</t>
  </si>
  <si>
    <t>2021-22</t>
  </si>
  <si>
    <t>Loi sur les arrangements fiscaux entre le gouvernement fédéral et les provinces</t>
  </si>
  <si>
    <t>Projet de loi C-30 (43e législature, 2e session) Loi no 1 d'exécution du budget de 2021</t>
  </si>
  <si>
    <t>Loi sur les prestations canadiennes de relance économique</t>
  </si>
  <si>
    <t>Appuyer les communautés autochtones dans la lutte contre la COVID-19</t>
  </si>
  <si>
    <t>Mesures Supplémentaires</t>
  </si>
  <si>
    <t>Le dernier onglet du document de suivi comprend les mesures liées à la COVID-19 qui ont été annoncées par le gouvernement, mais qui n’ont pas été incluses dans l'Énoncé économique de l’automne de 2020 ou le Budget 2021 :</t>
  </si>
  <si>
    <t>10 452 520 $ de dépenses estimées</t>
  </si>
  <si>
    <t>3 026 202 $ de dépenses estimées</t>
  </si>
  <si>
    <t>Rapport mensuel au FINA – mesures du plan d’intervention économique pour répondre à la COVID-19</t>
  </si>
  <si>
    <t>En date du 30 avril, les programmes de soutien à la COVID 19 de Financement agricole Canada avaient prêté environ 891 millions de dollars à plus de 1 900 clients. On remarque que 4 937 clients ont profité des nouvelles options de report des paiements pour des prêts totalisant 5,6 milliards de dollars.</t>
  </si>
  <si>
    <t>30 avril 2021</t>
  </si>
  <si>
    <t>En date du 25 mai, six transactions avaient été
approuvés, représentant 7,6 milliards de dollars</t>
  </si>
  <si>
    <t>25 mai 2021</t>
  </si>
  <si>
    <t>Garanties confirmées : 0
Valeur totale des prêts : 0</t>
  </si>
  <si>
    <t>Mise en défaut : 49,7 M$
Nombre de paiements en défaut : 471
Reste : 1,3 M$
Nombre d’avances en cours : 15</t>
  </si>
  <si>
    <t>26 avril 2021</t>
  </si>
  <si>
    <t>Somme de 2464,6 millions $ dépensée</t>
  </si>
  <si>
    <t>Somme de 3277 millions $ dépensée</t>
  </si>
  <si>
    <t>Somme de 7,2 millions $ dépensée</t>
  </si>
  <si>
    <t>Somme de 2019,7 millions $ dépensée</t>
  </si>
  <si>
    <t>Somme de 250,4 millions $ dépensée</t>
  </si>
  <si>
    <t>88,8 millions $ dépensée</t>
  </si>
  <si>
    <t>9,6 million $ dépensée</t>
  </si>
  <si>
    <t>Somme de 31,1 millions $ dépensée</t>
  </si>
  <si>
    <t>Somme de 11,5 millions $ dépensée</t>
  </si>
  <si>
    <t>Somme de 0,9 millions $ dépensée</t>
  </si>
  <si>
    <t>Total - Mesures Supplémentaires</t>
  </si>
  <si>
    <t>Total Supp A 2020-21 - Mesures Supplémentaires</t>
  </si>
  <si>
    <t>Total Supp B 2020-21 - Mesures Supplémentaires</t>
  </si>
  <si>
    <t>Total Supp C 2020-21 - Mesures Supplémentaires</t>
  </si>
  <si>
    <t>Total Supp A 2021-22 - Mesures Supplémentaires</t>
  </si>
  <si>
    <t>Fonds destinés à accroître les ressources humaines dans le domaine de la santé</t>
  </si>
  <si>
    <t>131 582 686 $ en subventions</t>
  </si>
  <si>
    <t>12 500 000 $ de dépenses estimées</t>
  </si>
  <si>
    <t>26 793 592 $ de dépenses estimées*</t>
  </si>
  <si>
    <t xml:space="preserve"> L'intervention d'urgence du Canada en réponse à la COVID-19 : Ministère des Finances</t>
  </si>
  <si>
    <t>4 250 800 demandes avaient été reçues depuis le 28 septembre, dont 1 286 067 ont fait la transition automatique; et 2 964 733 étaient de nouvelles demandes</t>
  </si>
  <si>
    <t>Au 7 mai, le volume des prêts autorisés dans le cadre du PCE est de 942 M$, selon les données agrégées et provisoires fournies par les institutions financières. Cela  inclut le Programme de prêts conjoints pour les PME ainsi que le Programme de financement pour les moyennes entreprises et représente 100 pour cent de la valeur en prêt  et non seulement la portion de la BDC.</t>
  </si>
  <si>
    <t>7 mai 2021</t>
  </si>
  <si>
    <t>Le programme a été lancé le 1er février. Depuis ce temps, cinquante et une institutions financières se sont progressivement mises en ligne. Au 31 mars, le montant des prêts accordés s'élevait à 295,2 millions de dollars pour 1 219 prêts. Le total des prêts achevés et des demandes en cours est de 5 300 au 25 mai.</t>
  </si>
  <si>
    <t>L’intervention d’urgence du Canada en réponse à la COVID-19 : Rapport mensuel au FINA – [Ministère des Finances / BDC / EDC / SCHL / BSIF / Banque du Canada]</t>
  </si>
  <si>
    <t>31 mai 2021</t>
  </si>
  <si>
    <t>Garanties confirmées : 1 413
Valeur totale des prêts : 1,5 milliard de dollars
Montant de la ganrantie d’EDC: 1,2 millard de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</si>
</sst>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quot;$&quot;#,##0_);[Red]\(&quot;$&quot;#,##0\)"/>
    <numFmt numFmtId="165" formatCode="_(* #,##0.00_);_(* \(#,##0.00\);_(* &quot;-&quot;??_);_(@_)"/>
    <numFmt numFmtId="166" formatCode="_-* #,##0_-;\-* #,##0_-;_-* &quot;-&quot;??_-;_-@_-"/>
    <numFmt numFmtId="167" formatCode="_(* #,##0_);_(* \(#,##0\);_(* &quot;-&quot;??_);_(@_)"/>
    <numFmt numFmtId="168" formatCode="_(* #,##0.0_);_(* \(#,##0.0\);_(* &quot;-&quot;??_);_(@_)"/>
    <numFmt numFmtId="169" formatCode="_-* #,##0.0000000_-;\-* #,##0.0000000_-;_-* &quot;-&quot;??_-;_-@_-"/>
    <numFmt numFmtId="170" formatCode="0.0"/>
  </numFmts>
  <fonts count="2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i/>
      <sz val="11"/>
      <name val="Calibri"/>
      <family val="2"/>
      <scheme val="minor"/>
    </font>
    <font>
      <sz val="11"/>
      <color rgb="FF000000"/>
      <name val="Calibri"/>
      <family val="2"/>
      <scheme val="minor"/>
    </font>
    <font>
      <vertAlign val="superscript"/>
      <sz val="11"/>
      <color theme="0"/>
      <name val="Calibri"/>
      <family val="2"/>
      <scheme val="minor"/>
    </font>
    <font>
      <vertAlign val="superscript"/>
      <sz val="11"/>
      <color theme="1"/>
      <name val="Calibri"/>
      <family val="2"/>
      <scheme val="minor"/>
    </font>
    <font>
      <b/>
      <i/>
      <u/>
      <sz val="11"/>
      <name val="Calibri"/>
      <family val="2"/>
      <scheme val="minor"/>
    </font>
    <font>
      <b/>
      <sz val="11"/>
      <name val="Calibri"/>
      <family val="2"/>
      <scheme val="minor"/>
    </font>
    <font>
      <sz val="8"/>
      <name val="Calibri"/>
      <family val="2"/>
      <scheme val="minor"/>
    </font>
    <font>
      <sz val="11"/>
      <color theme="1"/>
      <name val="Calibri"/>
      <family val="2"/>
    </font>
    <font>
      <sz val="11"/>
      <name val="Calibri"/>
      <family val="2"/>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9"/>
        <bgColor indexed="64"/>
      </patternFill>
    </fill>
    <fill>
      <patternFill patternType="solid">
        <fgColor theme="4" tint="0.59999389629810485"/>
        <bgColor indexed="64"/>
      </patternFill>
    </fill>
  </fills>
  <borders count="3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4">
    <xf numFmtId="0" fontId="0" fillId="0" borderId="0"/>
    <xf numFmtId="165" fontId="1" fillId="0" borderId="0" applyFon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cellStyleXfs>
  <cellXfs count="706">
    <xf numFmtId="0" fontId="0" fillId="0" borderId="0" xfId="0"/>
    <xf numFmtId="0" fontId="0" fillId="0" borderId="0" xfId="0" applyAlignment="1">
      <alignment wrapText="1"/>
    </xf>
    <xf numFmtId="0" fontId="0" fillId="0" borderId="5" xfId="0" applyBorder="1" applyAlignment="1">
      <alignment horizontal="center" vertical="center"/>
    </xf>
    <xf numFmtId="0" fontId="0" fillId="0" borderId="7" xfId="0" applyBorder="1" applyAlignment="1">
      <alignment horizontal="center" vertical="center"/>
    </xf>
    <xf numFmtId="0" fontId="6" fillId="0" borderId="7" xfId="2" applyBorder="1" applyAlignment="1">
      <alignment horizontal="center" vertical="center"/>
    </xf>
    <xf numFmtId="0" fontId="0" fillId="0" borderId="7" xfId="0" applyBorder="1" applyAlignment="1">
      <alignment horizontal="center" vertical="center" wrapText="1"/>
    </xf>
    <xf numFmtId="0" fontId="0" fillId="0" borderId="6" xfId="0" applyBorder="1"/>
    <xf numFmtId="0" fontId="0" fillId="0" borderId="7" xfId="0" applyBorder="1" applyAlignment="1">
      <alignment horizontal="left" vertical="center" wrapText="1"/>
    </xf>
    <xf numFmtId="0" fontId="6" fillId="0" borderId="5" xfId="2" applyBorder="1" applyAlignment="1">
      <alignment horizontal="center" vertical="center"/>
    </xf>
    <xf numFmtId="0" fontId="0" fillId="0" borderId="5" xfId="0" applyBorder="1" applyAlignment="1">
      <alignment horizontal="center"/>
    </xf>
    <xf numFmtId="0" fontId="8" fillId="0" borderId="0" xfId="0" applyFont="1"/>
    <xf numFmtId="0" fontId="9" fillId="0" borderId="0" xfId="0" applyFont="1"/>
    <xf numFmtId="0" fontId="2" fillId="2" borderId="0" xfId="0" applyFont="1" applyFill="1"/>
    <xf numFmtId="0" fontId="2" fillId="4" borderId="0" xfId="0" applyFont="1" applyFill="1"/>
    <xf numFmtId="0" fontId="3" fillId="0" borderId="0" xfId="0" applyFont="1" applyAlignment="1">
      <alignment horizontal="left"/>
    </xf>
    <xf numFmtId="0" fontId="9" fillId="0" borderId="0" xfId="0" applyFont="1" applyAlignment="1">
      <alignment horizontal="left"/>
    </xf>
    <xf numFmtId="0" fontId="0" fillId="0" borderId="5" xfId="0" applyBorder="1" applyAlignment="1">
      <alignment horizontal="left" vertical="center"/>
    </xf>
    <xf numFmtId="0" fontId="0" fillId="0" borderId="5" xfId="0" applyBorder="1" applyAlignment="1">
      <alignment horizontal="left" vertical="center" wrapText="1"/>
    </xf>
    <xf numFmtId="166" fontId="0" fillId="0" borderId="0" xfId="0" applyNumberFormat="1"/>
    <xf numFmtId="0" fontId="0" fillId="0" borderId="14" xfId="0" applyBorder="1"/>
    <xf numFmtId="0" fontId="0" fillId="0" borderId="15" xfId="0" applyBorder="1"/>
    <xf numFmtId="0" fontId="0" fillId="0" borderId="5" xfId="0" applyFill="1" applyBorder="1" applyAlignment="1">
      <alignment horizontal="center" vertical="center"/>
    </xf>
    <xf numFmtId="0" fontId="3" fillId="0" borderId="13" xfId="0" applyFont="1" applyBorder="1"/>
    <xf numFmtId="0" fontId="5" fillId="0" borderId="0" xfId="0" applyFont="1" applyAlignment="1">
      <alignment wrapText="1"/>
    </xf>
    <xf numFmtId="0" fontId="4" fillId="2" borderId="1" xfId="0" applyFont="1" applyFill="1" applyBorder="1" applyAlignment="1">
      <alignment wrapText="1"/>
    </xf>
    <xf numFmtId="0" fontId="4" fillId="2" borderId="2" xfId="0" applyFont="1" applyFill="1" applyBorder="1"/>
    <xf numFmtId="0" fontId="4" fillId="3" borderId="2" xfId="0" applyFont="1" applyFill="1" applyBorder="1"/>
    <xf numFmtId="0" fontId="4" fillId="3" borderId="3" xfId="0" applyFont="1" applyFill="1" applyBorder="1"/>
    <xf numFmtId="0" fontId="0" fillId="0" borderId="5" xfId="0" applyBorder="1" applyAlignment="1">
      <alignment vertical="center" wrapText="1"/>
    </xf>
    <xf numFmtId="0" fontId="0" fillId="0" borderId="0" xfId="0" applyFill="1"/>
    <xf numFmtId="0" fontId="0" fillId="0" borderId="4" xfId="0" applyBorder="1" applyAlignment="1">
      <alignment horizontal="left" vertical="center" indent="3"/>
    </xf>
    <xf numFmtId="0" fontId="6" fillId="0" borderId="5" xfId="2" applyFill="1" applyBorder="1" applyAlignment="1">
      <alignment horizontal="center" vertical="center" wrapText="1"/>
    </xf>
    <xf numFmtId="1" fontId="0" fillId="0" borderId="0" xfId="0" applyNumberFormat="1"/>
    <xf numFmtId="166" fontId="0" fillId="0" borderId="0" xfId="3" applyNumberFormat="1" applyFont="1"/>
    <xf numFmtId="0" fontId="3" fillId="0" borderId="15" xfId="0" applyFont="1" applyBorder="1"/>
    <xf numFmtId="0" fontId="3" fillId="0" borderId="14" xfId="0" applyFont="1" applyBorder="1"/>
    <xf numFmtId="166" fontId="3" fillId="0" borderId="14" xfId="0" applyNumberFormat="1" applyFont="1" applyBorder="1"/>
    <xf numFmtId="0" fontId="4" fillId="2" borderId="1" xfId="0" applyFont="1" applyFill="1" applyBorder="1"/>
    <xf numFmtId="0" fontId="11" fillId="0" borderId="12" xfId="0" applyFont="1" applyBorder="1"/>
    <xf numFmtId="0" fontId="4" fillId="0" borderId="9" xfId="0" applyFont="1" applyBorder="1"/>
    <xf numFmtId="0" fontId="4" fillId="0" borderId="10" xfId="0" applyFont="1" applyBorder="1"/>
    <xf numFmtId="0" fontId="0" fillId="0" borderId="4" xfId="0" applyBorder="1" applyAlignment="1">
      <alignment horizontal="left" indent="3"/>
    </xf>
    <xf numFmtId="0" fontId="0" fillId="0" borderId="8" xfId="0" applyBorder="1"/>
    <xf numFmtId="0" fontId="10" fillId="0" borderId="4" xfId="0" applyFont="1" applyBorder="1"/>
    <xf numFmtId="0" fontId="0" fillId="0" borderId="7" xfId="0" applyBorder="1"/>
    <xf numFmtId="0" fontId="4" fillId="0" borderId="9" xfId="0" applyFont="1" applyBorder="1" applyAlignment="1">
      <alignment horizontal="center"/>
    </xf>
    <xf numFmtId="166" fontId="4" fillId="0" borderId="16" xfId="3" applyNumberFormat="1" applyFont="1" applyFill="1" applyBorder="1"/>
    <xf numFmtId="15" fontId="0" fillId="0" borderId="6" xfId="3" applyNumberFormat="1" applyFont="1" applyBorder="1" applyAlignment="1">
      <alignment horizontal="center" vertical="center"/>
    </xf>
    <xf numFmtId="17" fontId="0" fillId="0" borderId="6" xfId="3" applyNumberFormat="1" applyFont="1" applyBorder="1" applyAlignment="1">
      <alignment horizontal="center" vertical="center"/>
    </xf>
    <xf numFmtId="0" fontId="0" fillId="0" borderId="11" xfId="0" applyBorder="1" applyAlignment="1">
      <alignment wrapText="1"/>
    </xf>
    <xf numFmtId="43" fontId="3" fillId="0" borderId="15" xfId="3" applyFont="1" applyBorder="1"/>
    <xf numFmtId="0" fontId="10" fillId="0" borderId="4" xfId="0" applyFont="1" applyBorder="1" applyAlignment="1">
      <alignment wrapText="1"/>
    </xf>
    <xf numFmtId="0" fontId="0" fillId="0" borderId="11" xfId="0" applyBorder="1"/>
    <xf numFmtId="0" fontId="0" fillId="0" borderId="5" xfId="0" applyFill="1" applyBorder="1" applyAlignment="1">
      <alignment horizontal="center" vertical="center" wrapText="1"/>
    </xf>
    <xf numFmtId="0" fontId="4" fillId="0" borderId="16" xfId="0" applyFont="1" applyBorder="1"/>
    <xf numFmtId="15" fontId="0" fillId="0" borderId="6" xfId="0" applyNumberFormat="1" applyBorder="1" applyAlignment="1">
      <alignment horizontal="center" vertical="center"/>
    </xf>
    <xf numFmtId="0" fontId="0" fillId="0" borderId="5" xfId="0" applyBorder="1" applyAlignment="1">
      <alignment horizontal="center" vertical="center"/>
    </xf>
    <xf numFmtId="0" fontId="6" fillId="0" borderId="5" xfId="2"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5" xfId="0" applyBorder="1"/>
    <xf numFmtId="0" fontId="6" fillId="0" borderId="5" xfId="2" applyBorder="1" applyAlignment="1">
      <alignment horizontal="center" vertical="center" wrapText="1"/>
    </xf>
    <xf numFmtId="0" fontId="0" fillId="0" borderId="7" xfId="0" applyBorder="1" applyAlignment="1">
      <alignment horizontal="center" vertical="center"/>
    </xf>
    <xf numFmtId="0" fontId="3" fillId="0" borderId="13" xfId="0" applyFont="1" applyBorder="1" applyAlignment="1">
      <alignment horizontal="left"/>
    </xf>
    <xf numFmtId="0" fontId="3" fillId="0" borderId="19" xfId="0" applyFont="1" applyBorder="1"/>
    <xf numFmtId="0" fontId="0" fillId="0" borderId="20" xfId="0" applyBorder="1"/>
    <xf numFmtId="166" fontId="3" fillId="0" borderId="20" xfId="0" applyNumberFormat="1" applyFont="1" applyBorder="1"/>
    <xf numFmtId="0" fontId="0" fillId="0" borderId="21" xfId="0" applyBorder="1"/>
    <xf numFmtId="0" fontId="3" fillId="0" borderId="17" xfId="0" applyFont="1" applyBorder="1"/>
    <xf numFmtId="0" fontId="0" fillId="0" borderId="22" xfId="0" applyBorder="1"/>
    <xf numFmtId="166" fontId="3" fillId="0" borderId="22" xfId="0" applyNumberFormat="1" applyFont="1" applyBorder="1"/>
    <xf numFmtId="0" fontId="0" fillId="0" borderId="23" xfId="0" applyBorder="1"/>
    <xf numFmtId="0" fontId="0" fillId="0" borderId="5" xfId="0" applyBorder="1" applyAlignment="1">
      <alignment horizontal="center" vertical="center" wrapText="1"/>
    </xf>
    <xf numFmtId="0" fontId="0" fillId="0" borderId="5" xfId="0" applyBorder="1" applyAlignment="1">
      <alignment vertical="center"/>
    </xf>
    <xf numFmtId="0" fontId="0" fillId="0" borderId="7" xfId="0" applyBorder="1" applyAlignment="1">
      <alignment vertical="center"/>
    </xf>
    <xf numFmtId="0" fontId="0" fillId="0" borderId="5" xfId="0" applyBorder="1" applyAlignment="1">
      <alignment horizontal="center" vertical="center" wrapText="1"/>
    </xf>
    <xf numFmtId="0" fontId="0" fillId="0" borderId="5" xfId="0" applyBorder="1" applyAlignment="1">
      <alignment horizontal="center" vertical="center" wrapText="1"/>
    </xf>
    <xf numFmtId="0" fontId="0" fillId="0" borderId="25" xfId="0" applyBorder="1" applyAlignment="1">
      <alignment horizontal="center" vertical="center"/>
    </xf>
    <xf numFmtId="0" fontId="0" fillId="0" borderId="0" xfId="0" applyAlignment="1"/>
    <xf numFmtId="0" fontId="4" fillId="2" borderId="26" xfId="0" applyFont="1" applyFill="1" applyBorder="1" applyAlignment="1">
      <alignment wrapText="1"/>
    </xf>
    <xf numFmtId="0" fontId="3" fillId="0" borderId="30" xfId="0" applyFont="1" applyBorder="1"/>
    <xf numFmtId="3" fontId="3" fillId="0" borderId="29" xfId="0" applyNumberFormat="1" applyFont="1" applyBorder="1"/>
    <xf numFmtId="0" fontId="11" fillId="0" borderId="24" xfId="0" applyFont="1" applyBorder="1"/>
    <xf numFmtId="0" fontId="10" fillId="0" borderId="27" xfId="0" applyFont="1" applyBorder="1"/>
    <xf numFmtId="0" fontId="3" fillId="0" borderId="30" xfId="0" applyFont="1" applyBorder="1" applyAlignment="1">
      <alignment wrapText="1"/>
    </xf>
    <xf numFmtId="3" fontId="3" fillId="0" borderId="30" xfId="0" applyNumberFormat="1" applyFont="1" applyBorder="1"/>
    <xf numFmtId="3" fontId="0" fillId="0" borderId="27" xfId="0" applyNumberFormat="1"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vertical="center"/>
    </xf>
    <xf numFmtId="0" fontId="10" fillId="0" borderId="27" xfId="0" applyFont="1" applyBorder="1" applyAlignment="1">
      <alignment horizontal="left"/>
    </xf>
    <xf numFmtId="166" fontId="3" fillId="0" borderId="14" xfId="3" applyNumberFormat="1" applyFont="1" applyFill="1" applyBorder="1"/>
    <xf numFmtId="0" fontId="0" fillId="0" borderId="0" xfId="0" applyFont="1" applyFill="1" applyBorder="1"/>
    <xf numFmtId="0" fontId="4" fillId="2" borderId="26" xfId="0" applyFont="1" applyFill="1" applyBorder="1" applyAlignment="1"/>
    <xf numFmtId="0" fontId="0" fillId="0" borderId="7" xfId="0" applyBorder="1" applyAlignment="1">
      <alignment horizontal="center" vertical="center" wrapText="1"/>
    </xf>
    <xf numFmtId="0" fontId="0" fillId="0" borderId="7" xfId="0" applyBorder="1" applyAlignment="1">
      <alignment horizontal="center" vertical="center"/>
    </xf>
    <xf numFmtId="43" fontId="3" fillId="0" borderId="14" xfId="3" applyFont="1" applyBorder="1"/>
    <xf numFmtId="0" fontId="0" fillId="0" borderId="27" xfId="0" applyFill="1" applyBorder="1" applyAlignment="1">
      <alignment horizontal="center" vertical="center" wrapText="1"/>
    </xf>
    <xf numFmtId="17" fontId="0" fillId="0" borderId="6" xfId="3" applyNumberFormat="1" applyFont="1" applyFill="1" applyBorder="1" applyAlignment="1">
      <alignment horizontal="center" vertical="center"/>
    </xf>
    <xf numFmtId="0" fontId="0" fillId="0" borderId="5" xfId="0" applyFill="1" applyBorder="1" applyAlignment="1">
      <alignment vertical="center"/>
    </xf>
    <xf numFmtId="0" fontId="0" fillId="0" borderId="28" xfId="0" applyFill="1" applyBorder="1" applyAlignment="1">
      <alignment horizontal="center" vertical="center" wrapText="1"/>
    </xf>
    <xf numFmtId="0" fontId="0" fillId="0" borderId="4" xfId="0" applyFill="1" applyBorder="1" applyAlignment="1">
      <alignment horizontal="left" vertical="center"/>
    </xf>
    <xf numFmtId="3" fontId="0" fillId="0" borderId="27" xfId="0" applyNumberFormat="1" applyFill="1" applyBorder="1" applyAlignment="1">
      <alignment horizontal="center" vertical="center" wrapText="1"/>
    </xf>
    <xf numFmtId="0" fontId="7" fillId="0" borderId="5" xfId="0" applyFont="1" applyFill="1" applyBorder="1" applyAlignment="1">
      <alignment horizontal="center" vertical="center"/>
    </xf>
    <xf numFmtId="0" fontId="10" fillId="0" borderId="27"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0" fillId="0" borderId="7" xfId="0" applyFill="1" applyBorder="1"/>
    <xf numFmtId="0" fontId="0" fillId="0" borderId="6" xfId="0" applyFill="1" applyBorder="1"/>
    <xf numFmtId="0" fontId="0" fillId="0" borderId="27" xfId="0" applyFill="1" applyBorder="1" applyAlignment="1">
      <alignment horizontal="left" vertical="center" wrapText="1"/>
    </xf>
    <xf numFmtId="0" fontId="0" fillId="0" borderId="27" xfId="0" applyFill="1" applyBorder="1" applyAlignment="1">
      <alignment horizontal="left" vertical="center"/>
    </xf>
    <xf numFmtId="0" fontId="0" fillId="0" borderId="28" xfId="0" applyFill="1" applyBorder="1" applyAlignment="1">
      <alignment horizontal="left" vertical="center" wrapText="1"/>
    </xf>
    <xf numFmtId="0" fontId="7" fillId="0" borderId="6" xfId="0" applyFont="1" applyFill="1" applyBorder="1" applyAlignment="1">
      <alignment horizontal="center" vertical="center"/>
    </xf>
    <xf numFmtId="0" fontId="6" fillId="0" borderId="7" xfId="2" applyBorder="1" applyAlignment="1">
      <alignment horizontal="center" vertical="center"/>
    </xf>
    <xf numFmtId="0" fontId="0" fillId="0" borderId="4" xfId="0" applyFill="1" applyBorder="1" applyAlignment="1">
      <alignment horizontal="left" vertical="center" wrapText="1"/>
    </xf>
    <xf numFmtId="0" fontId="0" fillId="0" borderId="7" xfId="0" applyFill="1" applyBorder="1" applyAlignment="1">
      <alignment horizontal="center" vertical="center" wrapText="1"/>
    </xf>
    <xf numFmtId="0" fontId="0" fillId="0" borderId="11" xfId="0" applyFill="1" applyBorder="1" applyAlignment="1">
      <alignment horizontal="left" vertical="center" wrapText="1"/>
    </xf>
    <xf numFmtId="0" fontId="0" fillId="0" borderId="7" xfId="0" applyFill="1" applyBorder="1" applyAlignment="1">
      <alignment horizontal="center" vertical="center"/>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166" fontId="6" fillId="0" borderId="5" xfId="2" applyNumberFormat="1" applyFill="1" applyBorder="1" applyAlignment="1">
      <alignment horizontal="center" vertical="center"/>
    </xf>
    <xf numFmtId="0" fontId="6" fillId="0" borderId="7" xfId="2"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xf>
    <xf numFmtId="166" fontId="0" fillId="0" borderId="5" xfId="3" applyNumberFormat="1" applyFont="1" applyFill="1" applyBorder="1" applyAlignment="1">
      <alignment horizontal="center" vertical="center" wrapText="1"/>
    </xf>
    <xf numFmtId="0" fontId="0" fillId="0" borderId="5" xfId="0" applyFill="1" applyBorder="1" applyAlignment="1">
      <alignment horizontal="left" vertical="center" wrapText="1"/>
    </xf>
    <xf numFmtId="166" fontId="6" fillId="0" borderId="7" xfId="2" applyNumberFormat="1" applyFill="1" applyBorder="1" applyAlignment="1">
      <alignment horizontal="center" vertical="center"/>
    </xf>
    <xf numFmtId="0" fontId="0" fillId="0" borderId="5" xfId="0" applyFill="1" applyBorder="1"/>
    <xf numFmtId="0" fontId="6" fillId="0" borderId="5" xfId="2" applyFill="1" applyBorder="1" applyAlignment="1">
      <alignment horizontal="center" vertical="center" wrapText="1"/>
    </xf>
    <xf numFmtId="0" fontId="0" fillId="0" borderId="8" xfId="0" applyFill="1" applyBorder="1" applyAlignment="1">
      <alignment horizontal="center" vertical="center"/>
    </xf>
    <xf numFmtId="0" fontId="0" fillId="0" borderId="7" xfId="0" applyFill="1" applyBorder="1" applyAlignment="1">
      <alignment horizontal="left" vertical="center" wrapText="1"/>
    </xf>
    <xf numFmtId="0" fontId="0" fillId="0" borderId="7" xfId="0" applyFill="1" applyBorder="1" applyAlignment="1">
      <alignment horizontal="left" vertical="center"/>
    </xf>
    <xf numFmtId="0" fontId="6" fillId="0" borderId="7" xfId="2" applyFill="1" applyBorder="1" applyAlignment="1">
      <alignment horizontal="center" vertical="center" wrapText="1"/>
    </xf>
    <xf numFmtId="0" fontId="7" fillId="0" borderId="9" xfId="0" applyFont="1" applyFill="1" applyBorder="1" applyAlignment="1">
      <alignment horizontal="center" vertical="center"/>
    </xf>
    <xf numFmtId="0" fontId="0" fillId="0" borderId="7" xfId="0" applyBorder="1" applyAlignment="1">
      <alignment horizontal="left" vertical="center"/>
    </xf>
    <xf numFmtId="0" fontId="0" fillId="0" borderId="5" xfId="0" applyFont="1" applyFill="1" applyBorder="1" applyAlignment="1">
      <alignment horizontal="center" vertical="center" wrapText="1"/>
    </xf>
    <xf numFmtId="0" fontId="0" fillId="0" borderId="11" xfId="0" applyFill="1" applyBorder="1" applyAlignment="1">
      <alignment horizontal="left" vertical="center"/>
    </xf>
    <xf numFmtId="0" fontId="0" fillId="0" borderId="7" xfId="0"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6" fillId="0" borderId="7" xfId="2" applyBorder="1" applyAlignment="1">
      <alignment horizontal="center" vertical="center"/>
    </xf>
    <xf numFmtId="0" fontId="0" fillId="0" borderId="7" xfId="0" applyBorder="1" applyAlignment="1">
      <alignment horizontal="center" vertical="center" wrapText="1"/>
    </xf>
    <xf numFmtId="167" fontId="0" fillId="0" borderId="5" xfId="1" applyNumberFormat="1" applyFont="1" applyFill="1" applyBorder="1" applyAlignment="1">
      <alignment horizontal="right" vertical="center"/>
    </xf>
    <xf numFmtId="167" fontId="0" fillId="0" borderId="5" xfId="1" applyNumberFormat="1" applyFont="1" applyBorder="1" applyAlignment="1">
      <alignment horizontal="right" vertical="center"/>
    </xf>
    <xf numFmtId="167" fontId="0" fillId="0" borderId="25" xfId="1" applyNumberFormat="1" applyFont="1" applyBorder="1" applyAlignment="1">
      <alignment horizontal="right" vertical="center"/>
    </xf>
    <xf numFmtId="167" fontId="0" fillId="0" borderId="5" xfId="1" applyNumberFormat="1" applyFont="1" applyFill="1" applyBorder="1" applyAlignment="1">
      <alignment horizontal="right"/>
    </xf>
    <xf numFmtId="0" fontId="10" fillId="0" borderId="4" xfId="0" applyFont="1" applyFill="1" applyBorder="1" applyAlignment="1">
      <alignment horizontal="left" vertical="center" wrapText="1"/>
    </xf>
    <xf numFmtId="167" fontId="0" fillId="0" borderId="5" xfId="1" applyNumberFormat="1" applyFont="1" applyBorder="1"/>
    <xf numFmtId="167" fontId="0" fillId="0" borderId="5" xfId="1" applyNumberFormat="1" applyFont="1" applyFill="1" applyBorder="1"/>
    <xf numFmtId="167" fontId="0" fillId="0" borderId="5" xfId="1" applyNumberFormat="1" applyFont="1" applyFill="1" applyBorder="1" applyAlignment="1">
      <alignment vertical="center"/>
    </xf>
    <xf numFmtId="167" fontId="0" fillId="0" borderId="5" xfId="1" applyNumberFormat="1" applyFont="1" applyBorder="1" applyAlignment="1">
      <alignment vertical="center"/>
    </xf>
    <xf numFmtId="167" fontId="1" fillId="0" borderId="5" xfId="1" applyNumberFormat="1" applyFill="1" applyBorder="1" applyAlignment="1">
      <alignment horizontal="right" vertical="center"/>
    </xf>
    <xf numFmtId="167" fontId="0" fillId="0" borderId="0" xfId="1" applyNumberFormat="1" applyFont="1" applyBorder="1"/>
    <xf numFmtId="167" fontId="0" fillId="0" borderId="7" xfId="1" applyNumberFormat="1" applyFont="1" applyFill="1" applyBorder="1"/>
    <xf numFmtId="17" fontId="0" fillId="0" borderId="8" xfId="0" applyNumberFormat="1" applyBorder="1" applyAlignment="1">
      <alignment horizontal="center" vertical="center"/>
    </xf>
    <xf numFmtId="166" fontId="3" fillId="0" borderId="14" xfId="3" applyNumberFormat="1" applyFont="1" applyBorder="1" applyAlignment="1">
      <alignment horizontal="right" vertical="center"/>
    </xf>
    <xf numFmtId="166" fontId="3" fillId="0" borderId="14" xfId="3" applyNumberFormat="1" applyFont="1" applyBorder="1" applyAlignment="1">
      <alignment horizontal="center" vertical="center"/>
    </xf>
    <xf numFmtId="166" fontId="3" fillId="0" borderId="15" xfId="3" applyNumberFormat="1" applyFont="1" applyBorder="1" applyAlignment="1">
      <alignment horizontal="center" vertical="center"/>
    </xf>
    <xf numFmtId="167" fontId="0" fillId="0" borderId="7" xfId="1" applyNumberFormat="1" applyFont="1" applyFill="1" applyBorder="1" applyAlignment="1">
      <alignment horizontal="right" vertical="center"/>
    </xf>
    <xf numFmtId="0" fontId="0" fillId="0" borderId="7" xfId="0" applyFill="1" applyBorder="1" applyAlignment="1">
      <alignment horizontal="center" vertical="center"/>
    </xf>
    <xf numFmtId="0" fontId="6" fillId="0" borderId="5" xfId="2" applyFill="1" applyBorder="1" applyAlignment="1">
      <alignment horizontal="center" vertical="center"/>
    </xf>
    <xf numFmtId="0" fontId="0" fillId="0" borderId="5" xfId="0" applyBorder="1" applyAlignment="1">
      <alignment horizontal="right"/>
    </xf>
    <xf numFmtId="0" fontId="0" fillId="0" borderId="5" xfId="0" applyBorder="1" applyAlignment="1">
      <alignment horizontal="right" vertical="center"/>
    </xf>
    <xf numFmtId="0" fontId="3" fillId="0" borderId="0" xfId="0" applyFont="1" applyBorder="1" applyAlignment="1">
      <alignment horizontal="left"/>
    </xf>
    <xf numFmtId="166" fontId="3" fillId="0" borderId="0" xfId="3" applyNumberFormat="1" applyFont="1" applyFill="1" applyBorder="1"/>
    <xf numFmtId="0" fontId="0" fillId="0" borderId="0" xfId="0" applyBorder="1"/>
    <xf numFmtId="168" fontId="0" fillId="0" borderId="5" xfId="1" applyNumberFormat="1" applyFont="1" applyFill="1" applyBorder="1" applyAlignment="1">
      <alignment horizontal="right" vertical="center"/>
    </xf>
    <xf numFmtId="168" fontId="0" fillId="0" borderId="25" xfId="1" applyNumberFormat="1" applyFont="1" applyFill="1" applyBorder="1" applyAlignment="1">
      <alignment horizontal="right" vertical="center"/>
    </xf>
    <xf numFmtId="165" fontId="0" fillId="0" borderId="5" xfId="1" applyNumberFormat="1" applyFont="1" applyFill="1" applyBorder="1" applyAlignment="1">
      <alignment horizontal="right" vertical="center"/>
    </xf>
    <xf numFmtId="0" fontId="0" fillId="0" borderId="5" xfId="0" applyFill="1" applyBorder="1" applyAlignment="1">
      <alignment horizontal="center" vertical="center" wrapText="1"/>
    </xf>
    <xf numFmtId="0" fontId="0" fillId="0" borderId="7" xfId="0" applyBorder="1" applyAlignment="1">
      <alignment horizontal="center" vertical="center"/>
    </xf>
    <xf numFmtId="17" fontId="0" fillId="0" borderId="8" xfId="0" applyNumberFormat="1" applyFill="1" applyBorder="1" applyAlignment="1">
      <alignment horizontal="center" vertical="center"/>
    </xf>
    <xf numFmtId="0" fontId="0" fillId="0" borderId="7" xfId="0" applyFill="1" applyBorder="1" applyAlignment="1">
      <alignment horizontal="center" vertical="center"/>
    </xf>
    <xf numFmtId="0" fontId="0" fillId="0" borderId="11" xfId="0" applyBorder="1" applyAlignment="1">
      <alignment vertical="center"/>
    </xf>
    <xf numFmtId="0" fontId="0" fillId="0" borderId="18" xfId="0" applyFill="1" applyBorder="1"/>
    <xf numFmtId="0" fontId="15" fillId="0" borderId="0" xfId="0" applyFont="1" applyAlignment="1">
      <alignment wrapText="1"/>
    </xf>
    <xf numFmtId="0" fontId="0" fillId="0" borderId="7" xfId="0" applyFill="1" applyBorder="1" applyAlignment="1">
      <alignment horizontal="center" vertical="center" wrapText="1"/>
    </xf>
    <xf numFmtId="0" fontId="0" fillId="0" borderId="5" xfId="0" applyFont="1" applyFill="1" applyBorder="1" applyAlignment="1">
      <alignment horizontal="center" vertical="center"/>
    </xf>
    <xf numFmtId="0" fontId="0" fillId="0" borderId="6" xfId="0" applyFill="1" applyBorder="1" applyAlignment="1">
      <alignment vertical="center"/>
    </xf>
    <xf numFmtId="0" fontId="7" fillId="0" borderId="5" xfId="2" applyFont="1" applyFill="1" applyBorder="1" applyAlignment="1">
      <alignment horizontal="center" vertical="center"/>
    </xf>
    <xf numFmtId="15" fontId="0" fillId="0" borderId="6" xfId="0" applyNumberFormat="1" applyFill="1" applyBorder="1" applyAlignment="1">
      <alignment horizontal="center" vertical="center"/>
    </xf>
    <xf numFmtId="0" fontId="0" fillId="0" borderId="0" xfId="0" applyFill="1" applyBorder="1"/>
    <xf numFmtId="0" fontId="0" fillId="0" borderId="5" xfId="0" applyFill="1" applyBorder="1" applyAlignment="1">
      <alignment horizontal="left" vertical="center" wrapText="1"/>
    </xf>
    <xf numFmtId="15" fontId="0" fillId="0" borderId="6" xfId="0" applyNumberFormat="1" applyFill="1" applyBorder="1" applyAlignment="1">
      <alignment horizontal="center" vertical="center"/>
    </xf>
    <xf numFmtId="0" fontId="0" fillId="0" borderId="5" xfId="0" applyFont="1" applyFill="1" applyBorder="1" applyAlignment="1">
      <alignment horizontal="left" vertical="center"/>
    </xf>
    <xf numFmtId="0" fontId="7" fillId="0" borderId="5" xfId="2" applyFont="1" applyFill="1" applyBorder="1" applyAlignment="1">
      <alignment horizontal="center" vertical="center" wrapText="1"/>
    </xf>
    <xf numFmtId="168" fontId="0" fillId="0" borderId="5" xfId="1" applyNumberFormat="1" applyFont="1" applyFill="1" applyBorder="1"/>
    <xf numFmtId="165" fontId="0" fillId="0" borderId="5" xfId="1" applyFont="1" applyFill="1" applyBorder="1"/>
    <xf numFmtId="168" fontId="0" fillId="0" borderId="5" xfId="1" applyNumberFormat="1" applyFont="1" applyFill="1" applyBorder="1" applyAlignment="1">
      <alignment vertical="center"/>
    </xf>
    <xf numFmtId="165" fontId="0" fillId="0" borderId="5" xfId="1" applyFont="1" applyFill="1" applyBorder="1" applyAlignment="1">
      <alignment horizontal="right" vertical="center"/>
    </xf>
    <xf numFmtId="167" fontId="0" fillId="0" borderId="5" xfId="1" applyNumberFormat="1" applyFont="1" applyFill="1" applyBorder="1" applyAlignment="1">
      <alignment horizontal="right" vertical="center" indent="5"/>
    </xf>
    <xf numFmtId="0" fontId="7" fillId="0" borderId="9" xfId="2" applyFont="1" applyFill="1" applyBorder="1" applyAlignment="1">
      <alignment horizontal="center" vertical="center"/>
    </xf>
    <xf numFmtId="0" fontId="0" fillId="0" borderId="5" xfId="0" applyFont="1" applyFill="1" applyBorder="1" applyAlignment="1">
      <alignment vertical="center"/>
    </xf>
    <xf numFmtId="169" fontId="0" fillId="0" borderId="0" xfId="0" applyNumberFormat="1"/>
    <xf numFmtId="0" fontId="0" fillId="0" borderId="0" xfId="0" applyFont="1"/>
    <xf numFmtId="0" fontId="0" fillId="0" borderId="20" xfId="0" applyFill="1" applyBorder="1"/>
    <xf numFmtId="0" fontId="6" fillId="0" borderId="5" xfId="2" applyFill="1" applyBorder="1" applyAlignment="1">
      <alignment vertical="center" wrapText="1"/>
    </xf>
    <xf numFmtId="0" fontId="6" fillId="0" borderId="5" xfId="2" applyFill="1" applyBorder="1" applyAlignment="1">
      <alignment vertical="center"/>
    </xf>
    <xf numFmtId="0" fontId="0" fillId="0" borderId="27" xfId="0" applyBorder="1" applyAlignment="1">
      <alignment horizontal="left" vertical="center" wrapText="1"/>
    </xf>
    <xf numFmtId="0" fontId="0" fillId="0" borderId="27" xfId="0" applyBorder="1" applyAlignment="1">
      <alignment horizontal="center" vertical="center" wrapText="1"/>
    </xf>
    <xf numFmtId="0" fontId="0" fillId="0" borderId="0" xfId="0" applyFill="1" applyBorder="1" applyAlignment="1">
      <alignment horizontal="left" vertical="center"/>
    </xf>
    <xf numFmtId="3" fontId="0" fillId="0" borderId="27" xfId="0" applyNumberFormat="1" applyBorder="1" applyAlignment="1">
      <alignment horizontal="center" vertical="center" wrapText="1"/>
    </xf>
    <xf numFmtId="3" fontId="7" fillId="0" borderId="27" xfId="0" applyNumberFormat="1" applyFont="1" applyBorder="1" applyAlignment="1">
      <alignment horizontal="center" vertical="center" wrapText="1"/>
    </xf>
    <xf numFmtId="0" fontId="10" fillId="0" borderId="27" xfId="0" applyFont="1" applyBorder="1" applyAlignment="1">
      <alignment horizontal="center" vertical="center" wrapText="1"/>
    </xf>
    <xf numFmtId="0" fontId="0" fillId="0" borderId="9" xfId="0" applyBorder="1" applyAlignment="1">
      <alignment horizontal="center" vertical="center" wrapText="1"/>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15" fontId="0" fillId="0" borderId="6" xfId="0" applyNumberFormat="1" applyFill="1" applyBorder="1" applyAlignment="1">
      <alignment horizontal="center" vertical="center"/>
    </xf>
    <xf numFmtId="15" fontId="0" fillId="0" borderId="8" xfId="0" applyNumberFormat="1" applyFill="1" applyBorder="1" applyAlignment="1">
      <alignment horizontal="center" vertical="center"/>
    </xf>
    <xf numFmtId="0" fontId="0" fillId="0" borderId="5" xfId="0" applyBorder="1" applyAlignment="1">
      <alignment horizontal="center" vertical="center"/>
    </xf>
    <xf numFmtId="0" fontId="7" fillId="0" borderId="5" xfId="0" applyFont="1" applyFill="1" applyBorder="1" applyAlignment="1">
      <alignment horizontal="center" vertical="center" wrapText="1"/>
    </xf>
    <xf numFmtId="167" fontId="0" fillId="0" borderId="5" xfId="1" applyNumberFormat="1" applyFont="1" applyFill="1" applyBorder="1" applyAlignment="1">
      <alignment horizontal="center" vertical="center"/>
    </xf>
    <xf numFmtId="0" fontId="0" fillId="0" borderId="5" xfId="0" applyBorder="1" applyAlignment="1">
      <alignment horizontal="center" vertical="center" wrapText="1"/>
    </xf>
    <xf numFmtId="166" fontId="6" fillId="0" borderId="5" xfId="2" applyNumberFormat="1" applyFill="1" applyBorder="1" applyAlignment="1">
      <alignment horizontal="center" vertical="center" wrapText="1"/>
    </xf>
    <xf numFmtId="0" fontId="0" fillId="0" borderId="7" xfId="0" applyFill="1" applyBorder="1" applyAlignment="1">
      <alignment horizontal="left" vertical="center"/>
    </xf>
    <xf numFmtId="0" fontId="6" fillId="0" borderId="7" xfId="2" applyFill="1" applyBorder="1" applyAlignment="1">
      <alignment horizontal="center" vertical="center"/>
    </xf>
    <xf numFmtId="0" fontId="0" fillId="0" borderId="7" xfId="0" applyFill="1" applyBorder="1" applyAlignment="1">
      <alignment horizontal="center" vertical="center"/>
    </xf>
    <xf numFmtId="0" fontId="0" fillId="0" borderId="25" xfId="0" applyFill="1" applyBorder="1" applyAlignment="1">
      <alignment horizontal="center" vertical="center"/>
    </xf>
    <xf numFmtId="0" fontId="0" fillId="0" borderId="9" xfId="0" applyFill="1" applyBorder="1" applyAlignment="1">
      <alignment horizontal="center" vertical="center"/>
    </xf>
    <xf numFmtId="0" fontId="0" fillId="0" borderId="7" xfId="0" applyFill="1" applyBorder="1" applyAlignment="1">
      <alignment horizontal="left" vertical="center" wrapText="1"/>
    </xf>
    <xf numFmtId="0" fontId="0" fillId="0" borderId="9" xfId="0" applyFill="1" applyBorder="1" applyAlignment="1">
      <alignment horizontal="left" vertical="center" wrapText="1"/>
    </xf>
    <xf numFmtId="17" fontId="0" fillId="0" borderId="6" xfId="0" applyNumberFormat="1" applyFill="1" applyBorder="1" applyAlignment="1">
      <alignment horizontal="center" vertical="center"/>
    </xf>
    <xf numFmtId="0" fontId="6" fillId="0" borderId="5" xfId="2" applyFill="1" applyBorder="1" applyAlignment="1">
      <alignment horizontal="center" vertical="center" wrapText="1"/>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166" fontId="6" fillId="0" borderId="5" xfId="2" applyNumberFormat="1" applyFill="1" applyBorder="1" applyAlignment="1">
      <alignment horizontal="center" vertical="center"/>
    </xf>
    <xf numFmtId="0" fontId="0" fillId="0" borderId="4" xfId="0" applyFill="1" applyBorder="1" applyAlignment="1">
      <alignment horizontal="left" vertical="center" wrapText="1"/>
    </xf>
    <xf numFmtId="0" fontId="0" fillId="0" borderId="11" xfId="0" applyFill="1" applyBorder="1" applyAlignment="1">
      <alignment horizontal="left" vertical="center" wrapText="1"/>
    </xf>
    <xf numFmtId="0" fontId="0" fillId="0" borderId="7"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5" xfId="0" applyFill="1" applyBorder="1" applyAlignment="1">
      <alignment horizontal="center" vertical="center" wrapText="1"/>
    </xf>
    <xf numFmtId="167" fontId="0" fillId="0" borderId="7" xfId="1" applyNumberFormat="1" applyFont="1" applyFill="1" applyBorder="1" applyAlignment="1">
      <alignment horizontal="right" vertical="center"/>
    </xf>
    <xf numFmtId="167" fontId="0" fillId="0" borderId="25" xfId="1" applyNumberFormat="1" applyFont="1" applyFill="1" applyBorder="1" applyAlignment="1">
      <alignment horizontal="right" vertical="center"/>
    </xf>
    <xf numFmtId="168" fontId="0" fillId="0" borderId="9" xfId="1" applyNumberFormat="1" applyFont="1" applyFill="1" applyBorder="1" applyAlignment="1">
      <alignment horizontal="center" vertical="center"/>
    </xf>
    <xf numFmtId="0" fontId="0" fillId="0" borderId="6" xfId="0" applyFill="1" applyBorder="1" applyAlignment="1">
      <alignment horizontal="center" vertical="center" wrapText="1"/>
    </xf>
    <xf numFmtId="15" fontId="0" fillId="0" borderId="8" xfId="0" applyNumberFormat="1" applyFill="1" applyBorder="1" applyAlignment="1">
      <alignment horizontal="center" vertical="center" wrapText="1"/>
    </xf>
    <xf numFmtId="167" fontId="0" fillId="0" borderId="5" xfId="1" applyNumberFormat="1" applyFont="1" applyFill="1" applyBorder="1" applyAlignment="1">
      <alignment horizontal="right" vertical="center"/>
    </xf>
    <xf numFmtId="167" fontId="0" fillId="0" borderId="7" xfId="1" applyNumberFormat="1" applyFont="1" applyBorder="1" applyAlignment="1">
      <alignment horizontal="right" vertical="center"/>
    </xf>
    <xf numFmtId="166" fontId="7" fillId="0" borderId="25" xfId="2" applyNumberFormat="1" applyFont="1" applyFill="1" applyBorder="1" applyAlignment="1">
      <alignment horizontal="center" vertical="center"/>
    </xf>
    <xf numFmtId="0" fontId="0" fillId="0" borderId="4" xfId="0" applyBorder="1" applyAlignment="1">
      <alignment horizontal="left" vertical="center" wrapText="1"/>
    </xf>
    <xf numFmtId="0" fontId="0" fillId="0" borderId="7" xfId="0" applyFill="1" applyBorder="1" applyAlignment="1">
      <alignment horizontal="center" vertical="center" wrapText="1"/>
    </xf>
    <xf numFmtId="0" fontId="0" fillId="0" borderId="25" xfId="0" applyFill="1" applyBorder="1" applyAlignment="1">
      <alignment horizontal="center" vertical="center" wrapText="1"/>
    </xf>
    <xf numFmtId="0" fontId="7" fillId="0" borderId="9" xfId="0" applyFont="1" applyBorder="1" applyAlignment="1">
      <alignment horizontal="center" vertical="center" wrapText="1"/>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15" fontId="0" fillId="0" borderId="6" xfId="0" applyNumberFormat="1" applyFill="1" applyBorder="1" applyAlignment="1">
      <alignment horizontal="center" vertical="center"/>
    </xf>
    <xf numFmtId="15" fontId="0" fillId="0" borderId="8" xfId="0" applyNumberFormat="1" applyFill="1" applyBorder="1" applyAlignment="1">
      <alignment horizontal="center" vertical="center"/>
    </xf>
    <xf numFmtId="0" fontId="0" fillId="0" borderId="5" xfId="0" applyBorder="1" applyAlignment="1">
      <alignment horizontal="center" vertical="center"/>
    </xf>
    <xf numFmtId="167" fontId="0" fillId="0" borderId="5" xfId="1" applyNumberFormat="1" applyFont="1" applyFill="1" applyBorder="1" applyAlignment="1">
      <alignment horizontal="center" vertical="center"/>
    </xf>
    <xf numFmtId="0" fontId="0" fillId="0" borderId="5" xfId="0" applyBorder="1" applyAlignment="1">
      <alignment horizontal="center" vertical="center" wrapText="1"/>
    </xf>
    <xf numFmtId="166" fontId="0" fillId="0" borderId="7" xfId="3" applyNumberFormat="1" applyFont="1" applyFill="1" applyBorder="1" applyAlignment="1">
      <alignment horizontal="center" vertical="center"/>
    </xf>
    <xf numFmtId="166" fontId="7" fillId="0" borderId="7" xfId="2" applyNumberFormat="1" applyFont="1" applyFill="1" applyBorder="1" applyAlignment="1">
      <alignment horizontal="center" vertical="center"/>
    </xf>
    <xf numFmtId="166" fontId="6" fillId="0" borderId="5" xfId="2" applyNumberFormat="1" applyFill="1" applyBorder="1" applyAlignment="1">
      <alignment horizontal="center" vertical="center" wrapText="1"/>
    </xf>
    <xf numFmtId="166" fontId="0" fillId="0" borderId="7" xfId="3" applyNumberFormat="1" applyFont="1" applyFill="1" applyBorder="1" applyAlignment="1">
      <alignment horizontal="left" vertical="center"/>
    </xf>
    <xf numFmtId="15" fontId="0" fillId="0" borderId="8" xfId="3" applyNumberFormat="1" applyFont="1" applyFill="1" applyBorder="1" applyAlignment="1">
      <alignment horizontal="center" vertical="center"/>
    </xf>
    <xf numFmtId="0" fontId="6" fillId="0" borderId="7" xfId="2" applyFill="1" applyBorder="1" applyAlignment="1">
      <alignment horizontal="center" vertical="center"/>
    </xf>
    <xf numFmtId="0" fontId="0" fillId="0" borderId="7" xfId="0" applyFill="1" applyBorder="1" applyAlignment="1">
      <alignment horizontal="center" vertical="center"/>
    </xf>
    <xf numFmtId="0" fontId="0" fillId="0" borderId="25" xfId="0" applyFill="1" applyBorder="1" applyAlignment="1">
      <alignment horizontal="center" vertical="center"/>
    </xf>
    <xf numFmtId="166" fontId="0" fillId="0" borderId="25" xfId="3" applyNumberFormat="1" applyFont="1" applyFill="1" applyBorder="1" applyAlignment="1">
      <alignment horizontal="left" vertical="center"/>
    </xf>
    <xf numFmtId="166" fontId="0" fillId="0" borderId="31" xfId="3" applyNumberFormat="1" applyFont="1" applyFill="1" applyBorder="1" applyAlignment="1">
      <alignment horizontal="center" vertical="center"/>
    </xf>
    <xf numFmtId="0" fontId="6" fillId="0" borderId="7" xfId="2" applyFill="1" applyBorder="1" applyAlignment="1">
      <alignment horizontal="center" vertical="center" wrapText="1"/>
    </xf>
    <xf numFmtId="0" fontId="0" fillId="0" borderId="7" xfId="0" applyFill="1" applyBorder="1" applyAlignment="1">
      <alignment horizontal="left" vertical="center" wrapText="1"/>
    </xf>
    <xf numFmtId="166" fontId="0" fillId="0" borderId="6" xfId="3" applyNumberFormat="1" applyFont="1" applyFill="1" applyBorder="1" applyAlignment="1">
      <alignment horizontal="center" vertical="center"/>
    </xf>
    <xf numFmtId="0" fontId="6" fillId="0" borderId="5" xfId="2" applyFill="1" applyBorder="1" applyAlignment="1">
      <alignment horizontal="center" vertical="center" wrapText="1"/>
    </xf>
    <xf numFmtId="0" fontId="0" fillId="0" borderId="5" xfId="0" applyFill="1" applyBorder="1" applyAlignment="1">
      <alignment horizontal="left" vertical="center"/>
    </xf>
    <xf numFmtId="166" fontId="6" fillId="0" borderId="5" xfId="2" applyNumberFormat="1" applyFill="1" applyBorder="1" applyAlignment="1">
      <alignment horizontal="center" vertical="center"/>
    </xf>
    <xf numFmtId="166" fontId="0" fillId="0" borderId="5" xfId="3" applyNumberFormat="1" applyFont="1" applyFill="1" applyBorder="1" applyAlignment="1">
      <alignment horizontal="left" vertical="center"/>
    </xf>
    <xf numFmtId="166" fontId="0" fillId="0" borderId="25" xfId="3" applyNumberFormat="1" applyFont="1" applyFill="1" applyBorder="1" applyAlignment="1">
      <alignment horizontal="center" vertical="center"/>
    </xf>
    <xf numFmtId="166" fontId="0" fillId="0" borderId="5" xfId="3" applyNumberFormat="1" applyFont="1" applyFill="1" applyBorder="1" applyAlignment="1">
      <alignment horizontal="center" vertical="center"/>
    </xf>
    <xf numFmtId="0" fontId="0" fillId="0" borderId="4" xfId="0" applyFill="1" applyBorder="1" applyAlignment="1">
      <alignment horizontal="left" vertical="center" wrapText="1"/>
    </xf>
    <xf numFmtId="166" fontId="0" fillId="0" borderId="5" xfId="3" applyNumberFormat="1" applyFont="1" applyFill="1" applyBorder="1" applyAlignment="1">
      <alignment horizontal="center" vertical="center" wrapText="1"/>
    </xf>
    <xf numFmtId="166" fontId="0" fillId="0" borderId="5" xfId="0" applyNumberFormat="1" applyFill="1" applyBorder="1" applyAlignment="1">
      <alignment horizontal="left" vertical="center"/>
    </xf>
    <xf numFmtId="166" fontId="0" fillId="0" borderId="6" xfId="0" applyNumberFormat="1" applyFill="1" applyBorder="1" applyAlignment="1">
      <alignment horizontal="center" vertical="center"/>
    </xf>
    <xf numFmtId="166" fontId="0" fillId="0" borderId="5" xfId="0" applyNumberFormat="1" applyFill="1" applyBorder="1" applyAlignment="1">
      <alignment horizontal="center" vertical="center"/>
    </xf>
    <xf numFmtId="166" fontId="0" fillId="0" borderId="5" xfId="0" applyNumberFormat="1" applyFill="1" applyBorder="1" applyAlignment="1">
      <alignment horizontal="left" vertical="center" wrapText="1"/>
    </xf>
    <xf numFmtId="0" fontId="7" fillId="0" borderId="9" xfId="0" applyFont="1" applyFill="1" applyBorder="1" applyAlignment="1">
      <alignment horizontal="center" vertical="center" wrapText="1"/>
    </xf>
    <xf numFmtId="166" fontId="0" fillId="0" borderId="5" xfId="3" applyNumberFormat="1" applyFont="1" applyFill="1" applyBorder="1" applyAlignment="1">
      <alignment horizontal="left" vertical="center" wrapText="1"/>
    </xf>
    <xf numFmtId="167" fontId="0" fillId="0" borderId="7" xfId="1" applyNumberFormat="1" applyFont="1" applyFill="1" applyBorder="1" applyAlignment="1">
      <alignment horizontal="center" vertical="center"/>
    </xf>
    <xf numFmtId="167" fontId="0" fillId="0" borderId="9" xfId="1" applyNumberFormat="1" applyFont="1" applyFill="1" applyBorder="1" applyAlignment="1">
      <alignment horizontal="center" vertical="center"/>
    </xf>
    <xf numFmtId="167" fontId="0" fillId="0" borderId="25" xfId="1" applyNumberFormat="1" applyFont="1" applyFill="1" applyBorder="1" applyAlignment="1">
      <alignment horizontal="center" vertical="center"/>
    </xf>
    <xf numFmtId="166" fontId="0" fillId="0" borderId="5" xfId="1" applyNumberFormat="1" applyFont="1" applyFill="1" applyBorder="1" applyAlignment="1">
      <alignment horizontal="center" vertical="center"/>
    </xf>
    <xf numFmtId="0" fontId="0" fillId="0" borderId="5" xfId="0" applyFill="1" applyBorder="1" applyAlignment="1">
      <alignment horizontal="center" vertical="center" wrapText="1"/>
    </xf>
    <xf numFmtId="166" fontId="0" fillId="0" borderId="7" xfId="1" applyNumberFormat="1" applyFont="1" applyFill="1" applyBorder="1" applyAlignment="1">
      <alignment horizontal="center" vertical="center"/>
    </xf>
    <xf numFmtId="167" fontId="0" fillId="0" borderId="5" xfId="1" applyNumberFormat="1" applyFont="1" applyFill="1" applyBorder="1" applyAlignment="1">
      <alignment horizontal="right" vertical="center"/>
    </xf>
    <xf numFmtId="0" fontId="3" fillId="0" borderId="20" xfId="0" applyFont="1" applyBorder="1"/>
    <xf numFmtId="166" fontId="3" fillId="0" borderId="20" xfId="0" applyNumberFormat="1" applyFont="1" applyBorder="1" applyAlignment="1">
      <alignment horizontal="right"/>
    </xf>
    <xf numFmtId="0" fontId="3" fillId="0" borderId="20" xfId="0" applyFont="1" applyBorder="1" applyAlignment="1">
      <alignment horizontal="right"/>
    </xf>
    <xf numFmtId="0" fontId="3" fillId="0" borderId="14" xfId="0" applyFont="1" applyBorder="1" applyAlignment="1">
      <alignment horizontal="right"/>
    </xf>
    <xf numFmtId="0" fontId="0" fillId="0" borderId="7" xfId="0"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6" fillId="0" borderId="5" xfId="2" applyFill="1" applyBorder="1" applyAlignment="1">
      <alignment horizontal="center" vertical="center"/>
    </xf>
    <xf numFmtId="0" fontId="6" fillId="0" borderId="5" xfId="2" applyFill="1" applyBorder="1" applyAlignment="1">
      <alignment horizontal="center" vertical="center" wrapText="1"/>
    </xf>
    <xf numFmtId="167" fontId="0" fillId="0" borderId="5" xfId="1" applyNumberFormat="1" applyFont="1" applyFill="1" applyBorder="1" applyAlignment="1">
      <alignment horizontal="right" vertical="center"/>
    </xf>
    <xf numFmtId="0" fontId="0" fillId="0" borderId="5" xfId="0" applyBorder="1" applyAlignment="1">
      <alignment horizontal="left" vertical="center"/>
    </xf>
    <xf numFmtId="0" fontId="0" fillId="0" borderId="11" xfId="0" applyBorder="1" applyAlignment="1">
      <alignment horizontal="left" vertical="center" wrapText="1"/>
    </xf>
    <xf numFmtId="166" fontId="0" fillId="0" borderId="5" xfId="1" applyNumberFormat="1" applyFont="1" applyFill="1" applyBorder="1" applyAlignment="1">
      <alignment horizontal="center" vertical="center" wrapText="1"/>
    </xf>
    <xf numFmtId="3" fontId="0" fillId="0" borderId="5" xfId="0" applyNumberFormat="1" applyBorder="1" applyAlignment="1">
      <alignment horizontal="center" vertical="center" wrapText="1"/>
    </xf>
    <xf numFmtId="166" fontId="0" fillId="0" borderId="5" xfId="1" applyNumberFormat="1" applyFont="1" applyFill="1" applyBorder="1" applyAlignment="1">
      <alignment horizontal="left" vertical="center" wrapText="1"/>
    </xf>
    <xf numFmtId="166" fontId="0" fillId="0" borderId="7" xfId="1" applyNumberFormat="1" applyFont="1" applyFill="1" applyBorder="1" applyAlignment="1">
      <alignment horizontal="center" vertical="center" wrapText="1"/>
    </xf>
    <xf numFmtId="166" fontId="3" fillId="0" borderId="14" xfId="0" applyNumberFormat="1" applyFont="1" applyBorder="1" applyAlignment="1">
      <alignment horizontal="right"/>
    </xf>
    <xf numFmtId="0" fontId="0" fillId="0" borderId="5" xfId="0" applyBorder="1" applyAlignment="1">
      <alignment horizontal="center" vertical="center" wrapText="1"/>
    </xf>
    <xf numFmtId="0" fontId="0" fillId="0" borderId="5" xfId="0" applyBorder="1" applyAlignment="1">
      <alignment horizontal="center" vertical="center"/>
    </xf>
    <xf numFmtId="166" fontId="0" fillId="0" borderId="5" xfId="1" applyNumberFormat="1" applyFont="1" applyFill="1" applyBorder="1" applyAlignment="1">
      <alignment horizontal="center" vertical="center"/>
    </xf>
    <xf numFmtId="167" fontId="0" fillId="0" borderId="5" xfId="1" applyNumberFormat="1" applyFont="1" applyFill="1" applyBorder="1" applyAlignment="1">
      <alignment horizontal="right" vertical="center"/>
    </xf>
    <xf numFmtId="3" fontId="0" fillId="0" borderId="27" xfId="0" applyNumberFormat="1" applyFont="1" applyBorder="1" applyAlignment="1">
      <alignment horizontal="center" vertical="center" wrapText="1"/>
    </xf>
    <xf numFmtId="0" fontId="0" fillId="0" borderId="27"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 xfId="0" applyFont="1" applyBorder="1" applyAlignment="1">
      <alignment horizontal="center" vertical="center" wrapText="1"/>
    </xf>
    <xf numFmtId="0" fontId="0" fillId="0" borderId="5" xfId="0" applyFont="1" applyBorder="1" applyAlignment="1">
      <alignment horizontal="center" vertical="center" wrapText="1"/>
    </xf>
    <xf numFmtId="166" fontId="0" fillId="0" borderId="7" xfId="1" applyNumberFormat="1" applyFont="1" applyFill="1" applyBorder="1" applyAlignment="1">
      <alignment horizontal="right" vertical="center" wrapText="1"/>
    </xf>
    <xf numFmtId="0" fontId="0" fillId="0" borderId="7" xfId="0" applyBorder="1" applyAlignment="1">
      <alignment horizontal="center" vertical="center" wrapText="1"/>
    </xf>
    <xf numFmtId="0" fontId="0" fillId="0" borderId="25"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7" fillId="0" borderId="9" xfId="0" applyFont="1" applyBorder="1" applyAlignment="1">
      <alignment horizontal="center" vertical="center" wrapText="1"/>
    </xf>
    <xf numFmtId="0" fontId="0" fillId="0" borderId="5" xfId="0" applyFill="1" applyBorder="1" applyAlignment="1">
      <alignment horizontal="center" vertical="center"/>
    </xf>
    <xf numFmtId="0" fontId="0" fillId="0" borderId="5" xfId="0" applyBorder="1" applyAlignment="1">
      <alignment horizontal="center" vertical="center"/>
    </xf>
    <xf numFmtId="167" fontId="0" fillId="0" borderId="5" xfId="1" applyNumberFormat="1" applyFont="1" applyFill="1" applyBorder="1" applyAlignment="1">
      <alignment horizontal="center" vertical="center"/>
    </xf>
    <xf numFmtId="0" fontId="0" fillId="0" borderId="7" xfId="0" applyBorder="1" applyAlignment="1">
      <alignment horizontal="center" vertical="center"/>
    </xf>
    <xf numFmtId="0" fontId="0" fillId="0" borderId="25" xfId="0" applyBorder="1" applyAlignment="1">
      <alignment horizontal="center" vertical="center"/>
    </xf>
    <xf numFmtId="0" fontId="0" fillId="0" borderId="9" xfId="0" applyBorder="1" applyAlignment="1">
      <alignment horizontal="center" vertical="center"/>
    </xf>
    <xf numFmtId="0" fontId="0" fillId="0" borderId="7" xfId="0" applyFill="1" applyBorder="1" applyAlignment="1">
      <alignment horizontal="center" vertical="center"/>
    </xf>
    <xf numFmtId="0" fontId="0" fillId="0" borderId="25" xfId="0" applyFill="1" applyBorder="1" applyAlignment="1">
      <alignment horizontal="center" vertical="center"/>
    </xf>
    <xf numFmtId="0" fontId="0" fillId="0" borderId="9" xfId="0" applyFill="1" applyBorder="1" applyAlignment="1">
      <alignment horizontal="center" vertical="center"/>
    </xf>
    <xf numFmtId="167" fontId="0" fillId="0" borderId="7" xfId="1" applyNumberFormat="1" applyFont="1" applyFill="1" applyBorder="1" applyAlignment="1">
      <alignment horizontal="center" vertical="center"/>
    </xf>
    <xf numFmtId="167" fontId="0" fillId="0" borderId="25" xfId="1" applyNumberFormat="1" applyFont="1" applyFill="1" applyBorder="1" applyAlignment="1">
      <alignment horizontal="center" vertical="center"/>
    </xf>
    <xf numFmtId="167" fontId="0" fillId="0" borderId="9" xfId="1" applyNumberFormat="1" applyFont="1" applyFill="1" applyBorder="1" applyAlignment="1">
      <alignment horizontal="center" vertical="center"/>
    </xf>
    <xf numFmtId="0" fontId="0" fillId="0" borderId="6" xfId="0" applyFill="1" applyBorder="1" applyAlignment="1">
      <alignment horizontal="center" vertical="center"/>
    </xf>
    <xf numFmtId="166" fontId="6" fillId="0" borderId="5" xfId="2" applyNumberFormat="1" applyFill="1" applyBorder="1" applyAlignment="1">
      <alignment horizontal="center" vertical="center" wrapText="1"/>
    </xf>
    <xf numFmtId="0" fontId="0" fillId="0" borderId="5" xfId="0" applyFill="1" applyBorder="1" applyAlignment="1">
      <alignment horizontal="center" vertical="center" wrapText="1"/>
    </xf>
    <xf numFmtId="166" fontId="0" fillId="0" borderId="9" xfId="3" applyNumberFormat="1" applyFont="1" applyFill="1" applyBorder="1" applyAlignment="1">
      <alignment horizontal="center" vertical="center"/>
    </xf>
    <xf numFmtId="166" fontId="7" fillId="0" borderId="9" xfId="2" applyNumberFormat="1" applyFont="1" applyFill="1" applyBorder="1" applyAlignment="1">
      <alignment horizontal="center" vertical="center"/>
    </xf>
    <xf numFmtId="166" fontId="0" fillId="0" borderId="9" xfId="3" applyNumberFormat="1" applyFont="1" applyFill="1" applyBorder="1" applyAlignment="1">
      <alignment horizontal="left" vertical="center"/>
    </xf>
    <xf numFmtId="166" fontId="0" fillId="0" borderId="25" xfId="3" applyNumberFormat="1" applyFont="1" applyFill="1" applyBorder="1" applyAlignment="1">
      <alignment horizontal="center" vertical="center"/>
    </xf>
    <xf numFmtId="0" fontId="0" fillId="0" borderId="9" xfId="0" applyFill="1" applyBorder="1" applyAlignment="1">
      <alignment horizontal="center" vertical="center" wrapText="1"/>
    </xf>
    <xf numFmtId="166" fontId="0" fillId="0" borderId="31" xfId="3" applyNumberFormat="1" applyFont="1" applyFill="1" applyBorder="1" applyAlignment="1">
      <alignment horizontal="center" vertical="center"/>
    </xf>
    <xf numFmtId="0" fontId="6" fillId="0" borderId="7" xfId="2" applyFill="1" applyBorder="1" applyAlignment="1">
      <alignment horizontal="center" vertical="center" wrapText="1"/>
    </xf>
    <xf numFmtId="0" fontId="0" fillId="0" borderId="7" xfId="0" applyFill="1" applyBorder="1" applyAlignment="1">
      <alignment horizontal="left" vertical="center" wrapText="1"/>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166" fontId="6" fillId="0" borderId="5" xfId="2" applyNumberFormat="1" applyFill="1" applyBorder="1" applyAlignment="1">
      <alignment horizontal="center" vertical="center"/>
    </xf>
    <xf numFmtId="166" fontId="0" fillId="0" borderId="5" xfId="3" applyNumberFormat="1" applyFont="1" applyFill="1" applyBorder="1" applyAlignment="1">
      <alignment horizontal="center" vertical="center"/>
    </xf>
    <xf numFmtId="166" fontId="0" fillId="0" borderId="5" xfId="3" applyNumberFormat="1" applyFont="1" applyFill="1" applyBorder="1" applyAlignment="1">
      <alignment horizontal="center" vertical="center" wrapText="1"/>
    </xf>
    <xf numFmtId="0" fontId="0" fillId="0" borderId="7" xfId="0" applyFill="1" applyBorder="1" applyAlignment="1">
      <alignment horizontal="center" vertical="center" wrapText="1"/>
    </xf>
    <xf numFmtId="0" fontId="7" fillId="0" borderId="9" xfId="0" applyFont="1" applyFill="1" applyBorder="1" applyAlignment="1">
      <alignment horizontal="center" vertical="center" wrapText="1"/>
    </xf>
    <xf numFmtId="166" fontId="0" fillId="0" borderId="5" xfId="1" applyNumberFormat="1" applyFont="1" applyFill="1" applyBorder="1" applyAlignment="1">
      <alignment horizontal="center" vertical="center"/>
    </xf>
    <xf numFmtId="1" fontId="0" fillId="0" borderId="5" xfId="0" applyNumberFormat="1" applyBorder="1" applyAlignment="1">
      <alignment horizontal="right" vertical="center"/>
    </xf>
    <xf numFmtId="167" fontId="0" fillId="0" borderId="7" xfId="1" applyNumberFormat="1" applyFont="1" applyFill="1" applyBorder="1" applyAlignment="1">
      <alignment horizontal="right" vertical="center"/>
    </xf>
    <xf numFmtId="167" fontId="0" fillId="0" borderId="25" xfId="1" applyNumberFormat="1" applyFont="1" applyFill="1" applyBorder="1" applyAlignment="1">
      <alignment horizontal="right" vertical="center"/>
    </xf>
    <xf numFmtId="0" fontId="0" fillId="0" borderId="6" xfId="0" applyBorder="1" applyAlignment="1">
      <alignment horizontal="center" vertical="center"/>
    </xf>
    <xf numFmtId="167" fontId="0" fillId="0" borderId="5" xfId="1" applyNumberFormat="1" applyFont="1" applyFill="1" applyBorder="1" applyAlignment="1">
      <alignment horizontal="right" vertical="center"/>
    </xf>
    <xf numFmtId="0" fontId="7" fillId="0" borderId="9" xfId="0" applyFont="1" applyFill="1" applyBorder="1" applyAlignment="1">
      <alignment horizontal="center" vertical="center"/>
    </xf>
    <xf numFmtId="3" fontId="0" fillId="0" borderId="27"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1" applyNumberFormat="1" applyFont="1" applyFill="1" applyBorder="1" applyAlignment="1">
      <alignment horizontal="right" vertical="center"/>
    </xf>
    <xf numFmtId="167" fontId="0" fillId="0" borderId="7" xfId="1" applyNumberFormat="1" applyFont="1" applyFill="1" applyBorder="1" applyAlignment="1">
      <alignment vertical="center"/>
    </xf>
    <xf numFmtId="167" fontId="0" fillId="0" borderId="9" xfId="1" applyNumberFormat="1" applyFont="1" applyFill="1" applyBorder="1" applyAlignment="1">
      <alignment vertical="center"/>
    </xf>
    <xf numFmtId="0" fontId="0" fillId="0" borderId="0" xfId="0" applyAlignment="1">
      <alignment horizontal="center" vertical="center"/>
    </xf>
    <xf numFmtId="1" fontId="0" fillId="0" borderId="0" xfId="0" applyNumberFormat="1" applyAlignment="1">
      <alignment vertical="center"/>
    </xf>
    <xf numFmtId="167" fontId="0" fillId="0" borderId="25" xfId="1" applyNumberFormat="1" applyFont="1" applyFill="1" applyBorder="1" applyAlignment="1">
      <alignment horizontal="center" vertical="center" wrapText="1"/>
    </xf>
    <xf numFmtId="170" fontId="0" fillId="0" borderId="0" xfId="0" applyNumberFormat="1"/>
    <xf numFmtId="1" fontId="0" fillId="0" borderId="9" xfId="0" applyNumberFormat="1" applyBorder="1" applyAlignment="1">
      <alignment horizontal="right" vertical="center"/>
    </xf>
    <xf numFmtId="167" fontId="0" fillId="0" borderId="5" xfId="1" applyNumberFormat="1" applyFont="1" applyFill="1" applyBorder="1" applyAlignment="1">
      <alignment horizontal="center" vertical="center" wrapText="1"/>
    </xf>
    <xf numFmtId="168" fontId="0" fillId="0" borderId="9" xfId="1" applyNumberFormat="1" applyFont="1" applyFill="1" applyBorder="1" applyAlignment="1">
      <alignment horizontal="right" vertical="center"/>
    </xf>
    <xf numFmtId="0" fontId="0" fillId="0" borderId="7" xfId="0" applyFill="1" applyBorder="1" applyAlignment="1">
      <alignment horizontal="center" vertical="center" wrapText="1"/>
    </xf>
    <xf numFmtId="0" fontId="0" fillId="0" borderId="9" xfId="0" applyFill="1" applyBorder="1" applyAlignment="1">
      <alignment horizontal="center" vertical="center" wrapText="1"/>
    </xf>
    <xf numFmtId="167" fontId="0" fillId="0" borderId="7" xfId="1" applyNumberFormat="1" applyFont="1" applyFill="1" applyBorder="1" applyAlignment="1">
      <alignment horizontal="right" vertical="center"/>
    </xf>
    <xf numFmtId="167" fontId="0" fillId="0" borderId="5" xfId="1" applyNumberFormat="1" applyFont="1" applyFill="1" applyBorder="1" applyAlignment="1">
      <alignment horizontal="right" vertical="center"/>
    </xf>
    <xf numFmtId="0" fontId="0" fillId="0" borderId="7" xfId="0" applyBorder="1" applyAlignment="1">
      <alignment horizontal="center" vertical="center"/>
    </xf>
    <xf numFmtId="0" fontId="0" fillId="0" borderId="25"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wrapText="1"/>
    </xf>
    <xf numFmtId="0" fontId="0" fillId="0" borderId="5" xfId="0" applyFill="1" applyBorder="1" applyAlignment="1">
      <alignment horizontal="center" vertical="center"/>
    </xf>
    <xf numFmtId="0" fontId="0" fillId="0" borderId="5" xfId="0" applyBorder="1" applyAlignment="1">
      <alignment horizontal="center" vertical="center"/>
    </xf>
    <xf numFmtId="167" fontId="0" fillId="0" borderId="5" xfId="1" applyNumberFormat="1" applyFont="1" applyFill="1" applyBorder="1" applyAlignment="1">
      <alignment horizontal="center" vertical="center"/>
    </xf>
    <xf numFmtId="167" fontId="0" fillId="0" borderId="7" xfId="1" applyNumberFormat="1" applyFont="1" applyFill="1" applyBorder="1" applyAlignment="1">
      <alignment horizontal="center" vertical="center"/>
    </xf>
    <xf numFmtId="167" fontId="0" fillId="0" borderId="9" xfId="1" applyNumberFormat="1" applyFont="1" applyFill="1" applyBorder="1" applyAlignment="1">
      <alignment horizontal="center" vertical="center"/>
    </xf>
    <xf numFmtId="0" fontId="0" fillId="0" borderId="5" xfId="0" applyFill="1" applyBorder="1" applyAlignment="1">
      <alignment horizontal="center" vertical="center" wrapText="1"/>
    </xf>
    <xf numFmtId="166" fontId="0" fillId="0" borderId="25" xfId="1" applyNumberFormat="1" applyFont="1" applyFill="1" applyBorder="1" applyAlignment="1">
      <alignment horizontal="center" vertical="center"/>
    </xf>
    <xf numFmtId="166" fontId="0" fillId="0" borderId="5" xfId="3" applyNumberFormat="1" applyFont="1" applyFill="1" applyBorder="1" applyAlignment="1">
      <alignment horizontal="center" vertical="center"/>
    </xf>
    <xf numFmtId="0" fontId="7" fillId="0" borderId="9" xfId="0" applyFont="1" applyBorder="1" applyAlignment="1">
      <alignment horizontal="center" vertical="center" wrapText="1"/>
    </xf>
    <xf numFmtId="0" fontId="0" fillId="0" borderId="5" xfId="0" applyBorder="1" applyAlignment="1">
      <alignment horizontal="center" vertical="center"/>
    </xf>
    <xf numFmtId="166" fontId="0" fillId="0" borderId="5" xfId="1" applyNumberFormat="1" applyFont="1" applyFill="1" applyBorder="1" applyAlignment="1">
      <alignment horizontal="center" vertical="center"/>
    </xf>
    <xf numFmtId="0" fontId="0" fillId="0" borderId="5" xfId="0" applyFill="1" applyBorder="1" applyAlignment="1">
      <alignment horizontal="center" vertical="center" wrapText="1"/>
    </xf>
    <xf numFmtId="166" fontId="0" fillId="0" borderId="5" xfId="3" applyNumberFormat="1" applyFont="1" applyFill="1" applyBorder="1" applyAlignment="1">
      <alignment horizontal="center" vertical="center"/>
    </xf>
    <xf numFmtId="166" fontId="6" fillId="0" borderId="5" xfId="2" applyNumberFormat="1" applyFill="1" applyBorder="1" applyAlignment="1">
      <alignment horizontal="center" vertical="center"/>
    </xf>
    <xf numFmtId="0" fontId="0" fillId="0" borderId="5" xfId="0" applyFill="1" applyBorder="1" applyAlignment="1">
      <alignment horizontal="center" vertical="center"/>
    </xf>
    <xf numFmtId="167" fontId="0" fillId="0" borderId="0" xfId="0" applyNumberFormat="1"/>
    <xf numFmtId="0" fontId="0" fillId="0" borderId="25" xfId="0" applyBorder="1"/>
    <xf numFmtId="0" fontId="0" fillId="0" borderId="31" xfId="0" applyBorder="1"/>
    <xf numFmtId="167" fontId="0" fillId="0" borderId="5" xfId="1" applyNumberFormat="1" applyFont="1" applyFill="1" applyBorder="1" applyAlignment="1">
      <alignment horizontal="right" vertical="center"/>
    </xf>
    <xf numFmtId="0" fontId="0" fillId="0" borderId="5" xfId="0" applyBorder="1" applyAlignment="1">
      <alignment horizontal="center" vertical="center" wrapText="1"/>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5" xfId="0" applyFill="1" applyBorder="1" applyAlignment="1">
      <alignment horizontal="center" vertical="center" wrapText="1"/>
    </xf>
    <xf numFmtId="167" fontId="0" fillId="0" borderId="5" xfId="1" applyNumberFormat="1" applyFont="1" applyFill="1" applyBorder="1" applyAlignment="1">
      <alignment vertical="center"/>
    </xf>
    <xf numFmtId="0" fontId="0" fillId="0" borderId="6" xfId="0" applyBorder="1" applyAlignment="1">
      <alignment horizontal="center" vertical="center"/>
    </xf>
    <xf numFmtId="1" fontId="0" fillId="0" borderId="5" xfId="0" applyNumberFormat="1" applyBorder="1"/>
    <xf numFmtId="0" fontId="0" fillId="0" borderId="6" xfId="0" applyFill="1" applyBorder="1" applyAlignment="1">
      <alignment horizontal="center" vertical="center"/>
    </xf>
    <xf numFmtId="0" fontId="0" fillId="0" borderId="7" xfId="0" applyBorder="1" applyAlignment="1">
      <alignment wrapText="1"/>
    </xf>
    <xf numFmtId="0" fontId="0" fillId="0" borderId="5" xfId="0" applyFill="1" applyBorder="1" applyAlignment="1">
      <alignment horizontal="center" vertical="center"/>
    </xf>
    <xf numFmtId="166" fontId="6" fillId="0" borderId="5" xfId="2" applyNumberFormat="1" applyFill="1" applyBorder="1" applyAlignment="1">
      <alignment horizontal="center" vertical="center" wrapText="1"/>
    </xf>
    <xf numFmtId="0" fontId="0" fillId="0" borderId="32" xfId="0" applyFill="1" applyBorder="1" applyAlignment="1">
      <alignment horizontal="left" vertical="center" wrapText="1"/>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0" fontId="6" fillId="0" borderId="5" xfId="2" applyFill="1" applyBorder="1" applyAlignment="1">
      <alignment horizontal="center" vertical="center" wrapText="1"/>
    </xf>
    <xf numFmtId="15" fontId="0" fillId="0" borderId="6" xfId="0" applyNumberFormat="1" applyFill="1" applyBorder="1" applyAlignment="1">
      <alignment horizontal="center" vertical="center"/>
    </xf>
    <xf numFmtId="167" fontId="0" fillId="0" borderId="5" xfId="1" applyNumberFormat="1" applyFont="1" applyFill="1" applyBorder="1" applyAlignment="1">
      <alignment horizontal="right" vertical="center"/>
    </xf>
    <xf numFmtId="0" fontId="0" fillId="0" borderId="6" xfId="0" applyBorder="1" applyAlignment="1">
      <alignment horizontal="center" vertical="center"/>
    </xf>
    <xf numFmtId="0" fontId="3" fillId="0" borderId="29" xfId="0" applyFont="1" applyBorder="1" applyAlignment="1">
      <alignment wrapText="1"/>
    </xf>
    <xf numFmtId="0" fontId="3" fillId="0" borderId="21" xfId="0" applyFont="1" applyBorder="1"/>
    <xf numFmtId="1" fontId="0" fillId="0" borderId="14" xfId="0" applyNumberFormat="1" applyBorder="1"/>
    <xf numFmtId="0" fontId="3" fillId="0" borderId="13" xfId="0" applyFont="1" applyFill="1" applyBorder="1" applyAlignment="1">
      <alignment horizontal="left" vertical="top" wrapText="1"/>
    </xf>
    <xf numFmtId="0" fontId="3" fillId="0" borderId="13" xfId="0" applyFont="1" applyFill="1" applyBorder="1" applyAlignment="1">
      <alignment wrapText="1"/>
    </xf>
    <xf numFmtId="0" fontId="3" fillId="0" borderId="17" xfId="0" applyFont="1" applyFill="1" applyBorder="1" applyAlignment="1">
      <alignment wrapText="1"/>
    </xf>
    <xf numFmtId="0" fontId="3" fillId="0" borderId="32" xfId="0" applyFont="1" applyFill="1" applyBorder="1" applyAlignment="1">
      <alignment wrapText="1"/>
    </xf>
    <xf numFmtId="0" fontId="3" fillId="0" borderId="13" xfId="0" applyFont="1" applyFill="1" applyBorder="1"/>
    <xf numFmtId="0" fontId="3" fillId="0" borderId="0" xfId="0" applyFont="1" applyFill="1"/>
    <xf numFmtId="166" fontId="3" fillId="0" borderId="14" xfId="3" applyNumberFormat="1" applyFont="1" applyBorder="1" applyAlignment="1">
      <alignment horizontal="right"/>
    </xf>
    <xf numFmtId="166" fontId="3" fillId="0" borderId="14" xfId="3" applyNumberFormat="1" applyFont="1" applyBorder="1"/>
    <xf numFmtId="0" fontId="7" fillId="0" borderId="5" xfId="0" applyFont="1" applyFill="1" applyBorder="1" applyAlignment="1">
      <alignment horizontal="left" vertical="center" wrapText="1"/>
    </xf>
    <xf numFmtId="0" fontId="0" fillId="0" borderId="7" xfId="0" applyBorder="1" applyAlignment="1">
      <alignment horizontal="center" vertical="center" wrapText="1"/>
    </xf>
    <xf numFmtId="0" fontId="0" fillId="0" borderId="25" xfId="0" applyBorder="1" applyAlignment="1">
      <alignment horizontal="center" vertical="center" wrapText="1"/>
    </xf>
    <xf numFmtId="0" fontId="0" fillId="0" borderId="9" xfId="0" applyBorder="1" applyAlignment="1">
      <alignment horizontal="center" vertical="center" wrapText="1"/>
    </xf>
    <xf numFmtId="0" fontId="0" fillId="0" borderId="7"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9" xfId="0" applyFill="1" applyBorder="1" applyAlignment="1">
      <alignment horizontal="center" vertical="center" wrapText="1"/>
    </xf>
    <xf numFmtId="167" fontId="0" fillId="0" borderId="7" xfId="1" applyNumberFormat="1" applyFont="1" applyFill="1" applyBorder="1" applyAlignment="1">
      <alignment horizontal="center" vertical="center"/>
    </xf>
    <xf numFmtId="167" fontId="0" fillId="0" borderId="25" xfId="1" applyNumberFormat="1" applyFont="1" applyFill="1" applyBorder="1" applyAlignment="1">
      <alignment horizontal="center" vertical="center"/>
    </xf>
    <xf numFmtId="167" fontId="0" fillId="0" borderId="9" xfId="1" applyNumberFormat="1" applyFont="1" applyFill="1" applyBorder="1" applyAlignment="1">
      <alignment horizontal="center" vertical="center"/>
    </xf>
    <xf numFmtId="0" fontId="0" fillId="0" borderId="7" xfId="0" applyFill="1" applyBorder="1" applyAlignment="1">
      <alignment horizontal="center" vertical="center"/>
    </xf>
    <xf numFmtId="0" fontId="0" fillId="0" borderId="9" xfId="0" applyFill="1" applyBorder="1" applyAlignment="1">
      <alignment horizontal="center" vertical="center"/>
    </xf>
    <xf numFmtId="167" fontId="0" fillId="0" borderId="7" xfId="1" applyNumberFormat="1" applyFont="1" applyFill="1" applyBorder="1" applyAlignment="1">
      <alignment horizontal="right" vertical="center"/>
    </xf>
    <xf numFmtId="167" fontId="0" fillId="0" borderId="9" xfId="1" applyNumberFormat="1" applyFont="1" applyFill="1" applyBorder="1" applyAlignment="1">
      <alignment horizontal="right" vertical="center"/>
    </xf>
    <xf numFmtId="168" fontId="0" fillId="0" borderId="7" xfId="1" applyNumberFormat="1" applyFont="1" applyBorder="1" applyAlignment="1">
      <alignment horizontal="right" vertical="center"/>
    </xf>
    <xf numFmtId="168" fontId="0" fillId="0" borderId="9" xfId="1" applyNumberFormat="1" applyFont="1" applyBorder="1" applyAlignment="1">
      <alignment horizontal="right" vertical="center"/>
    </xf>
    <xf numFmtId="166" fontId="0" fillId="0" borderId="7" xfId="1" applyNumberFormat="1" applyFont="1" applyFill="1" applyBorder="1" applyAlignment="1">
      <alignment horizontal="center" vertical="center"/>
    </xf>
    <xf numFmtId="166" fontId="0" fillId="0" borderId="25" xfId="1" applyNumberFormat="1" applyFont="1" applyFill="1" applyBorder="1" applyAlignment="1">
      <alignment horizontal="center" vertical="center"/>
    </xf>
    <xf numFmtId="166" fontId="0" fillId="0" borderId="9" xfId="1" applyNumberFormat="1" applyFont="1" applyFill="1" applyBorder="1" applyAlignment="1">
      <alignment horizontal="center" vertical="center"/>
    </xf>
    <xf numFmtId="0" fontId="0" fillId="0" borderId="25" xfId="0" applyFill="1" applyBorder="1" applyAlignment="1">
      <alignment horizontal="center" vertical="center"/>
    </xf>
    <xf numFmtId="167" fontId="0" fillId="0" borderId="7" xfId="1" applyNumberFormat="1" applyFont="1" applyBorder="1" applyAlignment="1">
      <alignment horizontal="center" vertical="center"/>
    </xf>
    <xf numFmtId="167" fontId="0" fillId="0" borderId="25" xfId="1" applyNumberFormat="1" applyFont="1" applyBorder="1" applyAlignment="1">
      <alignment horizontal="center" vertical="center"/>
    </xf>
    <xf numFmtId="167" fontId="0" fillId="0" borderId="9" xfId="1" applyNumberFormat="1" applyFont="1" applyBorder="1" applyAlignment="1">
      <alignment horizontal="center" vertical="center"/>
    </xf>
    <xf numFmtId="0" fontId="0" fillId="0" borderId="11" xfId="0" applyFill="1" applyBorder="1" applyAlignment="1">
      <alignment horizontal="left" vertical="center" wrapText="1"/>
    </xf>
    <xf numFmtId="0" fontId="0" fillId="0" borderId="32" xfId="0" applyFill="1" applyBorder="1" applyAlignment="1">
      <alignment horizontal="left" vertical="center" wrapText="1"/>
    </xf>
    <xf numFmtId="0" fontId="0" fillId="0" borderId="12" xfId="0" applyFill="1" applyBorder="1" applyAlignment="1">
      <alignment horizontal="left" vertical="center" wrapText="1"/>
    </xf>
    <xf numFmtId="166" fontId="0" fillId="0" borderId="8" xfId="0" applyNumberFormat="1" applyFill="1" applyBorder="1" applyAlignment="1">
      <alignment horizontal="center" vertical="center"/>
    </xf>
    <xf numFmtId="166" fontId="0" fillId="0" borderId="10" xfId="0" applyNumberFormat="1" applyFill="1" applyBorder="1" applyAlignment="1">
      <alignment horizontal="center" vertical="center"/>
    </xf>
    <xf numFmtId="15" fontId="0" fillId="0" borderId="8" xfId="0" applyNumberFormat="1" applyFill="1" applyBorder="1" applyAlignment="1">
      <alignment horizontal="center" vertical="center"/>
    </xf>
    <xf numFmtId="15" fontId="0" fillId="0" borderId="31" xfId="0" applyNumberFormat="1" applyFill="1" applyBorder="1" applyAlignment="1">
      <alignment horizontal="center" vertical="center"/>
    </xf>
    <xf numFmtId="15" fontId="0" fillId="0" borderId="10" xfId="0" applyNumberFormat="1" applyFill="1" applyBorder="1" applyAlignment="1">
      <alignment horizontal="center" vertical="center"/>
    </xf>
    <xf numFmtId="166" fontId="0" fillId="0" borderId="7" xfId="0" applyNumberFormat="1" applyFill="1" applyBorder="1" applyAlignment="1">
      <alignment horizontal="left" vertical="center" wrapText="1"/>
    </xf>
    <xf numFmtId="166" fontId="0" fillId="0" borderId="25" xfId="0" applyNumberFormat="1" applyFill="1" applyBorder="1" applyAlignment="1">
      <alignment horizontal="left" vertical="center" wrapText="1"/>
    </xf>
    <xf numFmtId="166" fontId="0" fillId="0" borderId="9" xfId="0" applyNumberFormat="1" applyFill="1" applyBorder="1" applyAlignment="1">
      <alignment horizontal="left" vertical="center" wrapText="1"/>
    </xf>
    <xf numFmtId="0" fontId="0" fillId="0" borderId="8" xfId="0" applyFill="1" applyBorder="1" applyAlignment="1">
      <alignment horizontal="center" vertical="center" wrapText="1"/>
    </xf>
    <xf numFmtId="0" fontId="0" fillId="0" borderId="31"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8" xfId="0" applyFont="1" applyFill="1" applyBorder="1" applyAlignment="1">
      <alignment horizontal="center" vertical="center"/>
    </xf>
    <xf numFmtId="0" fontId="0" fillId="0" borderId="31" xfId="0" applyFont="1" applyFill="1" applyBorder="1" applyAlignment="1">
      <alignment horizontal="center" vertical="center"/>
    </xf>
    <xf numFmtId="0" fontId="0" fillId="0" borderId="10" xfId="0" applyFont="1" applyFill="1" applyBorder="1" applyAlignment="1">
      <alignment horizontal="center" vertical="center"/>
    </xf>
    <xf numFmtId="0" fontId="6" fillId="0" borderId="7" xfId="2" applyFill="1" applyBorder="1" applyAlignment="1">
      <alignment horizontal="center" vertical="center"/>
    </xf>
    <xf numFmtId="0" fontId="6" fillId="0" borderId="25" xfId="2" applyFill="1" applyBorder="1" applyAlignment="1">
      <alignment horizontal="center" vertical="center"/>
    </xf>
    <xf numFmtId="0" fontId="6" fillId="0" borderId="9" xfId="2" applyFill="1" applyBorder="1" applyAlignment="1">
      <alignment horizontal="center" vertical="center"/>
    </xf>
    <xf numFmtId="0" fontId="6" fillId="0" borderId="7" xfId="2" applyFill="1" applyBorder="1" applyAlignment="1">
      <alignment horizontal="center" vertical="center" wrapText="1"/>
    </xf>
    <xf numFmtId="0" fontId="6" fillId="0" borderId="25" xfId="2" applyFill="1" applyBorder="1" applyAlignment="1">
      <alignment horizontal="center" vertical="center" wrapText="1"/>
    </xf>
    <xf numFmtId="0" fontId="6" fillId="0" borderId="9" xfId="2" applyFill="1" applyBorder="1" applyAlignment="1">
      <alignment horizontal="center" vertical="center" wrapText="1"/>
    </xf>
    <xf numFmtId="0" fontId="0" fillId="0" borderId="7" xfId="0" applyFill="1" applyBorder="1" applyAlignment="1">
      <alignment horizontal="left" vertical="center" wrapText="1"/>
    </xf>
    <xf numFmtId="0" fontId="0" fillId="0" borderId="25" xfId="0" applyFill="1" applyBorder="1" applyAlignment="1">
      <alignment horizontal="left" vertical="center" wrapText="1"/>
    </xf>
    <xf numFmtId="0" fontId="0" fillId="0" borderId="9" xfId="0" applyFill="1" applyBorder="1" applyAlignment="1">
      <alignment horizontal="left" vertical="center" wrapText="1"/>
    </xf>
    <xf numFmtId="0" fontId="0" fillId="0" borderId="7" xfId="0" applyFill="1" applyBorder="1" applyAlignment="1">
      <alignment horizontal="left" vertical="center"/>
    </xf>
    <xf numFmtId="0" fontId="0" fillId="0" borderId="25" xfId="0" applyFill="1" applyBorder="1" applyAlignment="1">
      <alignment horizontal="left" vertical="center"/>
    </xf>
    <xf numFmtId="0" fontId="0" fillId="0" borderId="9" xfId="0" applyFill="1" applyBorder="1" applyAlignment="1">
      <alignment horizontal="left" vertical="center"/>
    </xf>
    <xf numFmtId="16" fontId="0" fillId="0" borderId="8" xfId="0" applyNumberFormat="1" applyFill="1" applyBorder="1" applyAlignment="1">
      <alignment horizontal="center" vertical="center"/>
    </xf>
    <xf numFmtId="0" fontId="0" fillId="0" borderId="31" xfId="0" applyFill="1" applyBorder="1" applyAlignment="1">
      <alignment horizontal="center" vertical="center"/>
    </xf>
    <xf numFmtId="0" fontId="0" fillId="0" borderId="10" xfId="0" applyFill="1" applyBorder="1" applyAlignment="1">
      <alignment horizontal="center" vertical="center"/>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3" fontId="0" fillId="0" borderId="7" xfId="0" applyNumberFormat="1" applyFill="1" applyBorder="1" applyAlignment="1">
      <alignment horizontal="center" vertical="center" wrapText="1"/>
    </xf>
    <xf numFmtId="3" fontId="0" fillId="0" borderId="25" xfId="0" applyNumberFormat="1" applyFill="1" applyBorder="1" applyAlignment="1">
      <alignment horizontal="center" vertical="center" wrapText="1"/>
    </xf>
    <xf numFmtId="3" fontId="0" fillId="0" borderId="9" xfId="0" applyNumberFormat="1" applyFill="1" applyBorder="1" applyAlignment="1">
      <alignment horizontal="center" vertical="center" wrapText="1"/>
    </xf>
    <xf numFmtId="166" fontId="0" fillId="0" borderId="7" xfId="3" applyNumberFormat="1" applyFont="1" applyFill="1" applyBorder="1" applyAlignment="1">
      <alignment horizontal="center" vertical="center"/>
    </xf>
    <xf numFmtId="166" fontId="0" fillId="0" borderId="9" xfId="3" applyNumberFormat="1" applyFont="1" applyFill="1" applyBorder="1" applyAlignment="1">
      <alignment horizontal="center" vertical="center"/>
    </xf>
    <xf numFmtId="1" fontId="7" fillId="0" borderId="7" xfId="0" applyNumberFormat="1" applyFont="1" applyBorder="1" applyAlignment="1">
      <alignment horizontal="center" vertical="center" wrapText="1"/>
    </xf>
    <xf numFmtId="1" fontId="7" fillId="0" borderId="25" xfId="0" applyNumberFormat="1" applyFont="1" applyBorder="1" applyAlignment="1">
      <alignment horizontal="center" vertical="center" wrapText="1"/>
    </xf>
    <xf numFmtId="1" fontId="7" fillId="0" borderId="9" xfId="0" applyNumberFormat="1" applyFont="1" applyBorder="1" applyAlignment="1">
      <alignment horizontal="center" vertical="center" wrapText="1"/>
    </xf>
    <xf numFmtId="167" fontId="0" fillId="0" borderId="25" xfId="1" applyNumberFormat="1" applyFont="1" applyFill="1" applyBorder="1" applyAlignment="1">
      <alignment horizontal="right" vertical="center"/>
    </xf>
    <xf numFmtId="3" fontId="0" fillId="0" borderId="7" xfId="0" applyNumberFormat="1" applyBorder="1" applyAlignment="1">
      <alignment horizontal="center" vertical="center" wrapText="1"/>
    </xf>
    <xf numFmtId="3" fontId="0" fillId="0" borderId="25" xfId="0" applyNumberFormat="1" applyBorder="1" applyAlignment="1">
      <alignment horizontal="center" vertical="center" wrapText="1"/>
    </xf>
    <xf numFmtId="3" fontId="0" fillId="0" borderId="9" xfId="0" applyNumberFormat="1" applyBorder="1" applyAlignment="1">
      <alignment horizontal="center" vertical="center" wrapText="1"/>
    </xf>
    <xf numFmtId="0" fontId="0" fillId="0" borderId="5" xfId="0" applyBorder="1" applyAlignment="1">
      <alignment horizontal="center" vertical="center" wrapText="1"/>
    </xf>
    <xf numFmtId="166" fontId="0" fillId="0" borderId="5" xfId="3" applyNumberFormat="1" applyFont="1" applyFill="1" applyBorder="1" applyAlignment="1">
      <alignment horizontal="center" vertical="center"/>
    </xf>
    <xf numFmtId="166" fontId="0" fillId="0" borderId="5" xfId="3" applyNumberFormat="1" applyFont="1" applyFill="1" applyBorder="1" applyAlignment="1">
      <alignment horizontal="center" vertical="center" wrapText="1"/>
    </xf>
    <xf numFmtId="166" fontId="0" fillId="0" borderId="7" xfId="0" applyNumberFormat="1" applyFill="1" applyBorder="1" applyAlignment="1">
      <alignment horizontal="center" vertical="center"/>
    </xf>
    <xf numFmtId="166" fontId="0" fillId="0" borderId="25" xfId="0" applyNumberFormat="1" applyFill="1" applyBorder="1" applyAlignment="1">
      <alignment horizontal="center" vertical="center"/>
    </xf>
    <xf numFmtId="166" fontId="0" fillId="0" borderId="9" xfId="0" applyNumberFormat="1" applyFill="1" applyBorder="1" applyAlignment="1">
      <alignment horizontal="center" vertical="center"/>
    </xf>
    <xf numFmtId="0" fontId="0" fillId="0" borderId="7" xfId="0" applyBorder="1" applyAlignment="1">
      <alignment horizontal="center" vertical="center"/>
    </xf>
    <xf numFmtId="0" fontId="0" fillId="0" borderId="25" xfId="0" applyBorder="1" applyAlignment="1">
      <alignment horizontal="center" vertical="center"/>
    </xf>
    <xf numFmtId="0" fontId="0" fillId="0" borderId="9" xfId="0" applyBorder="1" applyAlignment="1">
      <alignment horizontal="center" vertical="center"/>
    </xf>
    <xf numFmtId="167" fontId="0" fillId="0" borderId="7" xfId="1" applyNumberFormat="1" applyFont="1" applyFill="1" applyBorder="1" applyAlignment="1">
      <alignment vertical="center"/>
    </xf>
    <xf numFmtId="167" fontId="0" fillId="0" borderId="25" xfId="1" applyNumberFormat="1" applyFont="1" applyFill="1" applyBorder="1" applyAlignment="1">
      <alignment vertical="center"/>
    </xf>
    <xf numFmtId="167" fontId="0" fillId="0" borderId="9" xfId="1" applyNumberFormat="1" applyFont="1" applyFill="1" applyBorder="1" applyAlignment="1">
      <alignment vertical="center"/>
    </xf>
    <xf numFmtId="166" fontId="0" fillId="0" borderId="25" xfId="3" applyNumberFormat="1" applyFont="1" applyFill="1" applyBorder="1" applyAlignment="1">
      <alignment horizontal="center" vertical="center"/>
    </xf>
    <xf numFmtId="0" fontId="16" fillId="5" borderId="35" xfId="0" applyFont="1" applyFill="1" applyBorder="1" applyAlignment="1">
      <alignment horizontal="center"/>
    </xf>
    <xf numFmtId="0" fontId="16" fillId="5" borderId="36" xfId="0" applyFont="1" applyFill="1" applyBorder="1" applyAlignment="1">
      <alignment horizontal="center"/>
    </xf>
    <xf numFmtId="0" fontId="16" fillId="5" borderId="37" xfId="0" applyFont="1" applyFill="1" applyBorder="1" applyAlignment="1">
      <alignment horizontal="center"/>
    </xf>
    <xf numFmtId="1" fontId="0" fillId="0" borderId="7" xfId="0" applyNumberFormat="1" applyBorder="1" applyAlignment="1">
      <alignment horizontal="center" vertical="center" wrapText="1"/>
    </xf>
    <xf numFmtId="1" fontId="0" fillId="0" borderId="25" xfId="0" applyNumberFormat="1" applyBorder="1" applyAlignment="1">
      <alignment horizontal="center" vertical="center" wrapText="1"/>
    </xf>
    <xf numFmtId="1" fontId="0" fillId="0" borderId="9" xfId="0" applyNumberFormat="1" applyBorder="1" applyAlignment="1">
      <alignment horizontal="center" vertical="center" wrapText="1"/>
    </xf>
    <xf numFmtId="0" fontId="0" fillId="0" borderId="5" xfId="0" applyBorder="1" applyAlignment="1">
      <alignment horizontal="center" vertical="center"/>
    </xf>
    <xf numFmtId="0" fontId="7" fillId="0" borderId="5" xfId="0" applyFont="1" applyFill="1" applyBorder="1" applyAlignment="1">
      <alignment horizontal="center" vertical="center" wrapText="1"/>
    </xf>
    <xf numFmtId="167" fontId="0" fillId="0" borderId="5" xfId="1" applyNumberFormat="1" applyFont="1" applyFill="1" applyBorder="1" applyAlignment="1">
      <alignment horizontal="center" vertical="center"/>
    </xf>
    <xf numFmtId="0" fontId="0" fillId="0" borderId="7" xfId="0" applyFont="1" applyFill="1" applyBorder="1" applyAlignment="1">
      <alignment horizontal="left" vertical="center" wrapText="1"/>
    </xf>
    <xf numFmtId="0" fontId="0" fillId="0" borderId="25"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5" xfId="0" applyFill="1" applyBorder="1" applyAlignment="1">
      <alignment horizontal="center" vertical="center" wrapText="1"/>
    </xf>
    <xf numFmtId="166" fontId="6" fillId="0" borderId="7" xfId="2" applyNumberFormat="1" applyFill="1" applyBorder="1" applyAlignment="1">
      <alignment horizontal="center" vertical="center" wrapText="1"/>
    </xf>
    <xf numFmtId="166" fontId="6" fillId="0" borderId="25" xfId="2" applyNumberFormat="1" applyFill="1" applyBorder="1" applyAlignment="1">
      <alignment horizontal="center" vertical="center" wrapText="1"/>
    </xf>
    <xf numFmtId="166" fontId="6" fillId="0" borderId="9" xfId="2" applyNumberFormat="1" applyFill="1" applyBorder="1" applyAlignment="1">
      <alignment horizontal="center" vertical="center" wrapText="1"/>
    </xf>
    <xf numFmtId="0" fontId="0" fillId="0" borderId="8" xfId="0" applyFill="1" applyBorder="1" applyAlignment="1">
      <alignment horizontal="center" vertical="center"/>
    </xf>
    <xf numFmtId="166" fontId="0" fillId="0" borderId="8" xfId="3" applyNumberFormat="1" applyFont="1" applyFill="1" applyBorder="1" applyAlignment="1">
      <alignment horizontal="center" vertical="center"/>
    </xf>
    <xf numFmtId="166" fontId="0" fillId="0" borderId="10" xfId="3" applyNumberFormat="1" applyFont="1" applyFill="1" applyBorder="1" applyAlignment="1">
      <alignment horizontal="center" vertical="center"/>
    </xf>
    <xf numFmtId="166" fontId="0" fillId="0" borderId="7" xfId="0" applyNumberFormat="1" applyFill="1" applyBorder="1" applyAlignment="1">
      <alignment horizontal="left" vertical="center"/>
    </xf>
    <xf numFmtId="166" fontId="0" fillId="0" borderId="25" xfId="0" applyNumberFormat="1" applyFill="1" applyBorder="1" applyAlignment="1">
      <alignment horizontal="left" vertical="center"/>
    </xf>
    <xf numFmtId="166" fontId="0" fillId="0" borderId="9" xfId="0" applyNumberFormat="1" applyFill="1" applyBorder="1" applyAlignment="1">
      <alignment horizontal="left" vertical="center"/>
    </xf>
    <xf numFmtId="0" fontId="0" fillId="0" borderId="5" xfId="0" applyFill="1" applyBorder="1" applyAlignment="1">
      <alignment horizontal="left" vertical="center"/>
    </xf>
    <xf numFmtId="166" fontId="6" fillId="0" borderId="5" xfId="2" applyNumberFormat="1" applyFill="1" applyBorder="1" applyAlignment="1">
      <alignment horizontal="center" vertical="center" wrapText="1"/>
    </xf>
    <xf numFmtId="166" fontId="0" fillId="0" borderId="7" xfId="3" applyNumberFormat="1" applyFont="1" applyFill="1" applyBorder="1" applyAlignment="1">
      <alignment horizontal="left" vertical="center"/>
    </xf>
    <xf numFmtId="166" fontId="0" fillId="0" borderId="9" xfId="3" applyNumberFormat="1" applyFont="1" applyFill="1" applyBorder="1" applyAlignment="1">
      <alignment horizontal="left" vertical="center"/>
    </xf>
    <xf numFmtId="15" fontId="0" fillId="0" borderId="8" xfId="3" applyNumberFormat="1" applyFont="1" applyFill="1" applyBorder="1" applyAlignment="1">
      <alignment horizontal="center" vertical="center"/>
    </xf>
    <xf numFmtId="15" fontId="0" fillId="0" borderId="31" xfId="3" applyNumberFormat="1" applyFont="1" applyFill="1" applyBorder="1" applyAlignment="1">
      <alignment horizontal="center" vertical="center"/>
    </xf>
    <xf numFmtId="15" fontId="0" fillId="0" borderId="10" xfId="3" applyNumberFormat="1" applyFont="1" applyFill="1" applyBorder="1" applyAlignment="1">
      <alignment horizontal="center" vertical="center"/>
    </xf>
    <xf numFmtId="0" fontId="0" fillId="0" borderId="5" xfId="0" applyFill="1" applyBorder="1" applyAlignment="1">
      <alignment horizontal="left" vertical="center" wrapText="1"/>
    </xf>
    <xf numFmtId="166" fontId="0" fillId="0" borderId="6" xfId="3" applyNumberFormat="1" applyFont="1" applyFill="1" applyBorder="1" applyAlignment="1">
      <alignment horizontal="center" vertical="center"/>
    </xf>
    <xf numFmtId="166" fontId="6" fillId="0" borderId="7" xfId="2" applyNumberFormat="1" applyFill="1" applyBorder="1" applyAlignment="1">
      <alignment horizontal="center" vertical="center"/>
    </xf>
    <xf numFmtId="166" fontId="6" fillId="0" borderId="25" xfId="2" applyNumberFormat="1" applyFill="1" applyBorder="1" applyAlignment="1">
      <alignment horizontal="center" vertical="center"/>
    </xf>
    <xf numFmtId="166" fontId="6" fillId="0" borderId="9" xfId="2" applyNumberFormat="1" applyFill="1" applyBorder="1" applyAlignment="1">
      <alignment horizontal="center" vertical="center"/>
    </xf>
    <xf numFmtId="166" fontId="0" fillId="0" borderId="31" xfId="3" applyNumberFormat="1" applyFont="1" applyFill="1" applyBorder="1" applyAlignment="1">
      <alignment horizontal="center" vertical="center"/>
    </xf>
    <xf numFmtId="166" fontId="0" fillId="0" borderId="25" xfId="3" applyNumberFormat="1" applyFont="1" applyFill="1" applyBorder="1" applyAlignment="1">
      <alignment horizontal="left" vertical="center"/>
    </xf>
    <xf numFmtId="166" fontId="6" fillId="0" borderId="5" xfId="2" applyNumberFormat="1" applyFill="1" applyBorder="1" applyAlignment="1">
      <alignment horizontal="center" vertical="center"/>
    </xf>
    <xf numFmtId="0" fontId="6" fillId="0" borderId="5" xfId="2" applyFill="1" applyBorder="1" applyAlignment="1">
      <alignment horizontal="center" vertical="center"/>
    </xf>
    <xf numFmtId="0" fontId="6" fillId="0" borderId="5" xfId="2" applyFill="1" applyBorder="1" applyAlignment="1">
      <alignment horizontal="center" vertical="center" wrapText="1"/>
    </xf>
    <xf numFmtId="166" fontId="0" fillId="0" borderId="7" xfId="3" applyNumberFormat="1" applyFont="1" applyFill="1" applyBorder="1" applyAlignment="1">
      <alignment horizontal="left" vertical="center" wrapText="1"/>
    </xf>
    <xf numFmtId="166" fontId="0" fillId="0" borderId="25" xfId="3" applyNumberFormat="1" applyFont="1" applyFill="1" applyBorder="1" applyAlignment="1">
      <alignment horizontal="left" vertical="center" wrapText="1"/>
    </xf>
    <xf numFmtId="166" fontId="0" fillId="0" borderId="9" xfId="3" applyNumberFormat="1" applyFont="1" applyFill="1" applyBorder="1" applyAlignment="1">
      <alignment horizontal="left" vertical="center" wrapText="1"/>
    </xf>
    <xf numFmtId="166" fontId="0" fillId="0" borderId="5" xfId="3" applyNumberFormat="1" applyFont="1" applyFill="1" applyBorder="1" applyAlignment="1">
      <alignment horizontal="left" vertical="center"/>
    </xf>
    <xf numFmtId="0" fontId="0" fillId="0" borderId="5" xfId="0" applyFill="1" applyBorder="1" applyAlignment="1">
      <alignment horizontal="center" vertical="center"/>
    </xf>
    <xf numFmtId="0" fontId="1" fillId="0" borderId="5" xfId="3" applyNumberFormat="1" applyFont="1" applyFill="1" applyBorder="1" applyAlignment="1">
      <alignment horizontal="left" vertical="center" wrapText="1"/>
    </xf>
    <xf numFmtId="0" fontId="1" fillId="0" borderId="7" xfId="3" applyNumberFormat="1" applyFont="1" applyFill="1" applyBorder="1" applyAlignment="1">
      <alignment horizontal="left" vertical="center" wrapText="1"/>
    </xf>
    <xf numFmtId="17" fontId="0" fillId="0" borderId="6" xfId="3" applyNumberFormat="1" applyFont="1" applyFill="1" applyBorder="1" applyAlignment="1">
      <alignment horizontal="center" vertical="center" wrapText="1"/>
    </xf>
    <xf numFmtId="0" fontId="0" fillId="0" borderId="6" xfId="3" applyNumberFormat="1" applyFont="1" applyFill="1" applyBorder="1" applyAlignment="1">
      <alignment horizontal="center" vertical="center" wrapText="1"/>
    </xf>
    <xf numFmtId="0" fontId="0" fillId="0" borderId="8" xfId="3" applyNumberFormat="1" applyFont="1" applyFill="1" applyBorder="1" applyAlignment="1">
      <alignment horizontal="center" vertical="center" wrapText="1"/>
    </xf>
    <xf numFmtId="0" fontId="0" fillId="0" borderId="4" xfId="0" applyFill="1" applyBorder="1" applyAlignment="1">
      <alignment horizontal="left" vertical="center" wrapText="1"/>
    </xf>
    <xf numFmtId="166" fontId="0" fillId="0" borderId="7" xfId="3" applyNumberFormat="1" applyFont="1" applyFill="1" applyBorder="1" applyAlignment="1">
      <alignment horizontal="center" vertical="center" wrapText="1"/>
    </xf>
    <xf numFmtId="166" fontId="0" fillId="0" borderId="5" xfId="0" applyNumberFormat="1" applyFill="1" applyBorder="1" applyAlignment="1">
      <alignment horizontal="left" vertical="center"/>
    </xf>
    <xf numFmtId="166" fontId="0" fillId="0" borderId="6" xfId="0" applyNumberFormat="1" applyFill="1" applyBorder="1" applyAlignment="1">
      <alignment horizontal="center" vertical="center"/>
    </xf>
    <xf numFmtId="166" fontId="0" fillId="0" borderId="5" xfId="0" applyNumberFormat="1" applyFill="1" applyBorder="1" applyAlignment="1">
      <alignment horizontal="center" vertical="center"/>
    </xf>
    <xf numFmtId="166" fontId="0" fillId="0" borderId="31" xfId="0" applyNumberFormat="1" applyFill="1" applyBorder="1" applyAlignment="1">
      <alignment horizontal="center" vertical="center"/>
    </xf>
    <xf numFmtId="166" fontId="7" fillId="0" borderId="7" xfId="2" applyNumberFormat="1" applyFont="1" applyFill="1" applyBorder="1" applyAlignment="1">
      <alignment horizontal="center" vertical="center"/>
    </xf>
    <xf numFmtId="166" fontId="7" fillId="0" borderId="9" xfId="2" applyNumberFormat="1" applyFont="1" applyFill="1" applyBorder="1" applyAlignment="1">
      <alignment horizontal="center" vertical="center"/>
    </xf>
    <xf numFmtId="166" fontId="0" fillId="0" borderId="5" xfId="0" applyNumberFormat="1" applyFill="1" applyBorder="1" applyAlignment="1">
      <alignment horizontal="left" vertical="center" wrapText="1"/>
    </xf>
    <xf numFmtId="0" fontId="7" fillId="0" borderId="11"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7" fillId="0" borderId="9" xfId="0" applyFont="1" applyFill="1" applyBorder="1" applyAlignment="1">
      <alignment horizontal="center" vertical="center" wrapText="1"/>
    </xf>
    <xf numFmtId="166" fontId="0" fillId="0" borderId="5" xfId="3" applyNumberFormat="1" applyFont="1" applyFill="1" applyBorder="1" applyAlignment="1">
      <alignment horizontal="left" vertical="center" wrapText="1"/>
    </xf>
    <xf numFmtId="0" fontId="0" fillId="0" borderId="11" xfId="0" applyFill="1" applyBorder="1" applyAlignment="1">
      <alignment horizontal="left" vertical="center"/>
    </xf>
    <xf numFmtId="0" fontId="0" fillId="0" borderId="32" xfId="0" applyFill="1" applyBorder="1" applyAlignment="1">
      <alignment horizontal="left" vertical="center"/>
    </xf>
    <xf numFmtId="0" fontId="0" fillId="0" borderId="12" xfId="0" applyFill="1" applyBorder="1" applyAlignment="1">
      <alignment horizontal="left" vertical="center"/>
    </xf>
    <xf numFmtId="0" fontId="7" fillId="0" borderId="7"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9" xfId="0" applyFont="1" applyBorder="1" applyAlignment="1">
      <alignment horizontal="center" vertical="center" wrapText="1"/>
    </xf>
    <xf numFmtId="0" fontId="7" fillId="0" borderId="5" xfId="0" applyFont="1" applyBorder="1" applyAlignment="1">
      <alignment horizontal="center" vertical="center" wrapText="1"/>
    </xf>
    <xf numFmtId="166" fontId="0" fillId="0" borderId="5" xfId="1" applyNumberFormat="1" applyFont="1" applyFill="1" applyBorder="1" applyAlignment="1">
      <alignment horizontal="center" vertical="center"/>
    </xf>
    <xf numFmtId="1" fontId="0" fillId="0" borderId="5" xfId="0" applyNumberFormat="1" applyBorder="1" applyAlignment="1">
      <alignment horizontal="right" vertical="center"/>
    </xf>
    <xf numFmtId="15" fontId="0" fillId="0" borderId="6" xfId="3" applyNumberFormat="1" applyFont="1" applyFill="1" applyBorder="1" applyAlignment="1">
      <alignment horizontal="center" vertical="center"/>
    </xf>
    <xf numFmtId="167" fontId="0" fillId="0" borderId="7" xfId="1" applyNumberFormat="1" applyFont="1" applyFill="1" applyBorder="1" applyAlignment="1">
      <alignment horizontal="center" vertical="center" wrapText="1"/>
    </xf>
    <xf numFmtId="167" fontId="0" fillId="0" borderId="9" xfId="1" applyNumberFormat="1" applyFont="1" applyFill="1" applyBorder="1" applyAlignment="1">
      <alignment horizontal="center" vertical="center" wrapText="1"/>
    </xf>
    <xf numFmtId="166" fontId="0" fillId="0" borderId="25" xfId="3" applyNumberFormat="1" applyFont="1" applyFill="1" applyBorder="1" applyAlignment="1">
      <alignment horizontal="center" vertical="center" wrapText="1"/>
    </xf>
    <xf numFmtId="166" fontId="0" fillId="0" borderId="9" xfId="3" applyNumberFormat="1" applyFont="1" applyFill="1" applyBorder="1" applyAlignment="1">
      <alignment horizontal="center" vertical="center" wrapText="1"/>
    </xf>
    <xf numFmtId="168" fontId="0" fillId="0" borderId="7" xfId="1" applyNumberFormat="1" applyFont="1" applyFill="1" applyBorder="1" applyAlignment="1">
      <alignment horizontal="center" vertical="center"/>
    </xf>
    <xf numFmtId="168" fontId="0" fillId="0" borderId="9" xfId="1" applyNumberFormat="1" applyFont="1" applyFill="1" applyBorder="1" applyAlignment="1">
      <alignment horizontal="center" vertical="center"/>
    </xf>
    <xf numFmtId="167" fontId="0" fillId="0" borderId="5" xfId="1" applyNumberFormat="1" applyFont="1" applyFill="1" applyBorder="1" applyAlignment="1">
      <alignment vertical="center"/>
    </xf>
    <xf numFmtId="167" fontId="0" fillId="0" borderId="25" xfId="1" applyNumberFormat="1" applyFont="1" applyFill="1" applyBorder="1" applyAlignment="1">
      <alignment horizontal="center" vertical="center" wrapText="1"/>
    </xf>
    <xf numFmtId="3" fontId="0" fillId="0" borderId="7" xfId="0" applyNumberFormat="1" applyBorder="1" applyAlignment="1">
      <alignment horizontal="left" vertical="center"/>
    </xf>
    <xf numFmtId="3" fontId="0" fillId="0" borderId="9" xfId="0" applyNumberFormat="1" applyBorder="1"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17" fontId="0" fillId="0" borderId="6" xfId="0" applyNumberFormat="1" applyFill="1" applyBorder="1" applyAlignment="1">
      <alignment horizontal="center" vertical="center"/>
    </xf>
    <xf numFmtId="0" fontId="6" fillId="0" borderId="22" xfId="2" applyFill="1" applyBorder="1" applyAlignment="1">
      <alignment horizontal="center" vertical="center"/>
    </xf>
    <xf numFmtId="0" fontId="0" fillId="0" borderId="22" xfId="0" applyFill="1" applyBorder="1" applyAlignment="1">
      <alignment horizontal="center" vertical="center"/>
    </xf>
    <xf numFmtId="166" fontId="0" fillId="0" borderId="7" xfId="1" applyNumberFormat="1" applyFont="1" applyFill="1" applyBorder="1" applyAlignment="1">
      <alignment horizontal="center" vertical="center" wrapText="1"/>
    </xf>
    <xf numFmtId="166" fontId="0" fillId="0" borderId="25" xfId="1" applyNumberFormat="1" applyFont="1" applyFill="1" applyBorder="1" applyAlignment="1">
      <alignment horizontal="center" vertical="center" wrapText="1"/>
    </xf>
    <xf numFmtId="166" fontId="0" fillId="0" borderId="22" xfId="1" applyNumberFormat="1" applyFont="1" applyFill="1" applyBorder="1" applyAlignment="1">
      <alignment horizontal="center" vertical="center" wrapText="1"/>
    </xf>
    <xf numFmtId="15" fontId="0" fillId="0" borderId="8" xfId="0" applyNumberFormat="1" applyBorder="1" applyAlignment="1">
      <alignment horizontal="center" vertical="center"/>
    </xf>
    <xf numFmtId="15" fontId="0" fillId="0" borderId="31" xfId="0" applyNumberFormat="1" applyBorder="1" applyAlignment="1">
      <alignment horizontal="center" vertical="center"/>
    </xf>
    <xf numFmtId="15" fontId="0" fillId="0" borderId="23" xfId="0" applyNumberFormat="1" applyBorder="1" applyAlignment="1">
      <alignment horizontal="center"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166" fontId="0" fillId="0" borderId="7" xfId="1" applyNumberFormat="1" applyFont="1" applyFill="1" applyBorder="1" applyAlignment="1">
      <alignment horizontal="right" vertical="center" wrapText="1"/>
    </xf>
    <xf numFmtId="166" fontId="0" fillId="0" borderId="9" xfId="1" applyNumberFormat="1" applyFont="1" applyFill="1" applyBorder="1" applyAlignment="1">
      <alignment horizontal="right" vertical="center" wrapText="1"/>
    </xf>
    <xf numFmtId="167" fontId="0" fillId="0" borderId="5" xfId="1" applyNumberFormat="1" applyFont="1" applyBorder="1" applyAlignment="1">
      <alignment vertical="center"/>
    </xf>
    <xf numFmtId="168" fontId="0" fillId="0" borderId="25" xfId="1" applyNumberFormat="1" applyFont="1" applyBorder="1" applyAlignment="1">
      <alignment horizontal="right" vertical="center"/>
    </xf>
    <xf numFmtId="168" fontId="0" fillId="0" borderId="5" xfId="1" applyNumberFormat="1" applyFont="1" applyBorder="1" applyAlignment="1">
      <alignment horizontal="center" vertical="center"/>
    </xf>
    <xf numFmtId="168" fontId="0" fillId="0" borderId="7" xfId="1" applyNumberFormat="1" applyFont="1" applyBorder="1" applyAlignment="1">
      <alignment horizontal="center" vertical="center"/>
    </xf>
    <xf numFmtId="168" fontId="0" fillId="0" borderId="9" xfId="1" applyNumberFormat="1" applyFont="1" applyBorder="1" applyAlignment="1">
      <alignment horizontal="center" vertical="center"/>
    </xf>
    <xf numFmtId="0" fontId="0" fillId="0" borderId="7"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9" xfId="0" applyFont="1" applyBorder="1" applyAlignment="1">
      <alignment horizontal="center" vertical="center" wrapText="1"/>
    </xf>
    <xf numFmtId="167" fontId="0" fillId="0" borderId="5" xfId="1" applyNumberFormat="1" applyFont="1" applyFill="1" applyBorder="1" applyAlignment="1">
      <alignment horizontal="center" vertical="center" wrapText="1"/>
    </xf>
    <xf numFmtId="167" fontId="0" fillId="0" borderId="33" xfId="1" applyNumberFormat="1" applyFont="1" applyFill="1" applyBorder="1" applyAlignment="1">
      <alignment horizontal="center" vertical="center" wrapText="1"/>
    </xf>
    <xf numFmtId="167" fontId="0" fillId="0" borderId="38" xfId="1" applyNumberFormat="1" applyFont="1" applyFill="1" applyBorder="1" applyAlignment="1">
      <alignment horizontal="center" vertical="center" wrapText="1"/>
    </xf>
    <xf numFmtId="167" fontId="0" fillId="0" borderId="16" xfId="1" applyNumberFormat="1" applyFont="1" applyFill="1" applyBorder="1" applyAlignment="1">
      <alignment horizontal="center" vertical="center" wrapText="1"/>
    </xf>
    <xf numFmtId="167" fontId="0" fillId="0" borderId="33" xfId="1" applyNumberFormat="1" applyFont="1" applyFill="1" applyBorder="1" applyAlignment="1">
      <alignment horizontal="center" vertical="center"/>
    </xf>
    <xf numFmtId="167" fontId="0" fillId="0" borderId="38" xfId="1" applyNumberFormat="1" applyFont="1" applyFill="1" applyBorder="1" applyAlignment="1">
      <alignment horizontal="center" vertical="center"/>
    </xf>
    <xf numFmtId="167" fontId="0" fillId="0" borderId="16" xfId="1" applyNumberFormat="1" applyFont="1" applyFill="1" applyBorder="1" applyAlignment="1">
      <alignment horizontal="center" vertical="center"/>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3" fontId="7" fillId="0" borderId="7" xfId="0" applyNumberFormat="1" applyFont="1" applyBorder="1" applyAlignment="1">
      <alignment horizontal="center" vertical="center" wrapText="1"/>
    </xf>
    <xf numFmtId="3" fontId="7" fillId="0" borderId="9" xfId="0" applyNumberFormat="1" applyFont="1" applyBorder="1" applyAlignment="1">
      <alignment horizontal="center" vertical="center" wrapText="1"/>
    </xf>
    <xf numFmtId="3" fontId="0" fillId="0" borderId="7" xfId="0" applyNumberFormat="1" applyFont="1" applyBorder="1" applyAlignment="1">
      <alignment horizontal="center" vertical="center" wrapText="1"/>
    </xf>
    <xf numFmtId="3" fontId="0" fillId="0" borderId="9" xfId="0" applyNumberFormat="1" applyFont="1" applyBorder="1" applyAlignment="1">
      <alignment horizontal="center" vertical="center" wrapText="1"/>
    </xf>
    <xf numFmtId="0" fontId="7" fillId="0" borderId="5" xfId="2" applyFont="1" applyFill="1" applyBorder="1" applyAlignment="1">
      <alignment horizontal="left" vertical="center" wrapText="1"/>
    </xf>
    <xf numFmtId="0" fontId="0" fillId="0" borderId="5" xfId="0" applyBorder="1" applyAlignment="1">
      <alignment horizontal="left" vertical="center"/>
    </xf>
    <xf numFmtId="0" fontId="0" fillId="0" borderId="6" xfId="0" applyBorder="1" applyAlignment="1">
      <alignment horizontal="center" vertical="center"/>
    </xf>
    <xf numFmtId="0" fontId="7" fillId="0" borderId="6" xfId="2" applyFont="1" applyFill="1" applyBorder="1" applyAlignment="1">
      <alignment horizontal="center" vertical="center" wrapText="1"/>
    </xf>
    <xf numFmtId="0" fontId="0" fillId="0" borderId="33" xfId="0" applyFill="1" applyBorder="1" applyAlignment="1">
      <alignment horizontal="center" vertical="center" wrapText="1"/>
    </xf>
    <xf numFmtId="0" fontId="0" fillId="0" borderId="38"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33" xfId="0" applyFill="1" applyBorder="1" applyAlignment="1">
      <alignment horizontal="center" vertical="center"/>
    </xf>
    <xf numFmtId="0" fontId="0" fillId="0" borderId="38" xfId="0" applyFill="1" applyBorder="1" applyAlignment="1">
      <alignment horizontal="center" vertical="center"/>
    </xf>
    <xf numFmtId="0" fontId="0" fillId="0" borderId="16" xfId="0" applyFill="1" applyBorder="1" applyAlignment="1">
      <alignment horizontal="center" vertical="center"/>
    </xf>
    <xf numFmtId="3" fontId="0" fillId="0" borderId="25" xfId="0" applyNumberFormat="1" applyFont="1" applyBorder="1" applyAlignment="1">
      <alignment horizontal="center" vertical="center" wrapText="1"/>
    </xf>
    <xf numFmtId="165" fontId="0" fillId="0" borderId="7" xfId="1" applyNumberFormat="1" applyFont="1" applyFill="1" applyBorder="1" applyAlignment="1">
      <alignment horizontal="center" vertical="center"/>
    </xf>
    <xf numFmtId="165" fontId="0" fillId="0" borderId="9" xfId="1" applyNumberFormat="1" applyFont="1" applyFill="1" applyBorder="1" applyAlignment="1">
      <alignment horizontal="center" vertical="center"/>
    </xf>
    <xf numFmtId="0" fontId="0" fillId="0" borderId="33" xfId="0" applyFont="1" applyBorder="1" applyAlignment="1">
      <alignment horizontal="center" vertical="center" wrapText="1"/>
    </xf>
    <xf numFmtId="0" fontId="0" fillId="0" borderId="38" xfId="0" applyFont="1" applyBorder="1" applyAlignment="1">
      <alignment horizontal="center" vertical="center" wrapText="1"/>
    </xf>
    <xf numFmtId="167" fontId="1" fillId="0" borderId="7" xfId="1" applyNumberFormat="1" applyFill="1" applyBorder="1" applyAlignment="1">
      <alignment horizontal="center" vertical="center"/>
    </xf>
    <xf numFmtId="167" fontId="1" fillId="0" borderId="9" xfId="1" applyNumberFormat="1" applyFill="1" applyBorder="1" applyAlignment="1">
      <alignment horizontal="center" vertical="center"/>
    </xf>
    <xf numFmtId="0" fontId="7" fillId="0" borderId="7" xfId="2" applyFont="1" applyFill="1" applyBorder="1" applyAlignment="1">
      <alignment horizontal="left" vertical="center" wrapText="1"/>
    </xf>
    <xf numFmtId="0" fontId="7" fillId="0" borderId="25" xfId="2" applyFont="1" applyFill="1" applyBorder="1" applyAlignment="1">
      <alignment horizontal="left" vertical="center" wrapText="1"/>
    </xf>
    <xf numFmtId="0" fontId="7" fillId="0" borderId="9" xfId="2" applyFont="1" applyFill="1" applyBorder="1" applyAlignment="1">
      <alignment horizontal="left" vertical="center" wrapText="1"/>
    </xf>
    <xf numFmtId="167" fontId="0" fillId="0" borderId="7" xfId="1" applyNumberFormat="1" applyFont="1" applyFill="1" applyBorder="1" applyAlignment="1">
      <alignment horizontal="center"/>
    </xf>
    <xf numFmtId="167" fontId="0" fillId="0" borderId="9" xfId="1" applyNumberFormat="1" applyFont="1" applyFill="1" applyBorder="1" applyAlignment="1">
      <alignment horizontal="center"/>
    </xf>
    <xf numFmtId="0" fontId="0" fillId="0" borderId="7" xfId="0" applyFill="1" applyBorder="1" applyAlignment="1">
      <alignment horizontal="right" vertical="center"/>
    </xf>
    <xf numFmtId="0" fontId="0" fillId="0" borderId="25" xfId="0" applyFill="1" applyBorder="1" applyAlignment="1">
      <alignment horizontal="right" vertical="center"/>
    </xf>
    <xf numFmtId="0" fontId="0" fillId="0" borderId="9" xfId="0" applyFill="1" applyBorder="1" applyAlignment="1">
      <alignment horizontal="right" vertical="center"/>
    </xf>
    <xf numFmtId="168" fontId="0" fillId="0" borderId="5" xfId="1" applyNumberFormat="1" applyFont="1" applyBorder="1" applyAlignment="1">
      <alignment horizontal="right" vertical="center"/>
    </xf>
    <xf numFmtId="166" fontId="0" fillId="0" borderId="11" xfId="3" applyNumberFormat="1" applyFont="1" applyFill="1" applyBorder="1" applyAlignment="1">
      <alignment horizontal="left" vertical="center" wrapText="1"/>
    </xf>
    <xf numFmtId="166" fontId="0" fillId="0" borderId="32" xfId="3" applyNumberFormat="1" applyFont="1" applyFill="1" applyBorder="1" applyAlignment="1">
      <alignment horizontal="left" vertical="center" wrapText="1"/>
    </xf>
    <xf numFmtId="166" fontId="0" fillId="0" borderId="12" xfId="3" applyNumberFormat="1" applyFont="1" applyFill="1" applyBorder="1" applyAlignment="1">
      <alignment horizontal="left" vertical="center" wrapText="1"/>
    </xf>
    <xf numFmtId="15" fontId="0" fillId="0" borderId="6" xfId="0" applyNumberFormat="1" applyFill="1" applyBorder="1" applyAlignment="1">
      <alignment horizontal="center" vertical="center" wrapText="1"/>
    </xf>
    <xf numFmtId="0" fontId="0" fillId="0" borderId="6" xfId="0" applyFill="1" applyBorder="1" applyAlignment="1">
      <alignment horizontal="center" vertical="center" wrapText="1"/>
    </xf>
    <xf numFmtId="15" fontId="0" fillId="0" borderId="8" xfId="0" applyNumberFormat="1" applyFill="1" applyBorder="1" applyAlignment="1">
      <alignment horizontal="center" vertical="center" wrapText="1"/>
    </xf>
    <xf numFmtId="15" fontId="0" fillId="0" borderId="31" xfId="0" applyNumberFormat="1" applyFill="1" applyBorder="1" applyAlignment="1">
      <alignment horizontal="center" vertical="center" wrapText="1"/>
    </xf>
    <xf numFmtId="15" fontId="0" fillId="0" borderId="10" xfId="0" applyNumberFormat="1" applyFill="1" applyBorder="1" applyAlignment="1">
      <alignment horizontal="center" vertical="center" wrapText="1"/>
    </xf>
    <xf numFmtId="15" fontId="7" fillId="0" borderId="8" xfId="2" applyNumberFormat="1" applyFont="1" applyFill="1" applyBorder="1" applyAlignment="1">
      <alignment horizontal="center" vertical="center"/>
    </xf>
    <xf numFmtId="15" fontId="7" fillId="0" borderId="31" xfId="2" applyNumberFormat="1" applyFont="1" applyFill="1" applyBorder="1" applyAlignment="1">
      <alignment horizontal="center" vertical="center"/>
    </xf>
    <xf numFmtId="15" fontId="7" fillId="0" borderId="10" xfId="2" applyNumberFormat="1" applyFont="1" applyFill="1" applyBorder="1" applyAlignment="1">
      <alignment horizontal="center" vertical="center"/>
    </xf>
    <xf numFmtId="0" fontId="0" fillId="0" borderId="28" xfId="0" applyFill="1" applyBorder="1" applyAlignment="1">
      <alignment horizontal="center" vertical="center"/>
    </xf>
    <xf numFmtId="0" fontId="0" fillId="0" borderId="34" xfId="0" applyFill="1" applyBorder="1" applyAlignment="1">
      <alignment horizontal="center" vertical="center"/>
    </xf>
    <xf numFmtId="0" fontId="0" fillId="0" borderId="24" xfId="0" applyFill="1" applyBorder="1" applyAlignment="1">
      <alignment horizontal="center" vertical="center"/>
    </xf>
    <xf numFmtId="164" fontId="0" fillId="0" borderId="5" xfId="0" applyNumberFormat="1" applyFill="1" applyBorder="1" applyAlignment="1">
      <alignment horizontal="left" vertical="center"/>
    </xf>
    <xf numFmtId="164" fontId="0" fillId="0" borderId="7" xfId="0" applyNumberFormat="1" applyFill="1" applyBorder="1" applyAlignment="1">
      <alignment horizontal="left" vertical="center"/>
    </xf>
    <xf numFmtId="164" fontId="0" fillId="0" borderId="25" xfId="0" applyNumberFormat="1" applyFill="1" applyBorder="1" applyAlignment="1">
      <alignment horizontal="left" vertical="center"/>
    </xf>
    <xf numFmtId="164" fontId="0" fillId="0" borderId="9" xfId="0" applyNumberFormat="1" applyFill="1" applyBorder="1" applyAlignment="1">
      <alignment horizontal="left" vertical="center"/>
    </xf>
    <xf numFmtId="167" fontId="0" fillId="0" borderId="5" xfId="1" applyNumberFormat="1" applyFont="1" applyFill="1" applyBorder="1" applyAlignment="1">
      <alignment horizontal="right" vertical="center"/>
    </xf>
    <xf numFmtId="1" fontId="0" fillId="0" borderId="7" xfId="0" applyNumberFormat="1" applyFill="1" applyBorder="1" applyAlignment="1">
      <alignment horizontal="right" vertical="center" wrapText="1"/>
    </xf>
    <xf numFmtId="1" fontId="0" fillId="0" borderId="9" xfId="0" applyNumberFormat="1" applyFill="1" applyBorder="1" applyAlignment="1">
      <alignment horizontal="right" vertical="center" wrapText="1"/>
    </xf>
    <xf numFmtId="0" fontId="16" fillId="5" borderId="5" xfId="0" applyFont="1" applyFill="1" applyBorder="1" applyAlignment="1">
      <alignment horizontal="center"/>
    </xf>
    <xf numFmtId="0" fontId="6" fillId="0" borderId="7" xfId="2" applyBorder="1" applyAlignment="1">
      <alignment horizontal="center" vertical="center"/>
    </xf>
    <xf numFmtId="0" fontId="6" fillId="0" borderId="9" xfId="2" applyBorder="1" applyAlignment="1">
      <alignment horizontal="center" vertical="center"/>
    </xf>
    <xf numFmtId="0" fontId="0" fillId="0" borderId="11" xfId="0" applyBorder="1" applyAlignment="1">
      <alignment horizontal="left" vertical="center" indent="3"/>
    </xf>
    <xf numFmtId="0" fontId="0" fillId="0" borderId="12" xfId="0" applyBorder="1" applyAlignment="1">
      <alignment horizontal="left" vertical="center" indent="3"/>
    </xf>
    <xf numFmtId="0" fontId="6" fillId="0" borderId="16" xfId="2" applyBorder="1" applyAlignment="1">
      <alignment horizontal="center" vertical="center"/>
    </xf>
    <xf numFmtId="3" fontId="0" fillId="0" borderId="7" xfId="0" applyNumberFormat="1" applyBorder="1" applyAlignment="1">
      <alignment horizontal="left" vertical="center" wrapText="1"/>
    </xf>
    <xf numFmtId="3" fontId="0" fillId="0" borderId="24" xfId="0" applyNumberFormat="1" applyBorder="1" applyAlignment="1">
      <alignment horizontal="left" vertical="center" wrapText="1"/>
    </xf>
    <xf numFmtId="0" fontId="6" fillId="0" borderId="7" xfId="2" applyBorder="1" applyAlignment="1">
      <alignment horizontal="center" vertical="center" wrapText="1"/>
    </xf>
    <xf numFmtId="0" fontId="6" fillId="0" borderId="9" xfId="2" applyBorder="1" applyAlignment="1">
      <alignment horizontal="center" vertical="center" wrapText="1"/>
    </xf>
    <xf numFmtId="0" fontId="0" fillId="0" borderId="7" xfId="0" applyBorder="1" applyAlignment="1">
      <alignment horizontal="left" vertical="center" wrapText="1"/>
    </xf>
    <xf numFmtId="0" fontId="0" fillId="0" borderId="9" xfId="0" applyBorder="1" applyAlignment="1">
      <alignment horizontal="left" vertical="center" wrapText="1"/>
    </xf>
    <xf numFmtId="15" fontId="0" fillId="0" borderId="8" xfId="0" applyNumberFormat="1" applyFill="1" applyBorder="1" applyAlignment="1">
      <alignment horizontal="left" vertical="center"/>
    </xf>
    <xf numFmtId="15" fontId="0" fillId="0" borderId="10" xfId="0" applyNumberFormat="1" applyFill="1" applyBorder="1" applyAlignment="1">
      <alignment horizontal="left" vertical="center"/>
    </xf>
    <xf numFmtId="15" fontId="0" fillId="0" borderId="10" xfId="0" applyNumberFormat="1" applyBorder="1" applyAlignment="1">
      <alignment horizontal="center" vertical="center"/>
    </xf>
    <xf numFmtId="0" fontId="0" fillId="0" borderId="11" xfId="0" applyBorder="1" applyAlignment="1">
      <alignment horizontal="left" vertical="center" wrapText="1" indent="3"/>
    </xf>
    <xf numFmtId="0" fontId="0" fillId="0" borderId="12" xfId="0" applyBorder="1" applyAlignment="1">
      <alignment horizontal="left" vertical="center" wrapText="1" indent="3"/>
    </xf>
    <xf numFmtId="0" fontId="0" fillId="0" borderId="11" xfId="0" applyBorder="1" applyAlignment="1">
      <alignment vertical="center"/>
    </xf>
    <xf numFmtId="0" fontId="0" fillId="0" borderId="12" xfId="0" applyBorder="1" applyAlignment="1">
      <alignment vertical="center"/>
    </xf>
    <xf numFmtId="0" fontId="0" fillId="0" borderId="7" xfId="0" applyBorder="1" applyAlignment="1">
      <alignment horizontal="right" vertical="center"/>
    </xf>
    <xf numFmtId="0" fontId="0" fillId="0" borderId="9" xfId="0" applyBorder="1" applyAlignment="1">
      <alignment horizontal="right" vertical="center"/>
    </xf>
    <xf numFmtId="17" fontId="0" fillId="0" borderId="8" xfId="0" applyNumberFormat="1" applyBorder="1" applyAlignment="1">
      <alignment horizontal="center" vertical="center"/>
    </xf>
    <xf numFmtId="17" fontId="0" fillId="0" borderId="10" xfId="0" applyNumberFormat="1" applyBorder="1" applyAlignment="1">
      <alignment horizontal="center" vertical="center"/>
    </xf>
    <xf numFmtId="0" fontId="7" fillId="0" borderId="7"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10" xfId="0" applyFont="1" applyFill="1" applyBorder="1" applyAlignment="1">
      <alignment horizontal="center" vertical="center"/>
    </xf>
    <xf numFmtId="0" fontId="0" fillId="0" borderId="6" xfId="0" applyFill="1" applyBorder="1" applyAlignment="1">
      <alignment horizontal="center"/>
    </xf>
    <xf numFmtId="0" fontId="0" fillId="0" borderId="5" xfId="0" applyFill="1" applyBorder="1" applyAlignment="1">
      <alignment horizontal="center"/>
    </xf>
  </cellXfs>
  <cellStyles count="4">
    <cellStyle name="Comma" xfId="1" builtinId="3"/>
    <cellStyle name="Comma 2" xfId="3" xr:uid="{FC6503B0-409E-42E7-B3F9-3A05CAFBA5A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26_NRCCan_COVID19_update_2_request_e.pdf" TargetMode="External"/><Relationship Id="rId117" Type="http://schemas.openxmlformats.org/officeDocument/2006/relationships/hyperlink" Target="https://www.noscommunes.ca/DocumentViewer/fr/43-2/OGGO/document-pertinent/11193033" TargetMode="External"/><Relationship Id="rId21" Type="http://schemas.openxmlformats.org/officeDocument/2006/relationships/hyperlink" Target="https://www.pbo-dpb.gc.ca/web/default/files/Documents/Info%20Requests/2020/IR0478_CIHR_COVID-19_ltr_e.pdf" TargetMode="External"/><Relationship Id="rId42" Type="http://schemas.openxmlformats.org/officeDocument/2006/relationships/hyperlink" Target="https://www.pbo-dpb.gc.ca/web/default/files/Documents/Info%20Requests/2020/IR0523_ISC_COVID19_update_2_request_f.pdf" TargetMode="External"/><Relationship Id="rId47" Type="http://schemas.openxmlformats.org/officeDocument/2006/relationships/hyperlink" Target="https://www.pbo-dpb.gc.ca/web/default/files/Documents/Info%20Requests/2020/IR0523_ISC_COVID19_update_2_request_f.pdf" TargetMode="External"/><Relationship Id="rId63" Type="http://schemas.openxmlformats.org/officeDocument/2006/relationships/hyperlink" Target="https://www.pbo-dpb.gc.ca/web/default/files/Documents/Info%20Requests/2020/IR0456_reply_f.pdf" TargetMode="External"/><Relationship Id="rId68" Type="http://schemas.openxmlformats.org/officeDocument/2006/relationships/hyperlink" Target="https://www.pbo-dpb.gc.ca/web/default/files/Documents/Info%20Requests/2020/IR0549_ESDC_COVID-19_Measures_Q_request_f.pdf" TargetMode="External"/><Relationship Id="rId84" Type="http://schemas.openxmlformats.org/officeDocument/2006/relationships/hyperlink" Target="https://www.noscommunes.ca/DocumentViewer/fr/43-2/OGGO/document-pertinent/11193033" TargetMode="External"/><Relationship Id="rId89" Type="http://schemas.openxmlformats.org/officeDocument/2006/relationships/hyperlink" Target="https://www.noscommunes.ca/content/Committee/432/OGGO/WebDoc/WD11193033/432_OGGO_Mar10-Motion/TreasuryBoardSecretariat-f.pdf" TargetMode="External"/><Relationship Id="rId112" Type="http://schemas.openxmlformats.org/officeDocument/2006/relationships/hyperlink" Target="https://www.noscommunes.ca/DocumentViewer/fr/43-2/OGGO/document-pertinent/11193033" TargetMode="External"/><Relationship Id="rId16" Type="http://schemas.openxmlformats.org/officeDocument/2006/relationships/hyperlink" Target="https://www.pbo-dpb.gc.ca/web/default/files/Documents/Info%20Requests/2020/IR0523_ISC_COVID19_update_2_request_f.pdf" TargetMode="External"/><Relationship Id="rId107" Type="http://schemas.openxmlformats.org/officeDocument/2006/relationships/hyperlink" Target="https://www.pbo-dpb.gc.ca/web/default/files/Documents/Info%20Requests/2020/IR0528_PHAC_COVID19_update_request_f.pdf" TargetMode="External"/><Relationship Id="rId11" Type="http://schemas.openxmlformats.org/officeDocument/2006/relationships/hyperlink" Target="https://www.pbo-dpb.gc.ca/web/default/files/Documents/Info%20Requests/2020/IR0470_ISC_COVID-19_Measures_request_e_signed.pdf" TargetMode="External"/><Relationship Id="rId32" Type="http://schemas.openxmlformats.org/officeDocument/2006/relationships/hyperlink" Target="https://www.pbo-dpb.gc.ca/web/default/files/Documents/Info%20Requests/2020/IR0456_AAFC_COVID-19_Allocations_request_e_signed.pdf" TargetMode="External"/><Relationship Id="rId37" Type="http://schemas.openxmlformats.org/officeDocument/2006/relationships/hyperlink" Target="https://www.pbo-dpb.gc.ca/web/default/files/Documents/Info%20Requests/2020/IR0486_HC_COVID-19_ltr_f.pdf" TargetMode="External"/><Relationship Id="rId53" Type="http://schemas.openxmlformats.org/officeDocument/2006/relationships/hyperlink" Target="https://www.pbo-dpb.gc.ca/web/default/files/Documents/Info%20Requests/2020/IR0477_GAC_Foreign_Affairs_data_repatriation_Canadians_ltr_f.pdf" TargetMode="External"/><Relationship Id="rId58" Type="http://schemas.openxmlformats.org/officeDocument/2006/relationships/hyperlink" Target="https://www.pbo-dpb.gc.ca/web/default/files/Documents/Info%20Requests/2020/IR0530_CIHR_granting_COVID-19_request_f.pdf" TargetMode="External"/><Relationship Id="rId74" Type="http://schemas.openxmlformats.org/officeDocument/2006/relationships/hyperlink" Target="https://www.pbo-dpb.gc.ca/web/default/files/Documents/Info%20Requests/2020/IR0526_NRCCan_COVID19_update_2_request_e.pdf" TargetMode="External"/><Relationship Id="rId79" Type="http://schemas.openxmlformats.org/officeDocument/2006/relationships/hyperlink" Target="https://www.noscommunes.ca/DocumentViewer/fr/43-2/OGGO/document-pertinent/11193033" TargetMode="External"/><Relationship Id="rId102" Type="http://schemas.openxmlformats.org/officeDocument/2006/relationships/hyperlink" Target="https://www.noscommunes.ca/DocumentViewer/fr/43-2/OGGO/document-pertinent/11193033" TargetMode="External"/><Relationship Id="rId123" Type="http://schemas.openxmlformats.org/officeDocument/2006/relationships/hyperlink" Target="https://www.pbo-dpb.gc.ca/web/default/files/Documents/Info%20Requests/2020/IR0523_ISC_COVID19_update_2_request_f.pdf" TargetMode="External"/><Relationship Id="rId128" Type="http://schemas.openxmlformats.org/officeDocument/2006/relationships/hyperlink" Target="https://www.noscommunes.ca/content/Committee/432/OGGO/WebDoc/WD11193033/432_OGGO_Mar10-Motion/TreasuryBoardSecretariat-f.pdf" TargetMode="External"/><Relationship Id="rId5" Type="http://schemas.openxmlformats.org/officeDocument/2006/relationships/hyperlink" Target="https://www.pbo-dpb.gc.ca/web/default/files/Documents/Info%20Requests/2020/IR0551_HC_COVID-19_Measures_request_f.pdf" TargetMode="External"/><Relationship Id="rId90" Type="http://schemas.openxmlformats.org/officeDocument/2006/relationships/hyperlink" Target="https://www.noscommunes.ca/DocumentViewer/fr/43-2/OGGO/document-pertinent/11193033" TargetMode="External"/><Relationship Id="rId95" Type="http://schemas.openxmlformats.org/officeDocument/2006/relationships/hyperlink" Target="https://www.noscommunes.ca/DocumentViewer/fr/43-2/OGGO/document-pertinent/11193033" TargetMode="External"/><Relationship Id="rId19" Type="http://schemas.openxmlformats.org/officeDocument/2006/relationships/hyperlink" Target="https://www.pbo-dpb.gc.ca/web/default/files/Documents/Info%20Requests/2020/IR0490_ISED_COVID-19_Measures_request_f.pdf" TargetMode="External"/><Relationship Id="rId14" Type="http://schemas.openxmlformats.org/officeDocument/2006/relationships/hyperlink" Target="https://www.pbo-dpb.gc.ca/web/default/files/Documents/Info%20Requests/2020/IR0523_ISC_COVID19_update_2_request_e.pdf" TargetMode="External"/><Relationship Id="rId22" Type="http://schemas.openxmlformats.org/officeDocument/2006/relationships/hyperlink" Target="https://www.pbo-dpb.gc.ca/web/default/files/Documents/Info%20Requests/2020/IR0478_CIHR_COVID-19_ltr_f.pdf" TargetMode="External"/><Relationship Id="rId27" Type="http://schemas.openxmlformats.org/officeDocument/2006/relationships/hyperlink" Target="https://www.pbo-dpb.gc.ca/web/default/files/Documents/Info%20Requests/2020/IR0526_NRCCan_COVID19_update_2_request_f.pdf" TargetMode="External"/><Relationship Id="rId30" Type="http://schemas.openxmlformats.org/officeDocument/2006/relationships/hyperlink" Target="https://www.pbo-dpb.gc.ca/web/default/files/Documents/Info%20Requests/2020/IR0559_PSPC_COVID-19_Safety_request_f.pdf" TargetMode="External"/><Relationship Id="rId35" Type="http://schemas.openxmlformats.org/officeDocument/2006/relationships/hyperlink" Target="https://www.pbo-dpb.gc.ca/web/default/files/Documents/Info%20Requests/2020/IR0549_ESDC_COVID-19_Measures_Q_request_f.pdf" TargetMode="External"/><Relationship Id="rId43" Type="http://schemas.openxmlformats.org/officeDocument/2006/relationships/hyperlink" Target="https://www.pbo-dpb.gc.ca/web/default/files/Documents/Info%20Requests/2020/IR0476_GAC_ID_COVID-19_Measures_request_f_signed.pdf" TargetMode="External"/><Relationship Id="rId48" Type="http://schemas.openxmlformats.org/officeDocument/2006/relationships/hyperlink" Target="https://www.pbo-dpb.gc.ca/web/default/files/Documents/Info%20Requests/2020/IR0468_HC_COVID-19_Measures_request_e_signed.pdf" TargetMode="External"/><Relationship Id="rId56" Type="http://schemas.openxmlformats.org/officeDocument/2006/relationships/hyperlink" Target="https://www.pbo-dpb.gc.ca/web/default/files/Documents/Info%20Requests/2020/IR0528_PHAC_COVID19_update_request_f.pdf" TargetMode="External"/><Relationship Id="rId64" Type="http://schemas.openxmlformats.org/officeDocument/2006/relationships/hyperlink" Target="https://www.pbo-dpb.gc.ca/web/default/files/Documents/Info%20Requests/2020/IR0550_FIN_COVID-19_Support_request_f.pdf" TargetMode="External"/><Relationship Id="rId69" Type="http://schemas.openxmlformats.org/officeDocument/2006/relationships/hyperlink" Target="https://www.pbo-dpb.gc.ca/web/default/files/Documents/Info%20Requests/2020/IR0468_HC_COVID-19_Measures_request_e_signed.pdf" TargetMode="External"/><Relationship Id="rId77" Type="http://schemas.openxmlformats.org/officeDocument/2006/relationships/hyperlink" Target="https://www.noscommunes.ca/DocumentViewer/fr/43-2/OGGO/document-pertinent/11193033" TargetMode="External"/><Relationship Id="rId100" Type="http://schemas.openxmlformats.org/officeDocument/2006/relationships/hyperlink" Target="https://www.noscommunes.ca/DocumentViewer/fr/43-2/OGGO/document-pertinent/11193033" TargetMode="External"/><Relationship Id="rId105" Type="http://schemas.openxmlformats.org/officeDocument/2006/relationships/hyperlink" Target="https://www.noscommunes.ca/DocumentViewer/fr/43-2/OGGO/document-pertinent/11193033" TargetMode="External"/><Relationship Id="rId113" Type="http://schemas.openxmlformats.org/officeDocument/2006/relationships/hyperlink" Target="https://www.noscommunes.ca/DocumentViewer/fr/43-2/OGGO/document-pertinent/11193033" TargetMode="External"/><Relationship Id="rId118" Type="http://schemas.openxmlformats.org/officeDocument/2006/relationships/hyperlink" Target="https://www.noscommunes.ca/DocumentViewer/fr/43-2/OGGO/document-pertinent/11193033" TargetMode="External"/><Relationship Id="rId126" Type="http://schemas.openxmlformats.org/officeDocument/2006/relationships/hyperlink" Target="https://www.noscommunes.ca/content/Committee/432/OGGO/WebDoc/WD11193033/432_OGGO_Mar10-Motion/TreasuryBoardSecretariat-f.pdf" TargetMode="External"/><Relationship Id="rId8" Type="http://schemas.openxmlformats.org/officeDocument/2006/relationships/hyperlink" Target="https://www.pbo-dpb.gc.ca/web/default/files/Documents/Info%20Requests/2020/IR0462_CIRNAC_COVID-19_Measures_request_e_signed.pdf" TargetMode="External"/><Relationship Id="rId51" Type="http://schemas.openxmlformats.org/officeDocument/2006/relationships/hyperlink" Target="https://www.pbo-dpb.gc.ca/web/default/files/Documents/Info%20Requests/2020/IR0490_ISED_COVID-19_Measures_request_f.pdf" TargetMode="External"/><Relationship Id="rId72" Type="http://schemas.openxmlformats.org/officeDocument/2006/relationships/hyperlink" Target="https://www.pbo-dpb.gc.ca/web/default/files/Documents/Info%20Requests/2020/IR0528_PHAC_COVID19_update_request_f.pdf" TargetMode="External"/><Relationship Id="rId80" Type="http://schemas.openxmlformats.org/officeDocument/2006/relationships/hyperlink" Target="https://www.noscommunes.ca/DocumentViewer/fr/43-2/OGGO/document-pertinent/11193033" TargetMode="External"/><Relationship Id="rId85" Type="http://schemas.openxmlformats.org/officeDocument/2006/relationships/hyperlink" Target="https://www.noscommunes.ca/content/Committee/432/OGGO/WebDoc/WD11193033/432_OGGO_Mar10-Motion/TreasuryBoardSecretariat-f.pdf" TargetMode="External"/><Relationship Id="rId93" Type="http://schemas.openxmlformats.org/officeDocument/2006/relationships/hyperlink" Target="https://www.noscommunes.ca/DocumentViewer/fr/43-2/OGGO/document-pertinent/11193033" TargetMode="External"/><Relationship Id="rId98" Type="http://schemas.openxmlformats.org/officeDocument/2006/relationships/hyperlink" Target="https://www.noscommunes.ca/DocumentViewer/fr/43-2/OGGO/document-pertinent/11193033" TargetMode="External"/><Relationship Id="rId121" Type="http://schemas.openxmlformats.org/officeDocument/2006/relationships/hyperlink" Target="https://www.noscommunes.ca/DocumentViewer/fr/43-2/OGGO/document-pertinent/11193033" TargetMode="External"/><Relationship Id="rId3" Type="http://schemas.openxmlformats.org/officeDocument/2006/relationships/hyperlink" Target="https://www.pbo-dpb.gc.ca/web/default/files/Documents/Info%20Requests/2020/IR0530_CIHR_granting_COVID-19_request_f.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528_PHAC_COVID19_update_request_f.pdf" TargetMode="External"/><Relationship Id="rId25" Type="http://schemas.openxmlformats.org/officeDocument/2006/relationships/hyperlink" Target="https://www.pbo-dpb.gc.ca/web/default/files/Documents/Info%20Requests/2020/IR0490_ISED_COVID-19_Measures_request_f.pdf" TargetMode="External"/><Relationship Id="rId33" Type="http://schemas.openxmlformats.org/officeDocument/2006/relationships/hyperlink" Target="https://www.pbo-dpb.gc.ca/web/default/files/Documents/Info%20Requests/2020/IR0456_reply_f.pdf" TargetMode="External"/><Relationship Id="rId38" Type="http://schemas.openxmlformats.org/officeDocument/2006/relationships/hyperlink" Target="https://www.pbo-dpb.gc.ca/web/default/files/Documents/Info%20Requests/2020/IR0529_PSEP_COVID19_update_request_e.pdf" TargetMode="External"/><Relationship Id="rId46" Type="http://schemas.openxmlformats.org/officeDocument/2006/relationships/hyperlink" Target="https://www.pbo-dpb.gc.ca/web/default/files/Documents/Info%20Requests/2020/IR0472_NRC_COVID-19_Measures_request_f_signed.pdf" TargetMode="External"/><Relationship Id="rId59" Type="http://schemas.openxmlformats.org/officeDocument/2006/relationships/hyperlink" Target="https://www.pbo-dpb.gc.ca/web/default/files/Documents/Info%20Requests/2020/IR0551_HC_COVID-19_Measures_request_f.pdf" TargetMode="External"/><Relationship Id="rId67" Type="http://schemas.openxmlformats.org/officeDocument/2006/relationships/hyperlink" Target="https://www.pbo-dpb.gc.ca/web/default/files/Documents/Info%20Requests/2021/IR0584_TBS_DigGov_COVID_Measures_request_f.pdf" TargetMode="External"/><Relationship Id="rId103" Type="http://schemas.openxmlformats.org/officeDocument/2006/relationships/hyperlink" Target="https://www.noscommunes.ca/DocumentViewer/fr/43-2/OGGO/document-pertinent/11193033" TargetMode="External"/><Relationship Id="rId108" Type="http://schemas.openxmlformats.org/officeDocument/2006/relationships/hyperlink" Target="https://www.noscommunes.ca/DocumentViewer/fr/43-2/OGGO/document-pertinent/11193033" TargetMode="External"/><Relationship Id="rId116" Type="http://schemas.openxmlformats.org/officeDocument/2006/relationships/hyperlink" Target="https://www.noscommunes.ca/DocumentViewer/fr/43-2/OGGO/document-pertinent/11193033" TargetMode="External"/><Relationship Id="rId124" Type="http://schemas.openxmlformats.org/officeDocument/2006/relationships/hyperlink" Target="https://www.pbo-dpb.gc.ca/web/default/files/Documents/Info%20Requests/2020/IR0550_FIN_COVID-19_Support_request_f.pdf" TargetMode="External"/><Relationship Id="rId129" Type="http://schemas.openxmlformats.org/officeDocument/2006/relationships/hyperlink" Target="https://www.noscommunes.ca/DocumentViewer/fr/43-2/OGGO/document-pertinent/11193033" TargetMode="External"/><Relationship Id="rId20" Type="http://schemas.openxmlformats.org/officeDocument/2006/relationships/hyperlink" Target="https://www.pbo-dpb.gc.ca/web/default/files/Documents/Info%20Requests/2020/IR0491_ISED_COVID-19_Measures_request_f.pdf" TargetMode="External"/><Relationship Id="rId41" Type="http://schemas.openxmlformats.org/officeDocument/2006/relationships/hyperlink" Target="https://www.pbo-dpb.gc.ca/web/default/files/Documents/Info%20Requests/2020/IR0561_SSC_COVID-19_Measures_request_f.pdf" TargetMode="External"/><Relationship Id="rId54" Type="http://schemas.openxmlformats.org/officeDocument/2006/relationships/hyperlink" Target="https://www.pbo-dpb.gc.ca/web/default/files/Documents/Info%20Requests/2020/IR0477_GAC_Foreign_Affairs_data_repatriation_Canadians_ltr_e.pdf" TargetMode="External"/><Relationship Id="rId62" Type="http://schemas.openxmlformats.org/officeDocument/2006/relationships/hyperlink" Target="https://www.pbo-dpb.gc.ca/web/default/files/Documents/Info%20Requests/2020/IR0528_PHAC_COVID19_update_request_f.pdf" TargetMode="External"/><Relationship Id="rId70" Type="http://schemas.openxmlformats.org/officeDocument/2006/relationships/hyperlink" Target="https://www.pbo-dpb.gc.ca/web/default/files/Documents/Info%20Requests/2020/IR0468_HC_COVID-19_Measures_request_f_signed.pdf" TargetMode="External"/><Relationship Id="rId75" Type="http://schemas.openxmlformats.org/officeDocument/2006/relationships/hyperlink" Target="https://www.pbo-dpb.gc.ca/web/default/files/Documents/Info%20Requests/2020/IR0526_NRCCan_COVID19_update_2_request_f.pdf" TargetMode="External"/><Relationship Id="rId83" Type="http://schemas.openxmlformats.org/officeDocument/2006/relationships/hyperlink" Target="https://www.noscommunes.ca/DocumentViewer/fr/43-2/OGGO/document-pertinent/11193033" TargetMode="External"/><Relationship Id="rId88" Type="http://schemas.openxmlformats.org/officeDocument/2006/relationships/hyperlink" Target="https://www.noscommunes.ca/DocumentViewer/fr/43-2/OGGO/document-pertinent/11193033" TargetMode="External"/><Relationship Id="rId91" Type="http://schemas.openxmlformats.org/officeDocument/2006/relationships/hyperlink" Target="https://www.noscommunes.ca/DocumentViewer/fr/43-2/OGGO/document-pertinent/11193033" TargetMode="External"/><Relationship Id="rId96" Type="http://schemas.openxmlformats.org/officeDocument/2006/relationships/hyperlink" Target="https://www.noscommunes.ca/DocumentViewer/fr/43-2/OGGO/document-pertinent/11193033" TargetMode="External"/><Relationship Id="rId111" Type="http://schemas.openxmlformats.org/officeDocument/2006/relationships/hyperlink" Target="https://www.noscommunes.ca/DocumentViewer/fr/43-2/OGGO/document-pertinent/11193033" TargetMode="External"/><Relationship Id="rId132" Type="http://schemas.openxmlformats.org/officeDocument/2006/relationships/printerSettings" Target="../printerSettings/printerSettings1.bin"/><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59_PSPC_COVID-19_Safety_request_f.pdf" TargetMode="External"/><Relationship Id="rId15" Type="http://schemas.openxmlformats.org/officeDocument/2006/relationships/hyperlink" Target="https://www.pbo-dpb.gc.ca/web/default/files/Documents/Info%20Requests/2020/IR0528_PHAC_COVID19_update_request_e.pdf" TargetMode="External"/><Relationship Id="rId23" Type="http://schemas.openxmlformats.org/officeDocument/2006/relationships/hyperlink" Target="https://www.pbo-dpb.gc.ca/web/default/files/Documents/Info%20Requests/2020/IR0528_PHAC_COVID19_update_request_e.pdf" TargetMode="External"/><Relationship Id="rId28" Type="http://schemas.openxmlformats.org/officeDocument/2006/relationships/hyperlink" Target="https://www.pbo-dpb.gc.ca/web/default/files/Documents/Info%20Requests/2020/IR0468_HC_COVID-19_Measures_request_e_signed.pdf" TargetMode="External"/><Relationship Id="rId36" Type="http://schemas.openxmlformats.org/officeDocument/2006/relationships/hyperlink" Target="https://www.pbo-dpb.gc.ca/web/default/files/Documents/Info%20Requests/2020/IR0486_HC_COVID-19_ltr_e.pdf" TargetMode="External"/><Relationship Id="rId49" Type="http://schemas.openxmlformats.org/officeDocument/2006/relationships/hyperlink" Target="https://www.pbo-dpb.gc.ca/web/default/files/Documents/Info%20Requests/2020/IR0530_CIHR_granting_COVID-19_request_f.pdf" TargetMode="External"/><Relationship Id="rId57" Type="http://schemas.openxmlformats.org/officeDocument/2006/relationships/hyperlink" Target="https://www.pbo-dpb.gc.ca/web/default/files/Documents/Info%20Requests/2020/IR0530_CIHR_granting_COVID-19_request_e.pdf" TargetMode="External"/><Relationship Id="rId106" Type="http://schemas.openxmlformats.org/officeDocument/2006/relationships/hyperlink" Target="https://www.pbo-dpb.gc.ca/web/default/files/Documents/Info%20Requests/2020/IR0522_ISEDC_Granting_Councils_COVID19_request_f.pdf" TargetMode="External"/><Relationship Id="rId114" Type="http://schemas.openxmlformats.org/officeDocument/2006/relationships/hyperlink" Target="https://www.noscommunes.ca/DocumentViewer/fr/43-2/OGGO/document-pertinent/11193033" TargetMode="External"/><Relationship Id="rId119" Type="http://schemas.openxmlformats.org/officeDocument/2006/relationships/hyperlink" Target="https://www.noscommunes.ca/DocumentViewer/fr/43-2/OGGO/document-pertinent/11193033" TargetMode="External"/><Relationship Id="rId127" Type="http://schemas.openxmlformats.org/officeDocument/2006/relationships/hyperlink" Target="https://www.noscommunes.ca/DocumentViewer/fr/43-2/OGGO/document-pertinent/11193033" TargetMode="External"/><Relationship Id="rId10" Type="http://schemas.openxmlformats.org/officeDocument/2006/relationships/hyperlink" Target="https://www.pbo-dpb.gc.ca/web/default/files/Documents/Info%20Requests/2020/IR0519_TC_Fed-Bridge-corp_COVID-19_request_f.pdf" TargetMode="External"/><Relationship Id="rId31" Type="http://schemas.openxmlformats.org/officeDocument/2006/relationships/hyperlink" Target="https://www.pbo-dpb.gc.ca/web/default/files/Documents/Info%20Requests/2020/IR0456_reply_f.pdf" TargetMode="External"/><Relationship Id="rId44" Type="http://schemas.openxmlformats.org/officeDocument/2006/relationships/hyperlink" Target="https://www.pbo-dpb.gc.ca/web/default/files/Documents/Info%20Requests/2020/IR0530_CIHR_granting_COVID-19_request_f.pdf" TargetMode="External"/><Relationship Id="rId52" Type="http://schemas.openxmlformats.org/officeDocument/2006/relationships/hyperlink" Target="https://www.pbo-dpb.gc.ca/web/default/files/Documents/Info%20Requests/2020/IR0459_CBSA_COVID-19_Measures_request_f_signed.pdf" TargetMode="External"/><Relationship Id="rId60" Type="http://schemas.openxmlformats.org/officeDocument/2006/relationships/hyperlink" Target="https://www.pbo-dpb.gc.ca/web/default/files/Documents/Info%20Requests/2020/IR0524_ISED_COVID19_update_2_request_f.pdf" TargetMode="External"/><Relationship Id="rId65" Type="http://schemas.openxmlformats.org/officeDocument/2006/relationships/hyperlink" Target="https://www.pbo-dpb.gc.ca/web/default/files/Documents/Info%20Requests/2020/IR0523_ISC_COVID19_update_2_request_f.pdf" TargetMode="External"/><Relationship Id="rId73" Type="http://schemas.openxmlformats.org/officeDocument/2006/relationships/hyperlink" Target="https://www.pbo-dpb.gc.ca/web/default/files/Documents/Info%20Requests/2021/IR0581_IFC_COVID_Measures_request_f.pdf" TargetMode="External"/><Relationship Id="rId78" Type="http://schemas.openxmlformats.org/officeDocument/2006/relationships/hyperlink" Target="https://www.noscommunes.ca/DocumentViewer/fr/43-2/OGGO/document-pertinent/11193033" TargetMode="External"/><Relationship Id="rId81" Type="http://schemas.openxmlformats.org/officeDocument/2006/relationships/hyperlink" Target="https://www.noscommunes.ca/DocumentViewer/fr/43-2/OGGO/document-pertinent/11193033" TargetMode="External"/><Relationship Id="rId86" Type="http://schemas.openxmlformats.org/officeDocument/2006/relationships/hyperlink" Target="https://www.noscommunes.ca/DocumentViewer/fr/43-2/OGGO/document-pertinent/11193033" TargetMode="External"/><Relationship Id="rId94" Type="http://schemas.openxmlformats.org/officeDocument/2006/relationships/hyperlink" Target="https://www.noscommunes.ca/DocumentViewer/fr/43-2/OGGO/document-pertinent/11193033" TargetMode="External"/><Relationship Id="rId99" Type="http://schemas.openxmlformats.org/officeDocument/2006/relationships/hyperlink" Target="https://www.noscommunes.ca/DocumentViewer/fr/43-2/OGGO/document-pertinent/11193033" TargetMode="External"/><Relationship Id="rId101" Type="http://schemas.openxmlformats.org/officeDocument/2006/relationships/hyperlink" Target="https://www.noscommunes.ca/DocumentViewer/fr/43-2/OGGO/document-pertinent/11193033" TargetMode="External"/><Relationship Id="rId122" Type="http://schemas.openxmlformats.org/officeDocument/2006/relationships/hyperlink" Target="https://www.noscommunes.ca/DocumentViewer/fr/43-2/OGGO/document-pertinent/11193033" TargetMode="External"/><Relationship Id="rId130" Type="http://schemas.openxmlformats.org/officeDocument/2006/relationships/hyperlink" Target="https://www.noscommunes.ca/DocumentViewer/fr/43-2/OGGO/document-pertinent/11193033" TargetMode="External"/><Relationship Id="rId4" Type="http://schemas.openxmlformats.org/officeDocument/2006/relationships/hyperlink" Target="https://www.pbo-dpb.gc.ca/web/default/files/Documents/Info%20Requests/2020/IR0550_FIN_COVID-19_Support_request_f.pdf" TargetMode="External"/><Relationship Id="rId9" Type="http://schemas.openxmlformats.org/officeDocument/2006/relationships/hyperlink" Target="https://www.pbo-dpb.gc.ca/web/default/files/Documents/Info%20Requests/2020/IR0462_CIRNAC_COVID-19_Measures_request_f_signed.pdf" TargetMode="External"/><Relationship Id="rId13" Type="http://schemas.openxmlformats.org/officeDocument/2006/relationships/hyperlink" Target="https://www.pbo-dpb.gc.ca/web/default/files/Documents/Info%20Requests/2020/IR0470_ISC_COVID-19_Measures_request_f_signed.pdf" TargetMode="External"/><Relationship Id="rId18" Type="http://schemas.openxmlformats.org/officeDocument/2006/relationships/hyperlink" Target="https://www.pbo-dpb.gc.ca/web/default/files/Documents/Info%20Requests/2020/IR0549_ESDC_COVID-19_Measures_Q_request_f.pdf" TargetMode="External"/><Relationship Id="rId39" Type="http://schemas.openxmlformats.org/officeDocument/2006/relationships/hyperlink" Target="https://www.pbo-dpb.gc.ca/web/default/files/Documents/Info%20Requests/2020/IR0529_PSEP_COVID19_update_request_f.pdf" TargetMode="External"/><Relationship Id="rId109" Type="http://schemas.openxmlformats.org/officeDocument/2006/relationships/hyperlink" Target="https://www.noscommunes.ca/DocumentViewer/fr/43-2/OGGO/document-pertinent/11193033" TargetMode="External"/><Relationship Id="rId34" Type="http://schemas.openxmlformats.org/officeDocument/2006/relationships/hyperlink" Target="https://www.pbo-dpb.gc.ca/web/default/files/Documents/Info%20Requests/2020/IR0549_ESDC_COVID-19_Measures_Q_request_f.pdf" TargetMode="External"/><Relationship Id="rId50" Type="http://schemas.openxmlformats.org/officeDocument/2006/relationships/hyperlink" Target="https://www.pbo-dpb.gc.ca/web/default/files/Documents/Info%20Requests/2020/IR0468_HC_COVID-19_Measures_request_f_signed.pdf" TargetMode="External"/><Relationship Id="rId55" Type="http://schemas.openxmlformats.org/officeDocument/2006/relationships/hyperlink" Target="https://www.pbo-dpb.gc.ca/web/default/files/Documents/Info%20Requests/2020/IR0528_PHAC_COVID19_update_request_f.pdf" TargetMode="External"/><Relationship Id="rId76" Type="http://schemas.openxmlformats.org/officeDocument/2006/relationships/hyperlink" Target="https://www.pbo-dpb.gc.ca/web/default/files/Documents/Info%20Requests/2020/IR0528_PHAC_COVID19_update_request_f.pdf" TargetMode="External"/><Relationship Id="rId97" Type="http://schemas.openxmlformats.org/officeDocument/2006/relationships/hyperlink" Target="https://www.noscommunes.ca/DocumentViewer/fr/43-2/OGGO/document-pertinent/11193033" TargetMode="External"/><Relationship Id="rId104" Type="http://schemas.openxmlformats.org/officeDocument/2006/relationships/hyperlink" Target="https://www.noscommunes.ca/DocumentViewer/fr/43-2/OGGO/document-pertinent/11193033" TargetMode="External"/><Relationship Id="rId120" Type="http://schemas.openxmlformats.org/officeDocument/2006/relationships/hyperlink" Target="https://www.noscommunes.ca/DocumentViewer/fr/43-2/OGGO/document-pertinent/11193033" TargetMode="External"/><Relationship Id="rId125" Type="http://schemas.openxmlformats.org/officeDocument/2006/relationships/hyperlink" Target="https://www.pbo-dpb.gc.ca/web/default/files/Documents/Info%20Requests/2020/IR0523_ISC_COVID19_update_2_request_f.pdf" TargetMode="External"/><Relationship Id="rId7" Type="http://schemas.openxmlformats.org/officeDocument/2006/relationships/hyperlink" Target="https://www.pbo-dpb.gc.ca/web/default/files/Documents/Info%20Requests/2020/IR0550_FIN_COVID-19_Support_request_f.pdf" TargetMode="External"/><Relationship Id="rId71" Type="http://schemas.openxmlformats.org/officeDocument/2006/relationships/hyperlink" Target="https://www.pbo-dpb.gc.ca/web/default/files/Documents/Info%20Requests/2020/IR0551_HC_COVID-19_Measures_request_f.pdf" TargetMode="External"/><Relationship Id="rId92" Type="http://schemas.openxmlformats.org/officeDocument/2006/relationships/hyperlink" Target="https://www.noscommunes.ca/DocumentViewer/fr/43-2/OGGO/document-pertinent/11193033" TargetMode="External"/><Relationship Id="rId2" Type="http://schemas.openxmlformats.org/officeDocument/2006/relationships/hyperlink" Target="https://www.pbo-dpb.gc.ca/web/default/files/Documents/Info%20Requests/2020/IR0528_PHAC_COVID19_update_request_f.pdf" TargetMode="External"/><Relationship Id="rId29" Type="http://schemas.openxmlformats.org/officeDocument/2006/relationships/hyperlink" Target="https://www.pbo-dpb.gc.ca/web/default/files/Documents/Info%20Requests/2020/IR0468_HC_COVID-19_Measures_request_f_signed.pdf" TargetMode="External"/><Relationship Id="rId24" Type="http://schemas.openxmlformats.org/officeDocument/2006/relationships/hyperlink" Target="https://www.pbo-dpb.gc.ca/web/default/files/Documents/Info%20Requests/2020/IR0528_PHAC_COVID19_update_request_f.pdf" TargetMode="External"/><Relationship Id="rId40" Type="http://schemas.openxmlformats.org/officeDocument/2006/relationships/hyperlink" Target="https://www.pbo-dpb.gc.ca/web/default/files/Documents/Info%20Requests/2020/IR0523_ISC_COVID19_update_2_request_f.pdf" TargetMode="External"/><Relationship Id="rId45" Type="http://schemas.openxmlformats.org/officeDocument/2006/relationships/hyperlink" Target="https://www.pbo-dpb.gc.ca/web/default/files/Documents/Info%20Requests/2020/IR0471_ISED_COVID-19_Measures_request_f_signed.pdf" TargetMode="External"/><Relationship Id="rId66" Type="http://schemas.openxmlformats.org/officeDocument/2006/relationships/hyperlink" Target="https://www.pbo-dpb.gc.ca/web/default/files/Documents/Info%20Requests/2020/IR0528_PHAC_COVID19_update_request_f.pdf" TargetMode="External"/><Relationship Id="rId87" Type="http://schemas.openxmlformats.org/officeDocument/2006/relationships/hyperlink" Target="https://www.noscommunes.ca/DocumentViewer/fr/43-2/OGGO/document-pertinent/11193033" TargetMode="External"/><Relationship Id="rId110" Type="http://schemas.openxmlformats.org/officeDocument/2006/relationships/hyperlink" Target="https://www.noscommunes.ca/DocumentViewer/fr/43-2/OGGO/document-pertinent/11193033" TargetMode="External"/><Relationship Id="rId115" Type="http://schemas.openxmlformats.org/officeDocument/2006/relationships/hyperlink" Target="https://www.noscommunes.ca/DocumentViewer/fr/43-2/OGGO/document-pertinent/11193033" TargetMode="External"/><Relationship Id="rId131" Type="http://schemas.openxmlformats.org/officeDocument/2006/relationships/hyperlink" Target="https://www.noscommunes.ca/DocumentViewer/fr/43-2/OGGO/document-pertinent/11193033" TargetMode="External"/><Relationship Id="rId61" Type="http://schemas.openxmlformats.org/officeDocument/2006/relationships/hyperlink" Target="http://gazette.gc.ca/rp-pr/p2/2020/2020-05-27/html/sor-dors101-fra.html" TargetMode="External"/><Relationship Id="rId82" Type="http://schemas.openxmlformats.org/officeDocument/2006/relationships/hyperlink" Target="https://www.noscommunes.ca/DocumentViewer/fr/43-2/OGGO/document-pertinent/1119303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pbo-dpb.gc.ca/web/default/files/Documents/Info%20Requests/2021/IR0582_Justice_COVID_Measures_request_f.pdf" TargetMode="External"/><Relationship Id="rId21" Type="http://schemas.openxmlformats.org/officeDocument/2006/relationships/hyperlink" Target="https://www.pbo-dpb.gc.ca/web/default/files/Documents/Info%20Requests/2020/IR0561_SSC_COVID-19_Measures_request_f.pdf" TargetMode="External"/><Relationship Id="rId42" Type="http://schemas.openxmlformats.org/officeDocument/2006/relationships/hyperlink" Target="https://www.pbo-dpb.gc.ca/web/default/files/Documents/Info%20Requests/2020/IR0469_Heritage_COVID-19_Measures_request_e_signed.pdf" TargetMode="External"/><Relationship Id="rId63" Type="http://schemas.openxmlformats.org/officeDocument/2006/relationships/hyperlink" Target="https://www.pbo-dpb.gc.ca/web/default/files/Documents/Info%20Requests/2020/IR0518_ESDC_COVIID19_update_request_f.pdf" TargetMode="External"/><Relationship Id="rId84" Type="http://schemas.openxmlformats.org/officeDocument/2006/relationships/hyperlink" Target="https://www.pbo-dpb.gc.ca/web/default/files/Documents/Info%20Requests/2020/IR0549_ESDC_COVID-19_Measures_Q_request_f.pdf" TargetMode="External"/><Relationship Id="rId138" Type="http://schemas.openxmlformats.org/officeDocument/2006/relationships/hyperlink" Target="https://www.noscommunes.ca/DocumentViewer/fr/43-2/OGGO/document-pertinent/11193033" TargetMode="External"/><Relationship Id="rId159" Type="http://schemas.openxmlformats.org/officeDocument/2006/relationships/hyperlink" Target="https://www.noscommunes.ca/DocumentViewer/fr/43-2/OGGO/document-pertinent/11193033" TargetMode="External"/><Relationship Id="rId170" Type="http://schemas.openxmlformats.org/officeDocument/2006/relationships/hyperlink" Target="https://www.noscommunes.ca/DocumentViewer/fr/43-2/OGGO/document-pertinent/11193033" TargetMode="External"/><Relationship Id="rId191" Type="http://schemas.openxmlformats.org/officeDocument/2006/relationships/hyperlink" Target="https://www.noscommunes.ca/DocumentViewer/fr/43-2/OGGO/document-pertinent/11193033" TargetMode="External"/><Relationship Id="rId196" Type="http://schemas.openxmlformats.org/officeDocument/2006/relationships/hyperlink" Target="https://www.noscommunes.ca/DocumentViewer/fr/43-2/OGGO/document-pertinent/11193033" TargetMode="External"/><Relationship Id="rId200" Type="http://schemas.openxmlformats.org/officeDocument/2006/relationships/hyperlink" Target="https://www.noscommunes.ca/Committees/fr/FINA/StudyActivity?studyActivityId=11128058" TargetMode="External"/><Relationship Id="rId16" Type="http://schemas.openxmlformats.org/officeDocument/2006/relationships/hyperlink" Target="https://www.pbo-dpb.gc.ca/web/default/files/Documents/Info%20Requests/2020/IR0547_CRA_RRIF_request_f.pdf" TargetMode="External"/><Relationship Id="rId107" Type="http://schemas.openxmlformats.org/officeDocument/2006/relationships/hyperlink" Target="https://www.pbo-dpb.gc.ca/web/default/files/Documents/Info%20Requests/2020/IR0519_TC_Fed-Bridge-corp_COVID-19_request_e.pdf" TargetMode="External"/><Relationship Id="rId11" Type="http://schemas.openxmlformats.org/officeDocument/2006/relationships/hyperlink" Target="https://www.pbo-dpb.gc.ca/web/default/files/Documents/Info%20Requests/2020/IR0464_CRTC_COVID-19_Measures_request_f_signed.pdf" TargetMode="External"/><Relationship Id="rId32" Type="http://schemas.openxmlformats.org/officeDocument/2006/relationships/hyperlink" Target="https://www.pbo-dpb.gc.ca/web/default/files/Documents/Info%20Requests/2020/IR0516_CMHC_COVID19_update_2_request_f.pdf" TargetMode="External"/><Relationship Id="rId37" Type="http://schemas.openxmlformats.org/officeDocument/2006/relationships/hyperlink" Target="https://www.pbo-dpb.gc.ca/web/default/files/Documents/Info%20Requests/2020/IR0550_FIN_COVID-19_Support_request_f.pdf" TargetMode="External"/><Relationship Id="rId53" Type="http://schemas.openxmlformats.org/officeDocument/2006/relationships/hyperlink" Target="https://www.pbo-dpb.gc.ca/web/default/files/Documents/Info%20Requests/2020/IR0482_FOC_COVID-19_ltr_f.pdf" TargetMode="External"/><Relationship Id="rId58" Type="http://schemas.openxmlformats.org/officeDocument/2006/relationships/hyperlink" Target="https://www.pbo-dpb.gc.ca/web/default/files/Documents/Info%20Requests/2020/IR0547_CRA_RRIF_request_f.pdf" TargetMode="External"/><Relationship Id="rId74" Type="http://schemas.openxmlformats.org/officeDocument/2006/relationships/hyperlink" Target="https://www.pbo-dpb.gc.ca/web/default/files/Documents/Info%20Requests/2020/IR0526_NRCCan_COVID19_update_2_request_e.pdf" TargetMode="External"/><Relationship Id="rId79" Type="http://schemas.openxmlformats.org/officeDocument/2006/relationships/hyperlink" Target="https://www.pbo-dpb.gc.ca/web/default/files/Documents/Info%20Requests/2020/IR0549_ESDC_COVID-19_Measures_Q_request_f.pdf" TargetMode="External"/><Relationship Id="rId102" Type="http://schemas.openxmlformats.org/officeDocument/2006/relationships/hyperlink" Target="https://www.pbo-dpb.gc.ca/web/default/files/Documents/Info%20Requests/2020/IR0524_ISED_COVID19_update_2_request_f.pdf" TargetMode="External"/><Relationship Id="rId123" Type="http://schemas.openxmlformats.org/officeDocument/2006/relationships/hyperlink" Target="https://www.pbo-dpb.gc.ca/web/default/files/Documents/Info%20Requests/2020/IR0524_ISED_COVID19_update_2_request_f.pdf" TargetMode="External"/><Relationship Id="rId128" Type="http://schemas.openxmlformats.org/officeDocument/2006/relationships/hyperlink" Target="https://www.noscommunes.ca/DocumentViewer/fr/43-2/OGGO/document-pertinent/11193033" TargetMode="External"/><Relationship Id="rId144" Type="http://schemas.openxmlformats.org/officeDocument/2006/relationships/hyperlink" Target="https://www.noscommunes.ca/DocumentViewer/fr/43-2/OGGO/document-pertinent/11193033" TargetMode="External"/><Relationship Id="rId149" Type="http://schemas.openxmlformats.org/officeDocument/2006/relationships/hyperlink" Target="https://www.noscommunes.ca/DocumentViewer/fr/43-2/OGGO/document-pertinent/11193033" TargetMode="External"/><Relationship Id="rId5" Type="http://schemas.openxmlformats.org/officeDocument/2006/relationships/hyperlink" Target="https://www.canada.ca/fr/agence-revenu/services/prestations/prestation-maladie-relance-economique/pcmre-statistiques.html" TargetMode="External"/><Relationship Id="rId90" Type="http://schemas.openxmlformats.org/officeDocument/2006/relationships/hyperlink" Target="https://www.pbo-dpb.gc.ca/web/default/files/Documents/Info%20Requests/2020/IR0560_VA_COVID-19_Measures_request_f.pdf" TargetMode="External"/><Relationship Id="rId95" Type="http://schemas.openxmlformats.org/officeDocument/2006/relationships/hyperlink" Target="https://www.pbo-dpb.gc.ca/web/default/files/Documents/Info%20Requests/2020/IR0475_WAGE_COVID-19_Measures_request_f_signed.pdf" TargetMode="External"/><Relationship Id="rId160" Type="http://schemas.openxmlformats.org/officeDocument/2006/relationships/hyperlink" Target="https://www.noscommunes.ca/DocumentViewer/fr/43-2/OGGO/document-pertinent/11193033" TargetMode="External"/><Relationship Id="rId165" Type="http://schemas.openxmlformats.org/officeDocument/2006/relationships/hyperlink" Target="https://www.noscommunes.ca/DocumentViewer/fr/43-2/OGGO/document-pertinent/11193033" TargetMode="External"/><Relationship Id="rId181" Type="http://schemas.openxmlformats.org/officeDocument/2006/relationships/hyperlink" Target="https://www.noscommunes.ca/DocumentViewer/fr/43-2/OGGO/document-pertinent/11193033" TargetMode="External"/><Relationship Id="rId186" Type="http://schemas.openxmlformats.org/officeDocument/2006/relationships/hyperlink" Target="https://www.noscommunes.ca/DocumentViewer/fr/43-2/OGGO/document-pertinent/11193033" TargetMode="External"/><Relationship Id="rId22" Type="http://schemas.openxmlformats.org/officeDocument/2006/relationships/hyperlink" Target="https://www.canada.ca/fr/agence-revenu/services/prestations/prestation-urgence-etudiants/pcue-statistiques.html" TargetMode="External"/><Relationship Id="rId27" Type="http://schemas.openxmlformats.org/officeDocument/2006/relationships/hyperlink" Target="https://www.pbo-dpb.gc.ca/web/default/files/Documents/Info%20Requests/2020/IR0523_ISC_COVID19_update_2_request_e.pdf" TargetMode="External"/><Relationship Id="rId43" Type="http://schemas.openxmlformats.org/officeDocument/2006/relationships/hyperlink" Target="https://www.pbo-dpb.gc.ca/web/default/files/Documents/Info%20Requests/2020/IR0469_Heritage_COVID-19_Measures_request_f_signed.pdf" TargetMode="External"/><Relationship Id="rId48" Type="http://schemas.openxmlformats.org/officeDocument/2006/relationships/hyperlink" Target="https://www.pbo-dpb.gc.ca/web/default/files/Documents/Info%20Requests/2020/IR0456_reply_f.pdf" TargetMode="External"/><Relationship Id="rId64" Type="http://schemas.openxmlformats.org/officeDocument/2006/relationships/hyperlink" Target="https://www.pbo-dpb.gc.ca/web/default/files/Documents/Info%20Requests/2020/IR0549_ESDC_COVID-19_Measures_Q_request_f.pdf" TargetMode="External"/><Relationship Id="rId69" Type="http://schemas.openxmlformats.org/officeDocument/2006/relationships/hyperlink" Target="https://www.pbo-dpb.gc.ca/web/default/files/Documents/Info%20Requests/2020/IR0530_CIHR_granting_COVID-19_request_f.pdf" TargetMode="External"/><Relationship Id="rId113" Type="http://schemas.openxmlformats.org/officeDocument/2006/relationships/hyperlink" Target="https://www.pbo-dpb.gc.ca/web/default/files/Documents/Info%20Requests/2021/IR0583_NCC_COVID_Measures_request_f.pdf" TargetMode="External"/><Relationship Id="rId118" Type="http://schemas.openxmlformats.org/officeDocument/2006/relationships/hyperlink" Target="https://www.pbo-dpb.gc.ca/web/default/files/Documents/Info%20Requests/2021/IR0585_VIA_COVID_Funding_request_f.pdf" TargetMode="External"/><Relationship Id="rId134" Type="http://schemas.openxmlformats.org/officeDocument/2006/relationships/hyperlink" Target="https://www.noscommunes.ca/DocumentViewer/fr/43-2/OGGO/document-pertinent/11193033" TargetMode="External"/><Relationship Id="rId139" Type="http://schemas.openxmlformats.org/officeDocument/2006/relationships/hyperlink" Target="https://www.noscommunes.ca/DocumentViewer/fr/43-2/OGGO/document-pertinent/11193033" TargetMode="External"/><Relationship Id="rId80" Type="http://schemas.openxmlformats.org/officeDocument/2006/relationships/hyperlink" Target="https://www.pbo-dpb.gc.ca/web/default/files/Documents/Info%20Requests/2020/IR0557_ECCC_COVID-19_Measures_request_f.pdf" TargetMode="External"/><Relationship Id="rId85" Type="http://schemas.openxmlformats.org/officeDocument/2006/relationships/hyperlink" Target="https://www.pbo-dpb.gc.ca/web/default/files/Documents/Info%20Requests/2020/IR0523_ISC_COVID19_update_2_request_e.pdf" TargetMode="External"/><Relationship Id="rId150" Type="http://schemas.openxmlformats.org/officeDocument/2006/relationships/hyperlink" Target="https://www.noscommunes.ca/DocumentViewer/fr/43-2/OGGO/document-pertinent/11193033" TargetMode="External"/><Relationship Id="rId155" Type="http://schemas.openxmlformats.org/officeDocument/2006/relationships/hyperlink" Target="https://www.noscommunes.ca/DocumentViewer/fr/43-2/OGGO/document-pertinent/11193033" TargetMode="External"/><Relationship Id="rId171" Type="http://schemas.openxmlformats.org/officeDocument/2006/relationships/hyperlink" Target="https://www.noscommunes.ca/DocumentViewer/fr/43-2/OGGO/document-pertinent/11193033" TargetMode="External"/><Relationship Id="rId176" Type="http://schemas.openxmlformats.org/officeDocument/2006/relationships/hyperlink" Target="https://www.noscommunes.ca/DocumentViewer/fr/43-2/OGGO/document-pertinent/11193033" TargetMode="External"/><Relationship Id="rId192" Type="http://schemas.openxmlformats.org/officeDocument/2006/relationships/hyperlink" Target="https://www.noscommunes.ca/DocumentViewer/fr/43-2/OGGO/document-pertinent/11193033" TargetMode="External"/><Relationship Id="rId197" Type="http://schemas.openxmlformats.org/officeDocument/2006/relationships/hyperlink" Target="https://www.noscommunes.ca/DocumentViewer/fr/43-2/OGGO/document-pertinent/11193033" TargetMode="External"/><Relationship Id="rId201" Type="http://schemas.openxmlformats.org/officeDocument/2006/relationships/printerSettings" Target="../printerSettings/printerSettings2.bin"/><Relationship Id="rId12" Type="http://schemas.openxmlformats.org/officeDocument/2006/relationships/hyperlink" Target="https://www.pbo-dpb.gc.ca/web/default/files/Documents/Info%20Requests/2020/IR0558_Heritage_COVID-19_Support_request_f.pdf" TargetMode="External"/><Relationship Id="rId17" Type="http://schemas.openxmlformats.org/officeDocument/2006/relationships/hyperlink" Target="https://www.pbo-dpb.gc.ca/web/default/files/Documents/Info%20Requests/2020/IR0550_FIN_COVID-19_Support_request_f.pdf" TargetMode="External"/><Relationship Id="rId33" Type="http://schemas.openxmlformats.org/officeDocument/2006/relationships/hyperlink" Target="https://www.pbo-dpb.gc.ca/web/default/files/Documents/Info%20Requests/2020/IR0521_Finance_Canada_COVID19_update_request_f.pdf" TargetMode="External"/><Relationship Id="rId38" Type="http://schemas.openxmlformats.org/officeDocument/2006/relationships/hyperlink" Target="https://www.pbo-dpb.gc.ca/web/default/files/Documents/Info%20Requests/2020/IR0551_HC_COVID-19_Measures_request_f.pdf" TargetMode="External"/><Relationship Id="rId59" Type="http://schemas.openxmlformats.org/officeDocument/2006/relationships/hyperlink" Target="https://www.pbo-dpb.gc.ca/web/default/files/Documents/Info%20Requests/2020/IR0561_SSC_COVID-19_Measures_request_f.pdf" TargetMode="External"/><Relationship Id="rId103" Type="http://schemas.openxmlformats.org/officeDocument/2006/relationships/hyperlink" Target="https://www.pbo-dpb.gc.ca/web/default/files/Documents/Info%20Requests/2020/IR0492_ECC_COVID-19_Measures_request_f.pdf" TargetMode="External"/><Relationship Id="rId108" Type="http://schemas.openxmlformats.org/officeDocument/2006/relationships/hyperlink" Target="https://www.pbo-dpb.gc.ca/web/default/files/Documents/Info%20Requests/2021/IR0579_ESDC_COVID_Temp-EI_request_f.pdf" TargetMode="External"/><Relationship Id="rId124" Type="http://schemas.openxmlformats.org/officeDocument/2006/relationships/hyperlink" Target="https://www.pbo-dpb.gc.ca/web/default/files/Documents/Info%20Requests/2020/IR0523_ISC_COVID19_update_2_request_f.pdf" TargetMode="External"/><Relationship Id="rId129" Type="http://schemas.openxmlformats.org/officeDocument/2006/relationships/hyperlink" Target="https://www.noscommunes.ca/DocumentViewer/fr/43-2/OGGO/document-pertinent/11193033" TargetMode="External"/><Relationship Id="rId54" Type="http://schemas.openxmlformats.org/officeDocument/2006/relationships/hyperlink" Target="https://www.pbo-dpb.gc.ca/web/default/files/Documents/Info%20Requests/2020/IR0522_ISEDC_Granting_Councils_COVID19_request_e.pdf" TargetMode="External"/><Relationship Id="rId70" Type="http://schemas.openxmlformats.org/officeDocument/2006/relationships/hyperlink" Target="https://www.pbo-dpb.gc.ca/web/default/files/Documents/Info%20Requests/2020/IR0523_ISC_COVID19_update_2_request_e.pdf" TargetMode="External"/><Relationship Id="rId75" Type="http://schemas.openxmlformats.org/officeDocument/2006/relationships/hyperlink" Target="https://www.pbo-dpb.gc.ca/web/default/files/Documents/Info%20Requests/2020/IR0526_NRCCan_COVID19_update_2_request_f.pdf" TargetMode="External"/><Relationship Id="rId91" Type="http://schemas.openxmlformats.org/officeDocument/2006/relationships/hyperlink" Target="https://www.pbo-dpb.gc.ca/web/default/files/Documents/Info%20Requests/2020/IR0456_AAFC_COVID-19_Allocations_request_e_signed.pdf" TargetMode="External"/><Relationship Id="rId96" Type="http://schemas.openxmlformats.org/officeDocument/2006/relationships/hyperlink" Target="https://www.pbo-dpb.gc.ca/web/default/files/Documents/Info%20Requests/2020/IR0523_ISC_COVID19_update_2_request_f.pdf" TargetMode="External"/><Relationship Id="rId140" Type="http://schemas.openxmlformats.org/officeDocument/2006/relationships/hyperlink" Target="https://www.noscommunes.ca/DocumentViewer/fr/43-2/OGGO/document-pertinent/11193033" TargetMode="External"/><Relationship Id="rId145" Type="http://schemas.openxmlformats.org/officeDocument/2006/relationships/hyperlink" Target="https://www.noscommunes.ca/DocumentViewer/fr/43-2/OGGO/document-pertinent/11193033" TargetMode="External"/><Relationship Id="rId161" Type="http://schemas.openxmlformats.org/officeDocument/2006/relationships/hyperlink" Target="https://www.noscommunes.ca/DocumentViewer/fr/43-2/OGGO/document-pertinent/11193033" TargetMode="External"/><Relationship Id="rId166" Type="http://schemas.openxmlformats.org/officeDocument/2006/relationships/hyperlink" Target="https://www.noscommunes.ca/DocumentViewer/fr/43-2/OGGO/document-pertinent/11193033" TargetMode="External"/><Relationship Id="rId182" Type="http://schemas.openxmlformats.org/officeDocument/2006/relationships/hyperlink" Target="https://www.noscommunes.ca/DocumentViewer/fr/43-2/OGGO/document-pertinent/11193033" TargetMode="External"/><Relationship Id="rId187" Type="http://schemas.openxmlformats.org/officeDocument/2006/relationships/hyperlink" Target="https://www.noscommunes.ca/DocumentViewer/fr/43-2/OGGO/document-pertinent/11193033" TargetMode="External"/><Relationship Id="rId1" Type="http://schemas.openxmlformats.org/officeDocument/2006/relationships/hyperlink" Target="https://www.canada.ca/fr/agence-revenu/services/subvention/subvention-salariale-urgence/ssuc-statistiques.html" TargetMode="External"/><Relationship Id="rId6" Type="http://schemas.openxmlformats.org/officeDocument/2006/relationships/hyperlink" Target="https://www.canada.ca/fr/agence-revenu/services/prestations/prestation-relance-economique-proches-aidants/pcrepa-statistiques.html" TargetMode="External"/><Relationship Id="rId23" Type="http://schemas.openxmlformats.org/officeDocument/2006/relationships/hyperlink" Target="https://www.pbo-dpb.gc.ca/web/default/files/Documents/Info%20Requests/2020/IR0480_CMHC_COVID-19_ltr_e.pdf" TargetMode="External"/><Relationship Id="rId28" Type="http://schemas.openxmlformats.org/officeDocument/2006/relationships/hyperlink" Target="https://www.pbo-dpb.gc.ca/web/default/files/Documents/Info%20Requests/2020/IR0523_ISC_COVID19_update_2_request_f.pdf" TargetMode="External"/><Relationship Id="rId49" Type="http://schemas.openxmlformats.org/officeDocument/2006/relationships/hyperlink" Target="https://www.pbo-dpb.gc.ca/web/default/files/Documents/Info%20Requests/2020/IR0539_ISED_COVID-19_Funding_request_e.pdf" TargetMode="External"/><Relationship Id="rId114" Type="http://schemas.openxmlformats.org/officeDocument/2006/relationships/hyperlink" Target="https://www.pbo-dpb.gc.ca/web/default/files/Documents/Info%20Requests/2021/IR0580_ESDC_Fam_COVID_Benefits_request_f.pdf" TargetMode="External"/><Relationship Id="rId119" Type="http://schemas.openxmlformats.org/officeDocument/2006/relationships/hyperlink" Target="https://www.pbo-dpb.gc.ca/web/default/files/Documents/Info%20Requests/2020/IR0559_PSPC_COVID-19_Safety_request_f.pdf" TargetMode="External"/><Relationship Id="rId44" Type="http://schemas.openxmlformats.org/officeDocument/2006/relationships/hyperlink" Target="https://www.pbo-dpb.gc.ca/web/default/files/Documents/Info%20Requests/2020/IR0494_FIN_COVID-19_Measures_request_e.pdf" TargetMode="External"/><Relationship Id="rId60" Type="http://schemas.openxmlformats.org/officeDocument/2006/relationships/hyperlink" Target="https://www.pbo-dpb.gc.ca/web/default/files/Documents/Info%20Requests/2020/IR0547_CRA_RRIF_request_f.pdf" TargetMode="External"/><Relationship Id="rId65" Type="http://schemas.openxmlformats.org/officeDocument/2006/relationships/hyperlink" Target="https://www.pbo-dpb.gc.ca/web/default/files/Documents/Info%20Requests/2020/IR0456_AAFC_COVID-19_Allocations_request_e_signed.pdf" TargetMode="External"/><Relationship Id="rId81" Type="http://schemas.openxmlformats.org/officeDocument/2006/relationships/hyperlink" Target="https://www.pbo-dpb.gc.ca/web/default/files/Documents/Info%20Requests/2020/IR0558_Heritage_COVID-19_Support_request_f.pdf" TargetMode="External"/><Relationship Id="rId86" Type="http://schemas.openxmlformats.org/officeDocument/2006/relationships/hyperlink" Target="https://www.pbo-dpb.gc.ca/web/default/files/Documents/Info%20Requests/2020/IR0523_ISC_COVID19_update_2_request_f.pdf" TargetMode="External"/><Relationship Id="rId130" Type="http://schemas.openxmlformats.org/officeDocument/2006/relationships/hyperlink" Target="https://www.noscommunes.ca/DocumentViewer/fr/43-2/OGGO/document-pertinent/11193033" TargetMode="External"/><Relationship Id="rId135" Type="http://schemas.openxmlformats.org/officeDocument/2006/relationships/hyperlink" Target="https://www.noscommunes.ca/DocumentViewer/fr/43-2/OGGO/document-pertinent/11193033" TargetMode="External"/><Relationship Id="rId151" Type="http://schemas.openxmlformats.org/officeDocument/2006/relationships/hyperlink" Target="https://www.noscommunes.ca/DocumentViewer/fr/43-2/OGGO/document-pertinent/11193033" TargetMode="External"/><Relationship Id="rId156" Type="http://schemas.openxmlformats.org/officeDocument/2006/relationships/hyperlink" Target="https://www.noscommunes.ca/DocumentViewer/fr/43-2/OGGO/document-pertinent/11193033" TargetMode="External"/><Relationship Id="rId177" Type="http://schemas.openxmlformats.org/officeDocument/2006/relationships/hyperlink" Target="https://www.noscommunes.ca/DocumentViewer/fr/43-2/OGGO/document-pertinent/11193033" TargetMode="External"/><Relationship Id="rId198" Type="http://schemas.openxmlformats.org/officeDocument/2006/relationships/hyperlink" Target="https://www.noscommunes.ca/DocumentViewer/fr/43-2/OGGO/document-pertinent/11193033" TargetMode="External"/><Relationship Id="rId172" Type="http://schemas.openxmlformats.org/officeDocument/2006/relationships/hyperlink" Target="https://www.noscommunes.ca/DocumentViewer/fr/43-2/OGGO/document-pertinent/11193033" TargetMode="External"/><Relationship Id="rId193" Type="http://schemas.openxmlformats.org/officeDocument/2006/relationships/hyperlink" Target="https://www.noscommunes.ca/DocumentViewer/fr/43-2/OGGO/document-pertinent/11193033" TargetMode="External"/><Relationship Id="rId13" Type="http://schemas.openxmlformats.org/officeDocument/2006/relationships/hyperlink" Target="https://www.pbo-dpb.gc.ca/web/default/files/Documents/Info%20Requests/2020/IR0474_TC_COVID-19_Measures_request_f_signed.pdf" TargetMode="External"/><Relationship Id="rId18" Type="http://schemas.openxmlformats.org/officeDocument/2006/relationships/hyperlink" Target="https://www.pbo-dpb.gc.ca/web/default/files/Documents/Info%20Requests/2020/IR0517_CRA_COVID19_followup_request_e.pdf" TargetMode="External"/><Relationship Id="rId39" Type="http://schemas.openxmlformats.org/officeDocument/2006/relationships/hyperlink" Target="https://www.pbo-dpb.gc.ca/web/default/files/Documents/Info%20Requests/2020/IR0549_ESDC_COVID-19_Measures_Q_request_f.pdf" TargetMode="External"/><Relationship Id="rId109" Type="http://schemas.openxmlformats.org/officeDocument/2006/relationships/hyperlink" Target="https://www.pbo-dpb.gc.ca/web/default/files/Documents/Info%20Requests/2020/IR0524_ISED_COVID19_update_2_request_f.pdf" TargetMode="External"/><Relationship Id="rId34" Type="http://schemas.openxmlformats.org/officeDocument/2006/relationships/hyperlink" Target="https://www.pbo-dpb.gc.ca/web/default/files/Documents/Info%20Requests/2020/IR0540_PCO_COVID-19_Communications_request_e.pdf" TargetMode="External"/><Relationship Id="rId50" Type="http://schemas.openxmlformats.org/officeDocument/2006/relationships/hyperlink" Target="https://www.pbo-dpb.gc.ca/web/default/files/Documents/Info%20Requests/2020/IR0539_ISED_COVID-19_Funding_request_f.pdf" TargetMode="External"/><Relationship Id="rId55" Type="http://schemas.openxmlformats.org/officeDocument/2006/relationships/hyperlink" Target="https://www.pbo-dpb.gc.ca/web/default/files/Documents/Info%20Requests/2020/IR0522_ISEDC_Granting_Councils_COVID19_request_f.pdf" TargetMode="External"/><Relationship Id="rId76" Type="http://schemas.openxmlformats.org/officeDocument/2006/relationships/hyperlink" Target="https://www.pbo-dpb.gc.ca/web/default/files/Documents/Info%20Requests/2020/IR0522_ISEDC_Granting_Councils_COVID19_request_f.pdf" TargetMode="External"/><Relationship Id="rId97" Type="http://schemas.openxmlformats.org/officeDocument/2006/relationships/hyperlink" Target="https://www.pbo-dpb.gc.ca/web/default/files/Documents/Info%20Requests/2020/IR0523_ISC_COVID19_update_2_request_f.pdf" TargetMode="External"/><Relationship Id="rId104" Type="http://schemas.openxmlformats.org/officeDocument/2006/relationships/hyperlink" Target="http://www.gazette.gc.ca/rp-pr/p2/2020/2020-10-14/html/sor-dors208-fra.html" TargetMode="External"/><Relationship Id="rId120" Type="http://schemas.openxmlformats.org/officeDocument/2006/relationships/hyperlink" Target="https://www.pbo-dpb.gc.ca/web/default/files/Documents/Info%20Requests/2020/IR0523_ISC_COVID19_update_2_request_f.pdf" TargetMode="External"/><Relationship Id="rId125" Type="http://schemas.openxmlformats.org/officeDocument/2006/relationships/hyperlink" Target="https://www.noscommunes.ca/DocumentViewer/fr/43-2/OGGO/document-pertinent/11193033" TargetMode="External"/><Relationship Id="rId141" Type="http://schemas.openxmlformats.org/officeDocument/2006/relationships/hyperlink" Target="https://www.noscommunes.ca/DocumentViewer/fr/43-2/OGGO/document-pertinent/11193033" TargetMode="External"/><Relationship Id="rId146" Type="http://schemas.openxmlformats.org/officeDocument/2006/relationships/hyperlink" Target="https://www.noscommunes.ca/DocumentViewer/fr/43-2/OGGO/document-pertinent/11193033" TargetMode="External"/><Relationship Id="rId167" Type="http://schemas.openxmlformats.org/officeDocument/2006/relationships/hyperlink" Target="https://www.noscommunes.ca/DocumentViewer/fr/43-2/OGGO/document-pertinent/11193033" TargetMode="External"/><Relationship Id="rId188" Type="http://schemas.openxmlformats.org/officeDocument/2006/relationships/hyperlink" Target="https://www.noscommunes.ca/DocumentViewer/fr/43-2/OGGO/document-pertinent/11193033" TargetMode="External"/><Relationship Id="rId7" Type="http://schemas.openxmlformats.org/officeDocument/2006/relationships/hyperlink" Target="https://www.pbo-dpb.gc.ca/web/default/files/Documents/Info%20Requests/2020/IR0465_EDC_COVID-19%20Measures_request_f_signed.pdf" TargetMode="External"/><Relationship Id="rId71" Type="http://schemas.openxmlformats.org/officeDocument/2006/relationships/hyperlink" Target="https://www.pbo-dpb.gc.ca/web/default/files/Documents/Info%20Requests/2020/IR0523_ISC_COVID19_update_2_request_f.pdf" TargetMode="External"/><Relationship Id="rId92" Type="http://schemas.openxmlformats.org/officeDocument/2006/relationships/hyperlink" Target="https://www.pbo-dpb.gc.ca/web/default/files/Documents/Info%20Requests/2020/IR0456_reply_f.pdf" TargetMode="External"/><Relationship Id="rId162" Type="http://schemas.openxmlformats.org/officeDocument/2006/relationships/hyperlink" Target="https://www.noscommunes.ca/DocumentViewer/fr/43-2/OGGO/document-pertinent/11193033" TargetMode="External"/><Relationship Id="rId183" Type="http://schemas.openxmlformats.org/officeDocument/2006/relationships/hyperlink" Target="https://www.noscommunes.ca/DocumentViewer/fr/43-2/OGGO/document-pertinent/11193033" TargetMode="External"/><Relationship Id="rId2" Type="http://schemas.openxmlformats.org/officeDocument/2006/relationships/hyperlink" Target="https://www.pbo-dpb.gc.ca/web/default/files/Documents/Info%20Requests/2020/IR0481_CRA_COVID-19_ltr_f.pdf" TargetMode="External"/><Relationship Id="rId29" Type="http://schemas.openxmlformats.org/officeDocument/2006/relationships/hyperlink" Target="https://www.pbo-dpb.gc.ca/web/default/files/Documents/Info%20Requests/2020/IR0524_ISED_COVID19_update_2_request_e.pdf" TargetMode="External"/><Relationship Id="rId24" Type="http://schemas.openxmlformats.org/officeDocument/2006/relationships/hyperlink" Target="https://www.pbo-dpb.gc.ca/web/default/files/Documents/Info%20Requests/2020/IR0480_CMHC_COVID-19_ltr_f.pdf" TargetMode="External"/><Relationship Id="rId40" Type="http://schemas.openxmlformats.org/officeDocument/2006/relationships/hyperlink" Target="https://www.pbo-dpb.gc.ca/web/default/files/Documents/Info%20Requests/2020/IR0461_CFIA_COVID-19_Allocations_request_f_signed.pdf" TargetMode="External"/><Relationship Id="rId45" Type="http://schemas.openxmlformats.org/officeDocument/2006/relationships/hyperlink" Target="https://www.pbo-dpb.gc.ca/web/default/files/Documents/Info%20Requests/2020/IR0494_FIN_COVID-19_Measures_request_f.pdf" TargetMode="External"/><Relationship Id="rId66" Type="http://schemas.openxmlformats.org/officeDocument/2006/relationships/hyperlink" Target="https://www.pbo-dpb.gc.ca/web/default/files/Documents/Info%20Requests/2020/IR0456_reply_f.pdf" TargetMode="External"/><Relationship Id="rId87" Type="http://schemas.openxmlformats.org/officeDocument/2006/relationships/hyperlink" Target="https://www.pbo-dpb.gc.ca/web/default/files/Documents/Info%20Requests/2020/IR0468_HC_COVID-19_Measures_request_e_signed.pdf" TargetMode="External"/><Relationship Id="rId110" Type="http://schemas.openxmlformats.org/officeDocument/2006/relationships/hyperlink" Target="https://www.pbo-dpb.gc.ca/web/default/files/Documents/Info%20Requests/2020/IR0550_FIN_COVID-19_Support_request_f.pdf" TargetMode="External"/><Relationship Id="rId115" Type="http://schemas.openxmlformats.org/officeDocument/2006/relationships/hyperlink" Target="https://www.pbo-dpb.gc.ca/web/default/files/Documents/Info%20Requests/2021/IR0580_ESDC_Fam_COVID_Benefits_request_f.pdf" TargetMode="External"/><Relationship Id="rId131" Type="http://schemas.openxmlformats.org/officeDocument/2006/relationships/hyperlink" Target="https://www.noscommunes.ca/DocumentViewer/fr/43-2/OGGO/document-pertinent/11193033" TargetMode="External"/><Relationship Id="rId136" Type="http://schemas.openxmlformats.org/officeDocument/2006/relationships/hyperlink" Target="https://www.noscommunes.ca/DocumentViewer/fr/43-2/OGGO/document-pertinent/11193033" TargetMode="External"/><Relationship Id="rId157" Type="http://schemas.openxmlformats.org/officeDocument/2006/relationships/hyperlink" Target="https://www.noscommunes.ca/DocumentViewer/fr/43-2/OGGO/document-pertinent/11193033" TargetMode="External"/><Relationship Id="rId178" Type="http://schemas.openxmlformats.org/officeDocument/2006/relationships/hyperlink" Target="https://www.noscommunes.ca/DocumentViewer/fr/43-2/OGGO/document-pertinent/11193033" TargetMode="External"/><Relationship Id="rId61" Type="http://schemas.openxmlformats.org/officeDocument/2006/relationships/hyperlink" Target="https://www.pbo-dpb.gc.ca/web/default/files/Documents/Info%20Requests/2020/IR0517_CRA_COVID19_followup_request_f.pdf" TargetMode="External"/><Relationship Id="rId82" Type="http://schemas.openxmlformats.org/officeDocument/2006/relationships/hyperlink" Target="https://www.pbo-dpb.gc.ca/web/default/files/Documents/Info%20Requests/2020/IR0561_SSC_COVID-19_Measures_request_f.pdf" TargetMode="External"/><Relationship Id="rId152" Type="http://schemas.openxmlformats.org/officeDocument/2006/relationships/hyperlink" Target="https://www.noscommunes.ca/DocumentViewer/fr/43-2/OGGO/document-pertinent/11193033" TargetMode="External"/><Relationship Id="rId173" Type="http://schemas.openxmlformats.org/officeDocument/2006/relationships/hyperlink" Target="https://www.noscommunes.ca/DocumentViewer/fr/43-2/OGGO/document-pertinent/11193033" TargetMode="External"/><Relationship Id="rId194" Type="http://schemas.openxmlformats.org/officeDocument/2006/relationships/hyperlink" Target="https://www.noscommunes.ca/DocumentViewer/fr/43-2/OGGO/document-pertinent/11193033" TargetMode="External"/><Relationship Id="rId199" Type="http://schemas.openxmlformats.org/officeDocument/2006/relationships/hyperlink" Target="https://www.noscommunes.ca/Committees/fr/FINA/StudyActivity?studyActivityId=11128058" TargetMode="External"/><Relationship Id="rId19" Type="http://schemas.openxmlformats.org/officeDocument/2006/relationships/hyperlink" Target="https://www.canada.ca/en/services/benefits/ei/claims-report.html" TargetMode="External"/><Relationship Id="rId14" Type="http://schemas.openxmlformats.org/officeDocument/2006/relationships/hyperlink" Target="https://www.pbo-dpb.gc.ca/web/default/files/Documents/Info%20Requests/2020/IR0471_ISED_COVID-19_Measures_request_f_signed.pdf" TargetMode="External"/><Relationship Id="rId30" Type="http://schemas.openxmlformats.org/officeDocument/2006/relationships/hyperlink" Target="https://www.pbo-dpb.gc.ca/web/default/files/Documents/Info%20Requests/2020/IR0524_ISED_COVID19_update_2_request_f.pdf" TargetMode="External"/><Relationship Id="rId35" Type="http://schemas.openxmlformats.org/officeDocument/2006/relationships/hyperlink" Target="https://www.pbo-dpb.gc.ca/web/default/files/Documents/Info%20Requests/2020/IR0540_PCO_COVID-19_Communications_request_f.pdf" TargetMode="External"/><Relationship Id="rId56" Type="http://schemas.openxmlformats.org/officeDocument/2006/relationships/hyperlink" Target="https://www.pbo-dpb.gc.ca/web/default/files/Documents/Info%20Requests/2020/IR0519_TC_Fed-Bridge-corp_COVID-19_request_e.pdf" TargetMode="External"/><Relationship Id="rId77" Type="http://schemas.openxmlformats.org/officeDocument/2006/relationships/hyperlink" Target="https://www.pbo-dpb.gc.ca/web/default/files/Documents/Info%20Requests/2020/IR0522_ISEDC_Granting_Councils_COVID19_request_f.pdf" TargetMode="External"/><Relationship Id="rId100" Type="http://schemas.openxmlformats.org/officeDocument/2006/relationships/hyperlink" Target="https://www.pbo-dpb.gc.ca/web/default/files/Documents/Info%20Requests/2020/IR0516_CMHC_COVID19_update_2_request_f.pdf" TargetMode="External"/><Relationship Id="rId105" Type="http://schemas.openxmlformats.org/officeDocument/2006/relationships/hyperlink" Target="https://www.pbo-dpb.gc.ca/web/default/files/Documents/Info%20Requests/2020/IR0524_ISED_COVID19_update_2_request_f.pdf" TargetMode="External"/><Relationship Id="rId126" Type="http://schemas.openxmlformats.org/officeDocument/2006/relationships/hyperlink" Target="https://www.noscommunes.ca/content/Committee/432/OGGO/WebDoc/WD11193033/432_OGGO_Mar10-Motion/TreasuryBoardSecretariat-f.pdf" TargetMode="External"/><Relationship Id="rId147" Type="http://schemas.openxmlformats.org/officeDocument/2006/relationships/hyperlink" Target="https://www.noscommunes.ca/DocumentViewer/fr/43-2/OGGO/document-pertinent/11193033" TargetMode="External"/><Relationship Id="rId168" Type="http://schemas.openxmlformats.org/officeDocument/2006/relationships/hyperlink" Target="https://www.noscommunes.ca/Committees/fr/FINA/StudyActivity?studyActivityId=11128058" TargetMode="External"/><Relationship Id="rId8" Type="http://schemas.openxmlformats.org/officeDocument/2006/relationships/hyperlink" Target="https://ceba-cuec.ca/fr/" TargetMode="External"/><Relationship Id="rId51" Type="http://schemas.openxmlformats.org/officeDocument/2006/relationships/hyperlink" Target="https://www.pbo-dpb.gc.ca/web/default/files/Documents/Info%20Requests/2020/IR0482_FOC_COVID-19_ltr_e.pdf" TargetMode="External"/><Relationship Id="rId72" Type="http://schemas.openxmlformats.org/officeDocument/2006/relationships/hyperlink" Target="https://www.pbo-dpb.gc.ca/web/default/files/Documents/Info%20Requests/2020/IR0524_ISED_COVID19_update_2_request_e.pdf" TargetMode="External"/><Relationship Id="rId93" Type="http://schemas.openxmlformats.org/officeDocument/2006/relationships/hyperlink" Target="https://www.pbo-dpb.gc.ca/web/default/files/Documents/Info%20Requests/2020/IR0475_WAGE_COVID-19_Measures_request_f_signed.pdf" TargetMode="External"/><Relationship Id="rId98" Type="http://schemas.openxmlformats.org/officeDocument/2006/relationships/hyperlink" Target="https://www.pbo-dpb.gc.ca/web/default/files/Documents/Info%20Requests/2020/IR0549_ESDC_COVID-19_Measures_Q_request_f.pdf" TargetMode="External"/><Relationship Id="rId121" Type="http://schemas.openxmlformats.org/officeDocument/2006/relationships/hyperlink" Target="https://www.canada.ca/fr/agence-revenu/services/subvention/subvention-urgence-loyer/sucl-statistiques.html" TargetMode="External"/><Relationship Id="rId142" Type="http://schemas.openxmlformats.org/officeDocument/2006/relationships/hyperlink" Target="https://www.noscommunes.ca/DocumentViewer/fr/43-2/OGGO/document-pertinent/11193033" TargetMode="External"/><Relationship Id="rId163" Type="http://schemas.openxmlformats.org/officeDocument/2006/relationships/hyperlink" Target="https://www.noscommunes.ca/DocumentViewer/fr/43-2/OGGO/document-pertinent/11193033" TargetMode="External"/><Relationship Id="rId184" Type="http://schemas.openxmlformats.org/officeDocument/2006/relationships/hyperlink" Target="https://www.noscommunes.ca/DocumentViewer/fr/43-2/OGGO/document-pertinent/11193033" TargetMode="External"/><Relationship Id="rId189" Type="http://schemas.openxmlformats.org/officeDocument/2006/relationships/hyperlink" Target="https://www.noscommunes.ca/DocumentViewer/fr/43-2/OGGO/document-pertinent/11193033" TargetMode="External"/><Relationship Id="rId3" Type="http://schemas.openxmlformats.org/officeDocument/2006/relationships/hyperlink" Target="https://www.pbo-dpb.gc.ca/web/default/files/Documents/Info%20Requests/2020/IR0549_ESDC_COVID-19_Measures_Q_request_f.pdf" TargetMode="External"/><Relationship Id="rId25" Type="http://schemas.openxmlformats.org/officeDocument/2006/relationships/hyperlink" Target="https://www.pbo-dpb.gc.ca/web/default/files/Documents/Info%20Requests/2020/IR0523_ISC_COVID19_update_2_request_f.pdf" TargetMode="External"/><Relationship Id="rId46" Type="http://schemas.openxmlformats.org/officeDocument/2006/relationships/hyperlink" Target="https://www.pbo-dpb.gc.ca/web/default/files/Documents/Info%20Requests/2020/IR0473_NRCan_COVID-19_Measures_request_f_signed.pdf" TargetMode="External"/><Relationship Id="rId67" Type="http://schemas.openxmlformats.org/officeDocument/2006/relationships/hyperlink" Target="https://www.pbo-dpb.gc.ca/web/default/files/Documents/Info%20Requests/2020/IR0516_CMHC_COVID19_update_2_request_e.pdf" TargetMode="External"/><Relationship Id="rId116" Type="http://schemas.openxmlformats.org/officeDocument/2006/relationships/hyperlink" Target="https://www.pbo-dpb.gc.ca/web/default/files/Documents/Info%20Requests/2021/IR0582_Justice_COVID_Measures_request_f.pdf" TargetMode="External"/><Relationship Id="rId137" Type="http://schemas.openxmlformats.org/officeDocument/2006/relationships/hyperlink" Target="https://www.noscommunes.ca/DocumentViewer/fr/43-2/OGGO/document-pertinent/11193033" TargetMode="External"/><Relationship Id="rId158" Type="http://schemas.openxmlformats.org/officeDocument/2006/relationships/hyperlink" Target="https://www.noscommunes.ca/DocumentViewer/fr/43-2/OGGO/document-pertinent/11193033" TargetMode="External"/><Relationship Id="rId20" Type="http://schemas.openxmlformats.org/officeDocument/2006/relationships/hyperlink" Target="https://www.pbo-dpb.gc.ca/web/default/files/Documents/Info%20Requests/2020/IR0517_CRA_COVID19_followup_request_f.pdf" TargetMode="External"/><Relationship Id="rId41" Type="http://schemas.openxmlformats.org/officeDocument/2006/relationships/hyperlink" Target="https://www.pbo-dpb.gc.ca/web/default/files/Documents/Info%20Requests/2020/IR0469_Heritage_COVID-19_Measures_request_e_signed.pdf" TargetMode="External"/><Relationship Id="rId62" Type="http://schemas.openxmlformats.org/officeDocument/2006/relationships/hyperlink" Target="https://www.pbo-dpb.gc.ca/web/default/files/Documents/Info%20Requests/2020/IR0517_CRA_COVID19_followup_request_f.pdf" TargetMode="External"/><Relationship Id="rId83" Type="http://schemas.openxmlformats.org/officeDocument/2006/relationships/hyperlink" Target="https://www.pbo-dpb.gc.ca/web/default/files/Documents/Info%20Requests/2020/IR0549_ESDC_COVID-19_Measures_Q_request_f.pdf" TargetMode="External"/><Relationship Id="rId88" Type="http://schemas.openxmlformats.org/officeDocument/2006/relationships/hyperlink" Target="https://www.pbo-dpb.gc.ca/web/default/files/Documents/Info%20Requests/2020/IR0468_HC_COVID-19_Measures_request_f_signed.pdf" TargetMode="External"/><Relationship Id="rId111" Type="http://schemas.openxmlformats.org/officeDocument/2006/relationships/hyperlink" Target="https://www.pbo-dpb.gc.ca/web/default/files/Documents/Info%20Requests/2020/IR0560_VA_COVID-19_Measures_request_f.pdf" TargetMode="External"/><Relationship Id="rId132" Type="http://schemas.openxmlformats.org/officeDocument/2006/relationships/hyperlink" Target="https://www.noscommunes.ca/DocumentViewer/fr/43-2/OGGO/document-pertinent/11193033" TargetMode="External"/><Relationship Id="rId153" Type="http://schemas.openxmlformats.org/officeDocument/2006/relationships/hyperlink" Target="https://www.noscommunes.ca/DocumentViewer/fr/43-2/OGGO/document-pertinent/11193033" TargetMode="External"/><Relationship Id="rId174" Type="http://schemas.openxmlformats.org/officeDocument/2006/relationships/hyperlink" Target="https://www.noscommunes.ca/DocumentViewer/fr/43-2/OGGO/document-pertinent/11193033" TargetMode="External"/><Relationship Id="rId179" Type="http://schemas.openxmlformats.org/officeDocument/2006/relationships/hyperlink" Target="https://www.noscommunes.ca/DocumentViewer/fr/43-2/OGGO/document-pertinent/11193033" TargetMode="External"/><Relationship Id="rId195" Type="http://schemas.openxmlformats.org/officeDocument/2006/relationships/hyperlink" Target="https://www.noscommunes.ca/DocumentViewer/fr/43-2/OGGO/document-pertinent/11193033" TargetMode="External"/><Relationship Id="rId190" Type="http://schemas.openxmlformats.org/officeDocument/2006/relationships/hyperlink" Target="https://www.noscommunes.ca/DocumentViewer/fr/43-2/OGGO/document-pertinent/11193033" TargetMode="External"/><Relationship Id="rId15" Type="http://schemas.openxmlformats.org/officeDocument/2006/relationships/hyperlink" Target="https://www.pbo-dpb.gc.ca/web/default/files/Documents/Info%20Requests/2020/IR0490_ISED_COVID-19_Measures_request_f.pdf" TargetMode="External"/><Relationship Id="rId36" Type="http://schemas.openxmlformats.org/officeDocument/2006/relationships/hyperlink" Target="https://www.pbo-dpb.gc.ca/web/default/files/Documents/Info%20Requests/2020/IR0528_PHAC_COVID19_update_request_f.pdf" TargetMode="External"/><Relationship Id="rId57" Type="http://schemas.openxmlformats.org/officeDocument/2006/relationships/hyperlink" Target="https://www.pbo-dpb.gc.ca/web/default/files/Documents/Info%20Requests/2020/IR0519_TC_Fed-Bridge-corp_COVID-19_request_f.pdf" TargetMode="External"/><Relationship Id="rId106" Type="http://schemas.openxmlformats.org/officeDocument/2006/relationships/hyperlink" Target="https://www.pbo-dpb.gc.ca/web/default/files/Documents/Info%20Requests/2020/IR0524_ISED_COVID19_update_2_request_f.pdf" TargetMode="External"/><Relationship Id="rId127" Type="http://schemas.openxmlformats.org/officeDocument/2006/relationships/hyperlink" Target="https://www.noscommunes.ca/DocumentViewer/fr/43-2/OGGO/document-pertinent/11193033" TargetMode="External"/><Relationship Id="rId10" Type="http://schemas.openxmlformats.org/officeDocument/2006/relationships/hyperlink" Target="https://www.pbo-dpb.gc.ca/web/default/files/Documents/Info%20Requests/2020/IR0471_ISED_COVID-19_Measures_request_f_signed.pdf" TargetMode="External"/><Relationship Id="rId31" Type="http://schemas.openxmlformats.org/officeDocument/2006/relationships/hyperlink" Target="https://www.pbo-dpb.gc.ca/web/default/files/Documents/Info%20Requests/2020/IR0516_CMHC_COVID19_update_2_request_e.pdf" TargetMode="External"/><Relationship Id="rId52" Type="http://schemas.openxmlformats.org/officeDocument/2006/relationships/hyperlink" Target="https://www.pbo-dpb.gc.ca/web/default/files/Documents/Info%20Requests/2020/IR0482_FOC_COVID-19_ltr_f.pdf" TargetMode="External"/><Relationship Id="rId73" Type="http://schemas.openxmlformats.org/officeDocument/2006/relationships/hyperlink" Target="https://www.pbo-dpb.gc.ca/web/default/files/Documents/Info%20Requests/2020/IR0524_ISED_COVID19_update_2_request_f.pdf" TargetMode="External"/><Relationship Id="rId78" Type="http://schemas.openxmlformats.org/officeDocument/2006/relationships/hyperlink" Target="https://www.pbo-dpb.gc.ca/web/default/files/Documents/Info%20Requests/2020/IR0552_NRcan_COVID-19_Measures_request_f.pdf" TargetMode="External"/><Relationship Id="rId94" Type="http://schemas.openxmlformats.org/officeDocument/2006/relationships/hyperlink" Target="https://www.pbo-dpb.gc.ca/web/default/files/Documents/Info%20Requests/2020/IR0475_WAGE_COVID-19_Measures_request_e_signed.pdf" TargetMode="External"/><Relationship Id="rId99" Type="http://schemas.openxmlformats.org/officeDocument/2006/relationships/hyperlink" Target="https://www.pbo-dpb.gc.ca/web/default/files/Documents/Info%20Requests/2020/IR0516_CMHC_COVID19_update_2_request_e.pdf" TargetMode="External"/><Relationship Id="rId101" Type="http://schemas.openxmlformats.org/officeDocument/2006/relationships/hyperlink" Target="https://www.pbo-dpb.gc.ca/web/default/files/Documents/Info%20Requests/2020/IR0552_NRcan_COVID-19_Measures_request_f.pdf" TargetMode="External"/><Relationship Id="rId122" Type="http://schemas.openxmlformats.org/officeDocument/2006/relationships/hyperlink" Target="https://www.pbo-dpb.gc.ca/web/default/files/Documents/Info%20Requests/2020/IR0519_TC_Fed-Bridge-corp_COVID-19_request_f.pdf" TargetMode="External"/><Relationship Id="rId143" Type="http://schemas.openxmlformats.org/officeDocument/2006/relationships/hyperlink" Target="https://www.noscommunes.ca/DocumentViewer/fr/43-2/OGGO/document-pertinent/11193033" TargetMode="External"/><Relationship Id="rId148" Type="http://schemas.openxmlformats.org/officeDocument/2006/relationships/hyperlink" Target="https://www.noscommunes.ca/DocumentViewer/fr/43-2/OGGO/document-pertinent/11193033" TargetMode="External"/><Relationship Id="rId164" Type="http://schemas.openxmlformats.org/officeDocument/2006/relationships/hyperlink" Target="https://www.noscommunes.ca/DocumentViewer/fr/43-2/OGGO/document-pertinent/11193033" TargetMode="External"/><Relationship Id="rId169" Type="http://schemas.openxmlformats.org/officeDocument/2006/relationships/hyperlink" Target="https://www.noscommunes.ca/DocumentViewer/fr/43-2/OGGO/document-pertinent/11193033" TargetMode="External"/><Relationship Id="rId185" Type="http://schemas.openxmlformats.org/officeDocument/2006/relationships/hyperlink" Target="https://www.noscommunes.ca/DocumentViewer/fr/43-2/OGGO/document-pertinent/11193033" TargetMode="External"/><Relationship Id="rId4" Type="http://schemas.openxmlformats.org/officeDocument/2006/relationships/hyperlink" Target="https://www.canada.ca/fr/agence-revenu/services/prestations/prestation-relance-economique/pcre-statistiques.html" TargetMode="External"/><Relationship Id="rId9" Type="http://schemas.openxmlformats.org/officeDocument/2006/relationships/hyperlink" Target="https://www.pbo-dpb.gc.ca/web/default/files/Documents/Info%20Requests/2020/IR0471_ISED_COVID-19_Measures_request_e_signed.pdf" TargetMode="External"/><Relationship Id="rId180" Type="http://schemas.openxmlformats.org/officeDocument/2006/relationships/hyperlink" Target="https://www.noscommunes.ca/DocumentViewer/fr/43-2/OGGO/document-pertinent/11193033" TargetMode="External"/><Relationship Id="rId26" Type="http://schemas.openxmlformats.org/officeDocument/2006/relationships/hyperlink" Target="https://www.pbo-dpb.gc.ca/web/default/files/Documents/Info%20Requests/2020/IR0515_CIRNAC_COVID-19_update_request_f.pdf" TargetMode="External"/><Relationship Id="rId47" Type="http://schemas.openxmlformats.org/officeDocument/2006/relationships/hyperlink" Target="https://www.pbo-dpb.gc.ca/web/default/files/Documents/Info%20Requests/2020/IR0456_AAFC_COVID-19_Allocations_request_e_signed.pdf" TargetMode="External"/><Relationship Id="rId68" Type="http://schemas.openxmlformats.org/officeDocument/2006/relationships/hyperlink" Target="https://www.pbo-dpb.gc.ca/web/default/files/Documents/Info%20Requests/2020/IR0516_CMHC_COVID19_update_2_request_f.pdf" TargetMode="External"/><Relationship Id="rId89" Type="http://schemas.openxmlformats.org/officeDocument/2006/relationships/hyperlink" Target="https://www.pbo-dpb.gc.ca/web/default/files/Documents/Info%20Requests/2020/IR0547_CRA_RRIF_request_f.pdf" TargetMode="External"/><Relationship Id="rId112" Type="http://schemas.openxmlformats.org/officeDocument/2006/relationships/hyperlink" Target="https://www.pbo-dpb.gc.ca/web/default/files/Documents/Info%20Requests/2021/IR0578_Corr-Serv_COVID_Measures_request_f.pdf" TargetMode="External"/><Relationship Id="rId133" Type="http://schemas.openxmlformats.org/officeDocument/2006/relationships/hyperlink" Target="https://www.noscommunes.ca/DocumentViewer/fr/43-2/OGGO/document-pertinent/11193033" TargetMode="External"/><Relationship Id="rId154" Type="http://schemas.openxmlformats.org/officeDocument/2006/relationships/hyperlink" Target="https://www.noscommunes.ca/DocumentViewer/fr/43-2/OGGO/document-pertinent/11193033" TargetMode="External"/><Relationship Id="rId175" Type="http://schemas.openxmlformats.org/officeDocument/2006/relationships/hyperlink" Target="https://www.noscommunes.ca/DocumentViewer/fr/43-2/OGGO/document-pertinent/1119303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f.pdf" TargetMode="External"/><Relationship Id="rId2" Type="http://schemas.openxmlformats.org/officeDocument/2006/relationships/hyperlink" Target="https://www.pbo-dpb.gc.ca/web/default/files/Documents/Info%20Requests/2020/IR0459_CBSA_COVID-19_Measures_request_f_signed.pdf" TargetMode="External"/><Relationship Id="rId1" Type="http://schemas.openxmlformats.org/officeDocument/2006/relationships/hyperlink" Target="https://www.pbo-dpb.gc.ca/web/default/files/Documents/Info%20Requests/2020/IR0517_CRA_COVID19_followup_request_f.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457_BDC_COVID-19_Measures_request_f_signed.pdf" TargetMode="External"/><Relationship Id="rId13" Type="http://schemas.openxmlformats.org/officeDocument/2006/relationships/hyperlink" Target="https://www.noscommunes.ca/DocumentViewer/fr/43-2/FINA/document-pertinent/11294920" TargetMode="External"/><Relationship Id="rId18" Type="http://schemas.openxmlformats.org/officeDocument/2006/relationships/hyperlink" Target="https://www.noscommunes.ca/Committees/fr/FINA/StudyActivity?studyActivityId=11128058" TargetMode="External"/><Relationship Id="rId3" Type="http://schemas.openxmlformats.org/officeDocument/2006/relationships/hyperlink" Target="https://www.pbo-dpb.gc.ca/web/default/files/Documents/Info%20Requests/2020/IR0457_BDC_COVID-19_Measures_request_f_signed.pdf" TargetMode="External"/><Relationship Id="rId21" Type="http://schemas.openxmlformats.org/officeDocument/2006/relationships/printerSettings" Target="../printerSettings/printerSettings4.bin"/><Relationship Id="rId7" Type="http://schemas.openxmlformats.org/officeDocument/2006/relationships/hyperlink" Target="https://www.pbo-dpb.gc.ca/web/default/files/Documents/Info%20Requests/2020/IR0465_EDC_COVID-19%20Measures_request_f_signed.pdf" TargetMode="External"/><Relationship Id="rId12" Type="http://schemas.openxmlformats.org/officeDocument/2006/relationships/hyperlink" Target="https://www.pbo-dpb.gc.ca/web/default/files/Documents/Info%20Requests/2020/IR0550_FIN_COVID-19_Support_request_f.pdf" TargetMode="External"/><Relationship Id="rId17" Type="http://schemas.openxmlformats.org/officeDocument/2006/relationships/hyperlink" Target="https://www.noscommunes.ca/Committees/fr/FINA/StudyActivity?studyActivityId=11128058" TargetMode="External"/><Relationship Id="rId2" Type="http://schemas.openxmlformats.org/officeDocument/2006/relationships/hyperlink" Target="https://www.pbo-dpb.gc.ca/web/default/files/Documents/Info%20Requests/2020/IR0465_EDC_COVID-19%20Measures_request_f_signed.pdf" TargetMode="External"/><Relationship Id="rId16" Type="http://schemas.openxmlformats.org/officeDocument/2006/relationships/hyperlink" Target="https://www.noscommunes.ca/Committees/fr/FINA/StudyActivity?studyActivityId=11128058" TargetMode="External"/><Relationship Id="rId20" Type="http://schemas.openxmlformats.org/officeDocument/2006/relationships/hyperlink" Target="https://www.noscommunes.ca/Committees/fr/FINA/StudyActivity?studyActivityId=11128058" TargetMode="External"/><Relationship Id="rId1" Type="http://schemas.openxmlformats.org/officeDocument/2006/relationships/hyperlink" Target="https://ceba-cuec.ca/fr/" TargetMode="External"/><Relationship Id="rId6" Type="http://schemas.openxmlformats.org/officeDocument/2006/relationships/hyperlink" Target="https://www.pbo-dpb.gc.ca/web/default/files/Documents/Info%20Requests/2020/IR0456_AAFC_COVID-19_Allocations_request_f_signed.pdf" TargetMode="External"/><Relationship Id="rId11" Type="http://schemas.openxmlformats.org/officeDocument/2006/relationships/hyperlink" Target="https://www.pbo-dpb.gc.ca/web/default/files/Documents/Info%20Requests/2020/IR0480_CMHC_COVID-19_ltr_f.pdf" TargetMode="External"/><Relationship Id="rId5" Type="http://schemas.openxmlformats.org/officeDocument/2006/relationships/hyperlink" Target="https://www.pbo-dpb.gc.ca/web/default/files/Documents/Info%20Requests/2020/IR0479_CDIC_COVID-19_ltr_f.pdf" TargetMode="External"/><Relationship Id="rId15" Type="http://schemas.openxmlformats.org/officeDocument/2006/relationships/hyperlink" Target="https://www.noscommunes.ca/Committees/fr/FINA/StudyActivity?studyActivityId=11128058" TargetMode="External"/><Relationship Id="rId10" Type="http://schemas.openxmlformats.org/officeDocument/2006/relationships/hyperlink" Target="https://www.ceefc-cfuec.ca/fr/prets-approuves/" TargetMode="External"/><Relationship Id="rId19" Type="http://schemas.openxmlformats.org/officeDocument/2006/relationships/hyperlink" Target="https://www.noscommunes.ca/Committees/fr/FINA/StudyActivity?studyActivityId=11128058" TargetMode="External"/><Relationship Id="rId4" Type="http://schemas.openxmlformats.org/officeDocument/2006/relationships/hyperlink" Target="https://www.pbo-dpb.gc.ca/web/default/files/Documents/Info%20Requests/2020/IR0466_FCC_COVID-19_Measures_request_f_signed.pdf" TargetMode="External"/><Relationship Id="rId9" Type="http://schemas.openxmlformats.org/officeDocument/2006/relationships/hyperlink" Target="https://www.pbo-dpb.gc.ca/web/default/files/Documents/Info%20Requests/2020/IR0465_EDC_COVID-19%20Measures_request_f_signed.pdf" TargetMode="External"/><Relationship Id="rId14" Type="http://schemas.openxmlformats.org/officeDocument/2006/relationships/hyperlink" Target="https://www.noscommunes.ca/Committees/fr/FINA/StudyActivity?studyActivityId=1112805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6_NRCCan_COVID19_update_2_request_f.pdf" TargetMode="External"/><Relationship Id="rId13" Type="http://schemas.openxmlformats.org/officeDocument/2006/relationships/hyperlink" Target="https://www.pbo-dpb.gc.ca/web/default/files/Documents/Info%20Requests/2020/IR0562_CCOHS_COVID-19_Measures_request_f.pdf" TargetMode="External"/><Relationship Id="rId18" Type="http://schemas.openxmlformats.org/officeDocument/2006/relationships/hyperlink" Target="http://gazette.gc.ca/rp-pr/p2/2020/2020-08-19/html/sor-dors173-fra.html" TargetMode="External"/><Relationship Id="rId26" Type="http://schemas.openxmlformats.org/officeDocument/2006/relationships/printerSettings" Target="../printerSettings/printerSettings5.bin"/><Relationship Id="rId3" Type="http://schemas.openxmlformats.org/officeDocument/2006/relationships/hyperlink" Target="https://www.pbo-dpb.gc.ca/web/default/files/Documents/Info%20Requests/2020/IR0561_SSC_COVID-19_Measures_request_f.pdf" TargetMode="External"/><Relationship Id="rId21" Type="http://schemas.openxmlformats.org/officeDocument/2006/relationships/hyperlink" Target="https://www.pbo-dpb.gc.ca/web/default/files/Documents/Info%20Requests/2020/IR0526_NRCCan_COVID19_update_2_request_e.pdf" TargetMode="External"/><Relationship Id="rId7" Type="http://schemas.openxmlformats.org/officeDocument/2006/relationships/hyperlink" Target="https://www.pbo-dpb.gc.ca/web/default/files/Documents/Info%20Requests/2020/IR0524_ISED_COVID19_update_2_request_f.pdf" TargetMode="External"/><Relationship Id="rId12" Type="http://schemas.openxmlformats.org/officeDocument/2006/relationships/hyperlink" Target="https://www.pbo-dpb.gc.ca/web/default/files/Documents/Info%20Requests/2020/IR0519_TC_Fed-Bridge-corp_COVID-19_request_f.pdf" TargetMode="External"/><Relationship Id="rId17" Type="http://schemas.openxmlformats.org/officeDocument/2006/relationships/hyperlink" Target="https://www.pbo-dpb.gc.ca/web/default/files/Documents/Info%20Requests/2020/IR0524_ISED_COVID19_update_2_request_f.pdf" TargetMode="External"/><Relationship Id="rId25" Type="http://schemas.openxmlformats.org/officeDocument/2006/relationships/hyperlink" Target="https://www.pbo-dpb.gc.ca/web/default/files/Documents/Info%20Requests/2020/IR0561_SSC_COVID-19_Measures_request_f.pdf" TargetMode="External"/><Relationship Id="rId2" Type="http://schemas.openxmlformats.org/officeDocument/2006/relationships/hyperlink" Target="https://www.pbo-dpb.gc.ca/web/default/files/Documents/Info%20Requests/2020/IR0522_ISEDC_Granting_Councils_COVID19_request_f.pdf" TargetMode="External"/><Relationship Id="rId16" Type="http://schemas.openxmlformats.org/officeDocument/2006/relationships/hyperlink" Target="https://www.pbo-dpb.gc.ca/web/default/files/Documents/Info%20Requests/2020/IR0526_NRCCan_COVID19_update_2_request_f.pdf" TargetMode="External"/><Relationship Id="rId20" Type="http://schemas.openxmlformats.org/officeDocument/2006/relationships/hyperlink" Target="https://www.pbo-dpb.gc.ca/web/default/files/Documents/Info%20Requests/2020/IR0519_TC_Fed-Bridge-corp_COVID-19_request_f.pdf" TargetMode="External"/><Relationship Id="rId1" Type="http://schemas.openxmlformats.org/officeDocument/2006/relationships/hyperlink" Target="https://www.pbo-dpb.gc.ca/web/default/files/Documents/Info%20Requests/2020/IR0528_PHAC_COVID19_update_request_f.pdf" TargetMode="External"/><Relationship Id="rId6" Type="http://schemas.openxmlformats.org/officeDocument/2006/relationships/hyperlink" Target="https://www.pbo-dpb.gc.ca/web/default/files/Documents/Info%20Requests/2020/IR0524_ISED_COVID19_update_2_request_f.pdf" TargetMode="External"/><Relationship Id="rId11" Type="http://schemas.openxmlformats.org/officeDocument/2006/relationships/hyperlink" Target="https://www.canada.ca/fr/emploi-developpement-social/services/travail-partage/statistiques.html" TargetMode="External"/><Relationship Id="rId24" Type="http://schemas.openxmlformats.org/officeDocument/2006/relationships/hyperlink" Target="https://www.pbo-dpb.gc.ca/web/default/files/Documents/Info%20Requests/2020/IR0523_ISC_COVID19_update_2_request_f.pdf" TargetMode="External"/><Relationship Id="rId5" Type="http://schemas.openxmlformats.org/officeDocument/2006/relationships/hyperlink" Target="https://www.pbo-dpb.gc.ca/web/default/files/Documents/Info%20Requests/2020/IR0524_ISED_COVID19_update_2_request_e.pdf" TargetMode="External"/><Relationship Id="rId15" Type="http://schemas.openxmlformats.org/officeDocument/2006/relationships/hyperlink" Target="https://www.pbo-dpb.gc.ca/web/default/files/Documents/Info%20Requests/2020/IR0526_NRCCan_COVID19_update_2_request_e.pdf" TargetMode="External"/><Relationship Id="rId23" Type="http://schemas.openxmlformats.org/officeDocument/2006/relationships/hyperlink" Target="https://www.pbo-dpb.gc.ca/web/default/files/Documents/Info%20Requests/2020/IR0524_ISED_COVID19_update_2_request_f.pdf" TargetMode="External"/><Relationship Id="rId10" Type="http://schemas.openxmlformats.org/officeDocument/2006/relationships/hyperlink" Target="https://www.pbo-dpb.gc.ca/web/default/files/Documents/Info%20Requests/2020/IR0483_ESDC_COVID-19_ltr_f.pdf" TargetMode="External"/><Relationship Id="rId19" Type="http://schemas.openxmlformats.org/officeDocument/2006/relationships/hyperlink" Target="https://www.pbo-dpb.gc.ca/web/default/files/Documents/Info%20Requests/2020/IR0530_CIHR_granting_COVID-19_request_f.pdf" TargetMode="External"/><Relationship Id="rId4" Type="http://schemas.openxmlformats.org/officeDocument/2006/relationships/hyperlink" Target="https://www.pbo-dpb.gc.ca/web/default/files/Documents/Info%20Requests/2020/IR0548_Des-Can_COVID-19_Measures_request_f.pdf" TargetMode="External"/><Relationship Id="rId9" Type="http://schemas.openxmlformats.org/officeDocument/2006/relationships/hyperlink" Target="https://rechercher.ouvert.canada.ca/fr/gc/?sort=score%20desc&amp;page=1&amp;search_text=Nouveaux%20Horizons%20pour%20les%20a%C3%AEn%C3%A9s" TargetMode="External"/><Relationship Id="rId14" Type="http://schemas.openxmlformats.org/officeDocument/2006/relationships/hyperlink" Target="https://www.pbo-dpb.gc.ca/web/default/files/Documents/Info%20Requests/2020/IR0564_ESDC_COVID-19_Measures_T_request_f.pdf" TargetMode="External"/><Relationship Id="rId22" Type="http://schemas.openxmlformats.org/officeDocument/2006/relationships/hyperlink" Target="https://www.pbo-dpb.gc.ca/web/default/files/Documents/Info%20Requests/2020/IR0526_NRCCan_COVID19_update_2_request_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61D9-26A6-45B2-A1C1-6260105879D9}">
  <dimension ref="A1:B36"/>
  <sheetViews>
    <sheetView showGridLines="0" tabSelected="1" zoomScale="80" zoomScaleNormal="80" workbookViewId="0"/>
  </sheetViews>
  <sheetFormatPr defaultRowHeight="15" x14ac:dyDescent="0.25"/>
  <cols>
    <col min="1" max="1" width="42.5703125" customWidth="1"/>
  </cols>
  <sheetData>
    <row r="1" spans="1:1" ht="18.75" x14ac:dyDescent="0.3">
      <c r="A1" s="10" t="s">
        <v>57</v>
      </c>
    </row>
    <row r="2" spans="1:1" x14ac:dyDescent="0.25">
      <c r="A2" t="s">
        <v>58</v>
      </c>
    </row>
    <row r="3" spans="1:1" x14ac:dyDescent="0.25">
      <c r="A3" t="s">
        <v>59</v>
      </c>
    </row>
    <row r="5" spans="1:1" ht="15.75" x14ac:dyDescent="0.25">
      <c r="A5" s="11" t="s">
        <v>60</v>
      </c>
    </row>
    <row r="6" spans="1:1" x14ac:dyDescent="0.25">
      <c r="A6" t="s">
        <v>61</v>
      </c>
    </row>
    <row r="7" spans="1:1" x14ac:dyDescent="0.25">
      <c r="A7" t="s">
        <v>503</v>
      </c>
    </row>
    <row r="8" spans="1:1" x14ac:dyDescent="0.25">
      <c r="A8" t="s">
        <v>354</v>
      </c>
    </row>
    <row r="10" spans="1:1" ht="15.75" x14ac:dyDescent="0.25">
      <c r="A10" s="11" t="s">
        <v>62</v>
      </c>
    </row>
    <row r="11" spans="1:1" x14ac:dyDescent="0.25">
      <c r="A11" t="s">
        <v>327</v>
      </c>
    </row>
    <row r="12" spans="1:1" x14ac:dyDescent="0.25">
      <c r="A12" s="12" t="s">
        <v>63</v>
      </c>
    </row>
    <row r="13" spans="1:1" x14ac:dyDescent="0.25">
      <c r="A13" s="12" t="s">
        <v>64</v>
      </c>
    </row>
    <row r="14" spans="1:1" x14ac:dyDescent="0.25">
      <c r="A14" s="12" t="s">
        <v>65</v>
      </c>
    </row>
    <row r="15" spans="1:1" x14ac:dyDescent="0.25">
      <c r="A15" s="12" t="s">
        <v>66</v>
      </c>
    </row>
    <row r="16" spans="1:1" x14ac:dyDescent="0.25">
      <c r="A16" t="s">
        <v>658</v>
      </c>
    </row>
    <row r="17" spans="1:2" x14ac:dyDescent="0.25">
      <c r="A17" s="13" t="s">
        <v>657</v>
      </c>
    </row>
    <row r="19" spans="1:2" ht="15.75" x14ac:dyDescent="0.25">
      <c r="A19" s="11" t="s">
        <v>67</v>
      </c>
    </row>
    <row r="20" spans="1:2" x14ac:dyDescent="0.25">
      <c r="A20" s="14" t="s">
        <v>68</v>
      </c>
      <c r="B20" t="s">
        <v>69</v>
      </c>
    </row>
    <row r="21" spans="1:2" x14ac:dyDescent="0.25">
      <c r="A21" s="14" t="s">
        <v>70</v>
      </c>
      <c r="B21" t="s">
        <v>71</v>
      </c>
    </row>
    <row r="22" spans="1:2" x14ac:dyDescent="0.25">
      <c r="A22" s="14" t="s">
        <v>72</v>
      </c>
      <c r="B22" t="s">
        <v>73</v>
      </c>
    </row>
    <row r="23" spans="1:2" x14ac:dyDescent="0.25">
      <c r="A23" s="14" t="s">
        <v>74</v>
      </c>
      <c r="B23" t="s">
        <v>75</v>
      </c>
    </row>
    <row r="24" spans="1:2" x14ac:dyDescent="0.25">
      <c r="A24" s="14" t="s">
        <v>76</v>
      </c>
      <c r="B24" t="s">
        <v>77</v>
      </c>
    </row>
    <row r="25" spans="1:2" x14ac:dyDescent="0.25">
      <c r="A25" s="14" t="s">
        <v>371</v>
      </c>
      <c r="B25" t="s">
        <v>374</v>
      </c>
    </row>
    <row r="26" spans="1:2" x14ac:dyDescent="0.25">
      <c r="A26" s="14"/>
    </row>
    <row r="27" spans="1:2" ht="15.75" x14ac:dyDescent="0.25">
      <c r="A27" s="15" t="s">
        <v>375</v>
      </c>
    </row>
    <row r="28" spans="1:2" x14ac:dyDescent="0.25">
      <c r="A28" s="194" t="s">
        <v>693</v>
      </c>
    </row>
    <row r="29" spans="1:2" x14ac:dyDescent="0.25">
      <c r="A29" t="s">
        <v>328</v>
      </c>
    </row>
    <row r="30" spans="1:2" x14ac:dyDescent="0.25">
      <c r="A30" t="s">
        <v>628</v>
      </c>
    </row>
    <row r="31" spans="1:2" x14ac:dyDescent="0.25">
      <c r="A31" t="s">
        <v>479</v>
      </c>
    </row>
    <row r="32" spans="1:2" x14ac:dyDescent="0.25">
      <c r="A32" t="s">
        <v>78</v>
      </c>
    </row>
    <row r="33" spans="1:1" x14ac:dyDescent="0.25">
      <c r="A33" t="s">
        <v>79</v>
      </c>
    </row>
    <row r="34" spans="1:1" x14ac:dyDescent="0.25">
      <c r="A34" t="s">
        <v>397</v>
      </c>
    </row>
    <row r="35" spans="1:1" x14ac:dyDescent="0.25">
      <c r="A35" t="s">
        <v>480</v>
      </c>
    </row>
    <row r="36" spans="1:1" x14ac:dyDescent="0.25">
      <c r="A36" t="s">
        <v>512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5D10-9AB8-4325-AD5F-3B928F1D6749}">
  <sheetPr>
    <tabColor theme="4"/>
  </sheetPr>
  <dimension ref="A1:R217"/>
  <sheetViews>
    <sheetView showGridLines="0" zoomScale="70" zoomScaleNormal="70" workbookViewId="0"/>
  </sheetViews>
  <sheetFormatPr defaultRowHeight="15" x14ac:dyDescent="0.25"/>
  <cols>
    <col min="1" max="1" width="73" customWidth="1"/>
    <col min="2" max="2" width="63.42578125" bestFit="1" customWidth="1"/>
    <col min="3" max="3" width="26.140625" bestFit="1" customWidth="1"/>
    <col min="4" max="4" width="43.7109375" customWidth="1"/>
    <col min="5" max="5" width="26.7109375" bestFit="1" customWidth="1"/>
    <col min="6" max="6" width="67.140625" customWidth="1"/>
    <col min="7" max="7" width="32.42578125" bestFit="1" customWidth="1"/>
    <col min="8" max="8" width="63.42578125" bestFit="1" customWidth="1"/>
    <col min="9" max="9" width="26.140625" bestFit="1" customWidth="1"/>
    <col min="10" max="10" width="43.7109375" customWidth="1"/>
    <col min="11" max="11" width="26.7109375" bestFit="1" customWidth="1"/>
    <col min="12" max="12" width="67.140625" customWidth="1"/>
    <col min="13" max="13" width="32.42578125" bestFit="1" customWidth="1"/>
    <col min="14" max="14" width="38.85546875" bestFit="1" customWidth="1"/>
    <col min="15" max="15" width="39.5703125" bestFit="1" customWidth="1"/>
    <col min="16" max="16" width="26.28515625" customWidth="1"/>
    <col min="17" max="17" width="43.28515625" customWidth="1"/>
    <col min="18" max="18" width="19.7109375" customWidth="1"/>
  </cols>
  <sheetData>
    <row r="1" spans="1:18" ht="15.75" thickBot="1" x14ac:dyDescent="0.3">
      <c r="A1" s="175" t="s">
        <v>63</v>
      </c>
      <c r="B1" s="23"/>
      <c r="H1" s="23"/>
    </row>
    <row r="2" spans="1:18" ht="15.75" thickBot="1" x14ac:dyDescent="0.3">
      <c r="A2" s="1"/>
      <c r="B2" s="509" t="s">
        <v>476</v>
      </c>
      <c r="C2" s="510"/>
      <c r="D2" s="510"/>
      <c r="E2" s="510"/>
      <c r="F2" s="510"/>
      <c r="G2" s="511"/>
      <c r="H2" s="509" t="s">
        <v>477</v>
      </c>
      <c r="I2" s="510"/>
      <c r="J2" s="510"/>
      <c r="K2" s="510"/>
      <c r="L2" s="510"/>
      <c r="M2" s="511"/>
    </row>
    <row r="3" spans="1:18" ht="17.25" x14ac:dyDescent="0.25">
      <c r="A3" s="24" t="s">
        <v>63</v>
      </c>
      <c r="B3" s="79" t="s">
        <v>504</v>
      </c>
      <c r="C3" s="25" t="s">
        <v>473</v>
      </c>
      <c r="D3" s="25" t="s">
        <v>80</v>
      </c>
      <c r="E3" s="25" t="s">
        <v>471</v>
      </c>
      <c r="F3" s="25" t="s">
        <v>326</v>
      </c>
      <c r="G3" s="25" t="s">
        <v>472</v>
      </c>
      <c r="H3" s="79" t="s">
        <v>509</v>
      </c>
      <c r="I3" s="25" t="s">
        <v>474</v>
      </c>
      <c r="J3" s="25" t="s">
        <v>80</v>
      </c>
      <c r="K3" s="25" t="s">
        <v>471</v>
      </c>
      <c r="L3" s="25" t="s">
        <v>326</v>
      </c>
      <c r="M3" s="25" t="s">
        <v>475</v>
      </c>
      <c r="N3" s="26" t="s">
        <v>81</v>
      </c>
      <c r="O3" s="26" t="s">
        <v>82</v>
      </c>
      <c r="P3" s="26" t="s">
        <v>83</v>
      </c>
      <c r="Q3" s="26" t="s">
        <v>84</v>
      </c>
      <c r="R3" s="27" t="s">
        <v>85</v>
      </c>
    </row>
    <row r="4" spans="1:18" ht="60.75" customHeight="1" x14ac:dyDescent="0.25">
      <c r="A4" s="450" t="s">
        <v>168</v>
      </c>
      <c r="B4" s="484">
        <f>14000+4809</f>
        <v>18809</v>
      </c>
      <c r="C4" s="274" t="s">
        <v>136</v>
      </c>
      <c r="D4" s="287" t="s">
        <v>169</v>
      </c>
      <c r="E4" s="249" t="s">
        <v>170</v>
      </c>
      <c r="F4" s="287" t="s">
        <v>340</v>
      </c>
      <c r="G4" s="289">
        <v>1.2</v>
      </c>
      <c r="H4" s="428">
        <v>0</v>
      </c>
      <c r="I4" s="434"/>
      <c r="J4" s="434"/>
      <c r="K4" s="434"/>
      <c r="L4" s="434"/>
      <c r="M4" s="434"/>
      <c r="N4" s="487" t="s">
        <v>91</v>
      </c>
      <c r="O4" s="540" t="s">
        <v>0</v>
      </c>
      <c r="P4" s="522" t="s">
        <v>454</v>
      </c>
      <c r="Q4" s="533" t="s">
        <v>366</v>
      </c>
      <c r="R4" s="526" t="s">
        <v>513</v>
      </c>
    </row>
    <row r="5" spans="1:18" x14ac:dyDescent="0.25">
      <c r="A5" s="451"/>
      <c r="B5" s="485"/>
      <c r="C5" s="249" t="s">
        <v>398</v>
      </c>
      <c r="D5" s="287" t="s">
        <v>169</v>
      </c>
      <c r="E5" s="249" t="s">
        <v>131</v>
      </c>
      <c r="F5" s="287" t="s">
        <v>90</v>
      </c>
      <c r="G5" s="289">
        <v>2.5</v>
      </c>
      <c r="H5" s="429"/>
      <c r="I5" s="435"/>
      <c r="J5" s="435"/>
      <c r="K5" s="435"/>
      <c r="L5" s="435"/>
      <c r="M5" s="435"/>
      <c r="N5" s="508"/>
      <c r="O5" s="541"/>
      <c r="P5" s="523"/>
      <c r="Q5" s="544"/>
      <c r="R5" s="543"/>
    </row>
    <row r="6" spans="1:18" x14ac:dyDescent="0.25">
      <c r="A6" s="451"/>
      <c r="B6" s="485"/>
      <c r="C6" s="249" t="s">
        <v>398</v>
      </c>
      <c r="D6" s="287" t="s">
        <v>151</v>
      </c>
      <c r="E6" s="249" t="s">
        <v>131</v>
      </c>
      <c r="F6" s="287" t="s">
        <v>90</v>
      </c>
      <c r="G6" s="289">
        <v>-2.5</v>
      </c>
      <c r="H6" s="429"/>
      <c r="I6" s="436"/>
      <c r="J6" s="436"/>
      <c r="K6" s="436"/>
      <c r="L6" s="436"/>
      <c r="M6" s="436"/>
      <c r="N6" s="488"/>
      <c r="O6" s="542"/>
      <c r="P6" s="524"/>
      <c r="Q6" s="534"/>
      <c r="R6" s="527"/>
    </row>
    <row r="7" spans="1:18" ht="60" customHeight="1" x14ac:dyDescent="0.25">
      <c r="A7" s="451"/>
      <c r="B7" s="485"/>
      <c r="C7" s="274" t="s">
        <v>136</v>
      </c>
      <c r="D7" s="287" t="s">
        <v>101</v>
      </c>
      <c r="E7" s="249" t="s">
        <v>170</v>
      </c>
      <c r="F7" s="287" t="s">
        <v>340</v>
      </c>
      <c r="G7" s="289">
        <v>12276.726000000001</v>
      </c>
      <c r="H7" s="429"/>
      <c r="I7" s="434"/>
      <c r="J7" s="434"/>
      <c r="K7" s="434"/>
      <c r="L7" s="434"/>
      <c r="M7" s="434"/>
      <c r="N7" s="497" t="s">
        <v>91</v>
      </c>
      <c r="O7" s="545" t="s">
        <v>1</v>
      </c>
      <c r="P7" s="532" t="s">
        <v>454</v>
      </c>
      <c r="Q7" s="573" t="s">
        <v>436</v>
      </c>
      <c r="R7" s="539" t="s">
        <v>513</v>
      </c>
    </row>
    <row r="8" spans="1:18" x14ac:dyDescent="0.25">
      <c r="A8" s="451"/>
      <c r="B8" s="485"/>
      <c r="C8" s="274" t="s">
        <v>136</v>
      </c>
      <c r="D8" s="274" t="s">
        <v>101</v>
      </c>
      <c r="E8" s="249" t="s">
        <v>131</v>
      </c>
      <c r="F8" s="287" t="s">
        <v>90</v>
      </c>
      <c r="G8" s="289">
        <v>700</v>
      </c>
      <c r="H8" s="429"/>
      <c r="I8" s="436"/>
      <c r="J8" s="436"/>
      <c r="K8" s="436"/>
      <c r="L8" s="436"/>
      <c r="M8" s="436"/>
      <c r="N8" s="497"/>
      <c r="O8" s="545"/>
      <c r="P8" s="532"/>
      <c r="Q8" s="573"/>
      <c r="R8" s="539"/>
    </row>
    <row r="9" spans="1:18" ht="63" customHeight="1" x14ac:dyDescent="0.25">
      <c r="A9" s="451"/>
      <c r="B9" s="485"/>
      <c r="C9" s="274" t="s">
        <v>136</v>
      </c>
      <c r="D9" s="287" t="s">
        <v>137</v>
      </c>
      <c r="E9" s="249" t="s">
        <v>170</v>
      </c>
      <c r="F9" s="287" t="s">
        <v>340</v>
      </c>
      <c r="G9" s="289">
        <v>622.26666599999999</v>
      </c>
      <c r="H9" s="429"/>
      <c r="I9" s="443" t="s">
        <v>130</v>
      </c>
      <c r="J9" s="443" t="s">
        <v>137</v>
      </c>
      <c r="K9" s="443" t="s">
        <v>131</v>
      </c>
      <c r="L9" s="443" t="s">
        <v>90</v>
      </c>
      <c r="M9" s="443">
        <v>444.249506</v>
      </c>
      <c r="N9" s="487" t="s">
        <v>91</v>
      </c>
      <c r="O9" s="540" t="s">
        <v>2</v>
      </c>
      <c r="P9" s="487" t="s">
        <v>92</v>
      </c>
      <c r="Q9" s="548" t="s">
        <v>670</v>
      </c>
      <c r="R9" s="535" t="s">
        <v>663</v>
      </c>
    </row>
    <row r="10" spans="1:18" x14ac:dyDescent="0.25">
      <c r="A10" s="451"/>
      <c r="B10" s="485"/>
      <c r="C10" s="274" t="s">
        <v>136</v>
      </c>
      <c r="D10" s="287" t="s">
        <v>137</v>
      </c>
      <c r="E10" s="249" t="s">
        <v>131</v>
      </c>
      <c r="F10" s="287" t="s">
        <v>90</v>
      </c>
      <c r="G10" s="289">
        <v>320.13333399999999</v>
      </c>
      <c r="H10" s="429"/>
      <c r="I10" s="444"/>
      <c r="J10" s="444"/>
      <c r="K10" s="444"/>
      <c r="L10" s="444"/>
      <c r="M10" s="444"/>
      <c r="N10" s="508"/>
      <c r="O10" s="541"/>
      <c r="P10" s="508"/>
      <c r="Q10" s="549"/>
      <c r="R10" s="536"/>
    </row>
    <row r="11" spans="1:18" ht="45" x14ac:dyDescent="0.25">
      <c r="A11" s="451"/>
      <c r="B11" s="485"/>
      <c r="C11" s="274" t="s">
        <v>398</v>
      </c>
      <c r="D11" s="287" t="s">
        <v>137</v>
      </c>
      <c r="E11" s="249" t="s">
        <v>170</v>
      </c>
      <c r="F11" s="287" t="s">
        <v>340</v>
      </c>
      <c r="G11" s="289">
        <v>-522.88831300000004</v>
      </c>
      <c r="H11" s="429"/>
      <c r="I11" s="444"/>
      <c r="J11" s="444"/>
      <c r="K11" s="444"/>
      <c r="L11" s="444"/>
      <c r="M11" s="444"/>
      <c r="N11" s="508"/>
      <c r="O11" s="541"/>
      <c r="P11" s="508"/>
      <c r="Q11" s="549"/>
      <c r="R11" s="536"/>
    </row>
    <row r="12" spans="1:18" x14ac:dyDescent="0.25">
      <c r="A12" s="451"/>
      <c r="B12" s="485"/>
      <c r="C12" s="274" t="s">
        <v>398</v>
      </c>
      <c r="D12" s="287" t="s">
        <v>137</v>
      </c>
      <c r="E12" s="249" t="s">
        <v>131</v>
      </c>
      <c r="F12" s="287" t="s">
        <v>90</v>
      </c>
      <c r="G12" s="289">
        <f>504.570313+18.248+0.07</f>
        <v>522.88831300000004</v>
      </c>
      <c r="H12" s="429"/>
      <c r="I12" s="444"/>
      <c r="J12" s="444"/>
      <c r="K12" s="444"/>
      <c r="L12" s="444"/>
      <c r="M12" s="444"/>
      <c r="N12" s="508"/>
      <c r="O12" s="541"/>
      <c r="P12" s="508"/>
      <c r="Q12" s="549"/>
      <c r="R12" s="536"/>
    </row>
    <row r="13" spans="1:18" ht="57.75" customHeight="1" x14ac:dyDescent="0.25">
      <c r="A13" s="451"/>
      <c r="B13" s="485"/>
      <c r="C13" s="274" t="s">
        <v>136</v>
      </c>
      <c r="D13" s="287" t="s">
        <v>137</v>
      </c>
      <c r="E13" s="249" t="s">
        <v>170</v>
      </c>
      <c r="F13" s="287" t="s">
        <v>340</v>
      </c>
      <c r="G13" s="289">
        <v>3347.0251779999999</v>
      </c>
      <c r="H13" s="429"/>
      <c r="I13" s="444"/>
      <c r="J13" s="444"/>
      <c r="K13" s="444"/>
      <c r="L13" s="444"/>
      <c r="M13" s="444"/>
      <c r="N13" s="508"/>
      <c r="O13" s="541"/>
      <c r="P13" s="508"/>
      <c r="Q13" s="549"/>
      <c r="R13" s="536"/>
    </row>
    <row r="14" spans="1:18" x14ac:dyDescent="0.25">
      <c r="A14" s="451"/>
      <c r="B14" s="485"/>
      <c r="C14" s="274" t="s">
        <v>136</v>
      </c>
      <c r="D14" s="287" t="s">
        <v>137</v>
      </c>
      <c r="E14" s="249" t="s">
        <v>131</v>
      </c>
      <c r="F14" s="287" t="s">
        <v>90</v>
      </c>
      <c r="G14" s="289">
        <v>2202.8748220000002</v>
      </c>
      <c r="H14" s="429"/>
      <c r="I14" s="444"/>
      <c r="J14" s="444"/>
      <c r="K14" s="444"/>
      <c r="L14" s="444"/>
      <c r="M14" s="444"/>
      <c r="N14" s="508"/>
      <c r="O14" s="541"/>
      <c r="P14" s="508"/>
      <c r="Q14" s="549"/>
      <c r="R14" s="536"/>
    </row>
    <row r="15" spans="1:18" ht="45" x14ac:dyDescent="0.25">
      <c r="A15" s="451"/>
      <c r="B15" s="485"/>
      <c r="C15" s="274" t="s">
        <v>398</v>
      </c>
      <c r="D15" s="287" t="s">
        <v>137</v>
      </c>
      <c r="E15" s="249" t="s">
        <v>170</v>
      </c>
      <c r="F15" s="287" t="s">
        <v>340</v>
      </c>
      <c r="G15" s="289">
        <v>-1722.2837</v>
      </c>
      <c r="H15" s="429"/>
      <c r="I15" s="444"/>
      <c r="J15" s="444"/>
      <c r="K15" s="444"/>
      <c r="L15" s="444"/>
      <c r="M15" s="444"/>
      <c r="N15" s="508"/>
      <c r="O15" s="541"/>
      <c r="P15" s="508"/>
      <c r="Q15" s="549"/>
      <c r="R15" s="536"/>
    </row>
    <row r="16" spans="1:18" x14ac:dyDescent="0.25">
      <c r="A16" s="451"/>
      <c r="B16" s="485"/>
      <c r="C16" s="274" t="s">
        <v>398</v>
      </c>
      <c r="D16" s="287" t="s">
        <v>137</v>
      </c>
      <c r="E16" s="249" t="s">
        <v>131</v>
      </c>
      <c r="F16" s="253" t="s">
        <v>90</v>
      </c>
      <c r="G16" s="289">
        <v>1722.2837</v>
      </c>
      <c r="H16" s="429"/>
      <c r="I16" s="445"/>
      <c r="J16" s="445"/>
      <c r="K16" s="445"/>
      <c r="L16" s="445"/>
      <c r="M16" s="445"/>
      <c r="N16" s="488"/>
      <c r="O16" s="542"/>
      <c r="P16" s="488"/>
      <c r="Q16" s="550"/>
      <c r="R16" s="537"/>
    </row>
    <row r="17" spans="1:18" ht="60.75" customHeight="1" x14ac:dyDescent="0.25">
      <c r="A17" s="451"/>
      <c r="B17" s="485"/>
      <c r="C17" s="274" t="s">
        <v>136</v>
      </c>
      <c r="D17" s="287" t="s">
        <v>151</v>
      </c>
      <c r="E17" s="249" t="s">
        <v>170</v>
      </c>
      <c r="F17" s="287" t="s">
        <v>340</v>
      </c>
      <c r="G17" s="289">
        <v>18.5</v>
      </c>
      <c r="H17" s="429"/>
      <c r="I17" s="434" t="s">
        <v>130</v>
      </c>
      <c r="J17" s="434" t="s">
        <v>151</v>
      </c>
      <c r="K17" s="434" t="s">
        <v>131</v>
      </c>
      <c r="L17" s="434" t="s">
        <v>90</v>
      </c>
      <c r="M17" s="434">
        <f>34.926062+183.047024</f>
        <v>217.973086</v>
      </c>
      <c r="N17" s="487" t="s">
        <v>91</v>
      </c>
      <c r="O17" s="540" t="s">
        <v>3</v>
      </c>
      <c r="P17" s="522" t="s">
        <v>454</v>
      </c>
      <c r="Q17" s="533" t="s">
        <v>522</v>
      </c>
      <c r="R17" s="526" t="s">
        <v>513</v>
      </c>
    </row>
    <row r="18" spans="1:18" x14ac:dyDescent="0.25">
      <c r="A18" s="451"/>
      <c r="B18" s="485"/>
      <c r="C18" s="274" t="s">
        <v>136</v>
      </c>
      <c r="D18" s="287" t="s">
        <v>151</v>
      </c>
      <c r="E18" s="249" t="s">
        <v>131</v>
      </c>
      <c r="F18" s="287" t="s">
        <v>90</v>
      </c>
      <c r="G18" s="289">
        <f>202.625+112.426062</f>
        <v>315.051062</v>
      </c>
      <c r="H18" s="429"/>
      <c r="I18" s="435"/>
      <c r="J18" s="435"/>
      <c r="K18" s="435"/>
      <c r="L18" s="435"/>
      <c r="M18" s="435"/>
      <c r="N18" s="508"/>
      <c r="O18" s="541"/>
      <c r="P18" s="523"/>
      <c r="Q18" s="544"/>
      <c r="R18" s="543"/>
    </row>
    <row r="19" spans="1:18" ht="45" x14ac:dyDescent="0.25">
      <c r="A19" s="451"/>
      <c r="B19" s="485"/>
      <c r="C19" s="274" t="s">
        <v>398</v>
      </c>
      <c r="D19" s="287" t="s">
        <v>151</v>
      </c>
      <c r="E19" s="249" t="s">
        <v>170</v>
      </c>
      <c r="F19" s="287" t="s">
        <v>340</v>
      </c>
      <c r="G19" s="289">
        <v>-16.448232999999998</v>
      </c>
      <c r="H19" s="429"/>
      <c r="I19" s="435"/>
      <c r="J19" s="435"/>
      <c r="K19" s="435"/>
      <c r="L19" s="435"/>
      <c r="M19" s="435"/>
      <c r="N19" s="508"/>
      <c r="O19" s="541"/>
      <c r="P19" s="523"/>
      <c r="Q19" s="544"/>
      <c r="R19" s="543"/>
    </row>
    <row r="20" spans="1:18" x14ac:dyDescent="0.25">
      <c r="A20" s="451"/>
      <c r="B20" s="485"/>
      <c r="C20" s="274" t="s">
        <v>398</v>
      </c>
      <c r="D20" s="287" t="s">
        <v>151</v>
      </c>
      <c r="E20" s="249" t="s">
        <v>131</v>
      </c>
      <c r="F20" s="287" t="s">
        <v>90</v>
      </c>
      <c r="G20" s="289">
        <v>16.448232999999998</v>
      </c>
      <c r="H20" s="429"/>
      <c r="I20" s="436"/>
      <c r="J20" s="436"/>
      <c r="K20" s="436"/>
      <c r="L20" s="436"/>
      <c r="M20" s="436"/>
      <c r="N20" s="488"/>
      <c r="O20" s="542"/>
      <c r="P20" s="524"/>
      <c r="Q20" s="534"/>
      <c r="R20" s="527"/>
    </row>
    <row r="21" spans="1:18" ht="60" customHeight="1" x14ac:dyDescent="0.25">
      <c r="A21" s="451"/>
      <c r="B21" s="485"/>
      <c r="C21" s="274" t="s">
        <v>136</v>
      </c>
      <c r="D21" s="287" t="s">
        <v>172</v>
      </c>
      <c r="E21" s="249" t="s">
        <v>170</v>
      </c>
      <c r="F21" s="287" t="s">
        <v>340</v>
      </c>
      <c r="G21" s="289">
        <v>100</v>
      </c>
      <c r="H21" s="429"/>
      <c r="I21" s="502" t="s">
        <v>130</v>
      </c>
      <c r="J21" s="428" t="s">
        <v>172</v>
      </c>
      <c r="K21" s="502" t="s">
        <v>131</v>
      </c>
      <c r="L21" s="502" t="s">
        <v>90</v>
      </c>
      <c r="M21" s="505">
        <v>650.88149299999998</v>
      </c>
      <c r="N21" s="497" t="s">
        <v>91</v>
      </c>
      <c r="O21" s="545" t="s">
        <v>4</v>
      </c>
      <c r="P21" s="532" t="s">
        <v>454</v>
      </c>
      <c r="Q21" s="551" t="s">
        <v>523</v>
      </c>
      <c r="R21" s="539" t="s">
        <v>513</v>
      </c>
    </row>
    <row r="22" spans="1:18" ht="60" customHeight="1" x14ac:dyDescent="0.25">
      <c r="A22" s="451"/>
      <c r="B22" s="485"/>
      <c r="C22" s="249" t="s">
        <v>136</v>
      </c>
      <c r="D22" s="287" t="s">
        <v>172</v>
      </c>
      <c r="E22" s="249" t="s">
        <v>131</v>
      </c>
      <c r="F22" s="287" t="s">
        <v>90</v>
      </c>
      <c r="G22" s="289">
        <v>400</v>
      </c>
      <c r="H22" s="429"/>
      <c r="I22" s="503"/>
      <c r="J22" s="429"/>
      <c r="K22" s="503"/>
      <c r="L22" s="503"/>
      <c r="M22" s="506"/>
      <c r="N22" s="497"/>
      <c r="O22" s="545"/>
      <c r="P22" s="532"/>
      <c r="Q22" s="551"/>
      <c r="R22" s="539"/>
    </row>
    <row r="23" spans="1:18" ht="60" customHeight="1" x14ac:dyDescent="0.25">
      <c r="A23" s="451"/>
      <c r="B23" s="485"/>
      <c r="C23" s="274" t="s">
        <v>398</v>
      </c>
      <c r="D23" s="287" t="s">
        <v>172</v>
      </c>
      <c r="E23" s="249" t="s">
        <v>170</v>
      </c>
      <c r="F23" s="287" t="s">
        <v>340</v>
      </c>
      <c r="G23" s="289">
        <v>-379.99461200000002</v>
      </c>
      <c r="H23" s="429"/>
      <c r="I23" s="503"/>
      <c r="J23" s="429"/>
      <c r="K23" s="503"/>
      <c r="L23" s="503"/>
      <c r="M23" s="506"/>
      <c r="N23" s="497"/>
      <c r="O23" s="545"/>
      <c r="P23" s="532"/>
      <c r="Q23" s="551"/>
      <c r="R23" s="539"/>
    </row>
    <row r="24" spans="1:18" ht="30" x14ac:dyDescent="0.25">
      <c r="A24" s="451"/>
      <c r="B24" s="485"/>
      <c r="C24" s="274" t="s">
        <v>398</v>
      </c>
      <c r="D24" s="287" t="s">
        <v>172</v>
      </c>
      <c r="E24" s="249" t="s">
        <v>131</v>
      </c>
      <c r="F24" s="287" t="s">
        <v>90</v>
      </c>
      <c r="G24" s="289">
        <v>379.99461200000002</v>
      </c>
      <c r="H24" s="429"/>
      <c r="I24" s="504"/>
      <c r="J24" s="430"/>
      <c r="K24" s="504"/>
      <c r="L24" s="504"/>
      <c r="M24" s="507"/>
      <c r="N24" s="497"/>
      <c r="O24" s="545"/>
      <c r="P24" s="532"/>
      <c r="Q24" s="551"/>
      <c r="R24" s="539"/>
    </row>
    <row r="25" spans="1:18" x14ac:dyDescent="0.25">
      <c r="A25" s="451"/>
      <c r="B25" s="485"/>
      <c r="C25" s="274" t="s">
        <v>398</v>
      </c>
      <c r="D25" s="287" t="s">
        <v>151</v>
      </c>
      <c r="E25" s="249" t="s">
        <v>131</v>
      </c>
      <c r="F25" s="287" t="s">
        <v>90</v>
      </c>
      <c r="G25" s="289">
        <v>-7</v>
      </c>
      <c r="H25" s="429"/>
      <c r="I25" s="362"/>
      <c r="J25" s="434"/>
      <c r="K25" s="434"/>
      <c r="L25" s="434"/>
      <c r="M25" s="434"/>
      <c r="N25" s="487" t="s">
        <v>426</v>
      </c>
      <c r="O25" s="564" t="s">
        <v>90</v>
      </c>
      <c r="P25" s="532" t="s">
        <v>454</v>
      </c>
      <c r="Q25" s="533" t="s">
        <v>458</v>
      </c>
      <c r="R25" s="526" t="s">
        <v>513</v>
      </c>
    </row>
    <row r="26" spans="1:18" x14ac:dyDescent="0.25">
      <c r="A26" s="451"/>
      <c r="B26" s="485"/>
      <c r="C26" s="274" t="s">
        <v>398</v>
      </c>
      <c r="D26" s="287" t="s">
        <v>453</v>
      </c>
      <c r="E26" s="249" t="s">
        <v>131</v>
      </c>
      <c r="F26" s="287" t="s">
        <v>90</v>
      </c>
      <c r="G26" s="289">
        <v>7</v>
      </c>
      <c r="H26" s="429"/>
      <c r="I26" s="363"/>
      <c r="J26" s="436"/>
      <c r="K26" s="436"/>
      <c r="L26" s="436"/>
      <c r="M26" s="436"/>
      <c r="N26" s="488"/>
      <c r="O26" s="565"/>
      <c r="P26" s="532"/>
      <c r="Q26" s="534"/>
      <c r="R26" s="527"/>
    </row>
    <row r="27" spans="1:18" ht="30" x14ac:dyDescent="0.25">
      <c r="A27" s="452"/>
      <c r="B27" s="486"/>
      <c r="C27" s="348" t="s">
        <v>88</v>
      </c>
      <c r="D27" s="366" t="s">
        <v>206</v>
      </c>
      <c r="E27" s="322" t="s">
        <v>90</v>
      </c>
      <c r="F27" s="336" t="s">
        <v>90</v>
      </c>
      <c r="G27" s="357" t="s">
        <v>90</v>
      </c>
      <c r="H27" s="430"/>
      <c r="I27" s="332" t="s">
        <v>130</v>
      </c>
      <c r="J27" s="366" t="s">
        <v>206</v>
      </c>
      <c r="K27" s="332" t="s">
        <v>131</v>
      </c>
      <c r="L27" s="332" t="s">
        <v>90</v>
      </c>
      <c r="M27" s="332">
        <v>35</v>
      </c>
      <c r="N27" s="337" t="s">
        <v>355</v>
      </c>
      <c r="O27" s="338"/>
      <c r="P27" s="335"/>
      <c r="Q27" s="339"/>
      <c r="R27" s="342"/>
    </row>
    <row r="28" spans="1:18" ht="30" customHeight="1" x14ac:dyDescent="0.25">
      <c r="A28" s="558" t="s">
        <v>173</v>
      </c>
      <c r="B28" s="484">
        <v>2000</v>
      </c>
      <c r="C28" s="249" t="s">
        <v>136</v>
      </c>
      <c r="D28" s="287" t="s">
        <v>101</v>
      </c>
      <c r="E28" s="249" t="s">
        <v>170</v>
      </c>
      <c r="F28" s="287" t="s">
        <v>338</v>
      </c>
      <c r="G28" s="289">
        <v>1000</v>
      </c>
      <c r="H28" s="428">
        <v>0</v>
      </c>
      <c r="I28" s="434"/>
      <c r="J28" s="434"/>
      <c r="K28" s="434"/>
      <c r="L28" s="434"/>
      <c r="M28" s="434"/>
      <c r="N28" s="552" t="s">
        <v>91</v>
      </c>
      <c r="O28" s="546" t="s">
        <v>1</v>
      </c>
      <c r="P28" s="532" t="s">
        <v>454</v>
      </c>
      <c r="Q28" s="538" t="s">
        <v>423</v>
      </c>
      <c r="R28" s="525" t="s">
        <v>513</v>
      </c>
    </row>
    <row r="29" spans="1:18" x14ac:dyDescent="0.25">
      <c r="A29" s="558"/>
      <c r="B29" s="433"/>
      <c r="C29" s="249" t="s">
        <v>136</v>
      </c>
      <c r="D29" s="287" t="s">
        <v>101</v>
      </c>
      <c r="E29" s="249" t="s">
        <v>131</v>
      </c>
      <c r="F29" s="287" t="s">
        <v>90</v>
      </c>
      <c r="G29" s="289">
        <v>1000</v>
      </c>
      <c r="H29" s="430"/>
      <c r="I29" s="436"/>
      <c r="J29" s="436"/>
      <c r="K29" s="436"/>
      <c r="L29" s="436"/>
      <c r="M29" s="436"/>
      <c r="N29" s="552"/>
      <c r="O29" s="546"/>
      <c r="P29" s="532"/>
      <c r="Q29" s="538"/>
      <c r="R29" s="481"/>
    </row>
    <row r="30" spans="1:18" ht="30" customHeight="1" x14ac:dyDescent="0.25">
      <c r="A30" s="450" t="s">
        <v>174</v>
      </c>
      <c r="B30" s="431">
        <f>115+65</f>
        <v>180</v>
      </c>
      <c r="C30" s="274" t="s">
        <v>130</v>
      </c>
      <c r="D30" s="287" t="s">
        <v>175</v>
      </c>
      <c r="E30" s="249" t="s">
        <v>170</v>
      </c>
      <c r="F30" s="287" t="s">
        <v>338</v>
      </c>
      <c r="G30" s="289">
        <v>25</v>
      </c>
      <c r="H30" s="428">
        <v>0</v>
      </c>
      <c r="I30" s="434"/>
      <c r="J30" s="434"/>
      <c r="K30" s="434"/>
      <c r="L30" s="434"/>
      <c r="M30" s="434"/>
      <c r="N30" s="487" t="s">
        <v>91</v>
      </c>
      <c r="O30" s="540" t="s">
        <v>5</v>
      </c>
      <c r="P30" s="532" t="s">
        <v>454</v>
      </c>
      <c r="Q30" s="548" t="s">
        <v>524</v>
      </c>
      <c r="R30" s="535" t="s">
        <v>513</v>
      </c>
    </row>
    <row r="31" spans="1:18" ht="30" x14ac:dyDescent="0.25">
      <c r="A31" s="451"/>
      <c r="B31" s="432"/>
      <c r="C31" s="274" t="s">
        <v>130</v>
      </c>
      <c r="D31" s="287" t="s">
        <v>175</v>
      </c>
      <c r="E31" s="249" t="s">
        <v>170</v>
      </c>
      <c r="F31" s="287" t="s">
        <v>338</v>
      </c>
      <c r="G31" s="289">
        <v>17.3</v>
      </c>
      <c r="H31" s="429"/>
      <c r="I31" s="435"/>
      <c r="J31" s="435"/>
      <c r="K31" s="435"/>
      <c r="L31" s="435"/>
      <c r="M31" s="435"/>
      <c r="N31" s="508"/>
      <c r="O31" s="541"/>
      <c r="P31" s="532"/>
      <c r="Q31" s="549"/>
      <c r="R31" s="536"/>
    </row>
    <row r="32" spans="1:18" ht="30" x14ac:dyDescent="0.25">
      <c r="A32" s="451"/>
      <c r="B32" s="432"/>
      <c r="C32" s="274" t="s">
        <v>130</v>
      </c>
      <c r="D32" s="287" t="s">
        <v>175</v>
      </c>
      <c r="E32" s="249" t="s">
        <v>170</v>
      </c>
      <c r="F32" s="287" t="s">
        <v>338</v>
      </c>
      <c r="G32" s="289">
        <v>72.599999999999994</v>
      </c>
      <c r="H32" s="429"/>
      <c r="I32" s="435"/>
      <c r="J32" s="435"/>
      <c r="K32" s="435"/>
      <c r="L32" s="435"/>
      <c r="M32" s="435"/>
      <c r="N32" s="508"/>
      <c r="O32" s="541"/>
      <c r="P32" s="532"/>
      <c r="Q32" s="549"/>
      <c r="R32" s="536"/>
    </row>
    <row r="33" spans="1:18" ht="30" x14ac:dyDescent="0.25">
      <c r="A33" s="452"/>
      <c r="B33" s="433"/>
      <c r="C33" s="274" t="s">
        <v>398</v>
      </c>
      <c r="D33" s="287" t="s">
        <v>175</v>
      </c>
      <c r="E33" s="249" t="s">
        <v>131</v>
      </c>
      <c r="F33" s="287" t="s">
        <v>90</v>
      </c>
      <c r="G33" s="289">
        <v>64.7</v>
      </c>
      <c r="H33" s="430"/>
      <c r="I33" s="436"/>
      <c r="J33" s="436"/>
      <c r="K33" s="436"/>
      <c r="L33" s="436"/>
      <c r="M33" s="436"/>
      <c r="N33" s="488"/>
      <c r="O33" s="542"/>
      <c r="P33" s="532"/>
      <c r="Q33" s="550"/>
      <c r="R33" s="537"/>
    </row>
    <row r="34" spans="1:18" x14ac:dyDescent="0.25">
      <c r="A34" s="450" t="s">
        <v>176</v>
      </c>
      <c r="B34" s="431">
        <v>115</v>
      </c>
      <c r="C34" s="437" t="s">
        <v>136</v>
      </c>
      <c r="D34" s="437" t="s">
        <v>165</v>
      </c>
      <c r="E34" s="437" t="s">
        <v>131</v>
      </c>
      <c r="F34" s="431" t="s">
        <v>90</v>
      </c>
      <c r="G34" s="434">
        <f>115.782133</f>
        <v>115.782133</v>
      </c>
      <c r="H34" s="428">
        <v>59</v>
      </c>
      <c r="I34" s="274" t="s">
        <v>478</v>
      </c>
      <c r="J34" s="255" t="s">
        <v>165</v>
      </c>
      <c r="K34" s="249" t="s">
        <v>131</v>
      </c>
      <c r="L34" s="255" t="s">
        <v>90</v>
      </c>
      <c r="M34" s="357">
        <v>58.03445</v>
      </c>
      <c r="N34" s="437" t="s">
        <v>91</v>
      </c>
      <c r="O34" s="467" t="s">
        <v>6</v>
      </c>
      <c r="P34" s="532" t="s">
        <v>454</v>
      </c>
      <c r="Q34" s="473" t="s">
        <v>525</v>
      </c>
      <c r="R34" s="525" t="s">
        <v>513</v>
      </c>
    </row>
    <row r="35" spans="1:18" x14ac:dyDescent="0.25">
      <c r="A35" s="452"/>
      <c r="B35" s="433"/>
      <c r="C35" s="438"/>
      <c r="D35" s="438"/>
      <c r="E35" s="438"/>
      <c r="F35" s="433"/>
      <c r="G35" s="436"/>
      <c r="H35" s="430"/>
      <c r="I35" s="249" t="s">
        <v>478</v>
      </c>
      <c r="J35" s="255" t="s">
        <v>165</v>
      </c>
      <c r="K35" s="249" t="s">
        <v>170</v>
      </c>
      <c r="L35" s="287"/>
      <c r="M35" s="166">
        <v>9.3661999999999995E-2</v>
      </c>
      <c r="N35" s="438"/>
      <c r="O35" s="469"/>
      <c r="P35" s="532"/>
      <c r="Q35" s="475"/>
      <c r="R35" s="481"/>
    </row>
    <row r="36" spans="1:18" ht="30.75" customHeight="1" x14ac:dyDescent="0.25">
      <c r="A36" s="567" t="s">
        <v>177</v>
      </c>
      <c r="B36" s="570">
        <f>305+380+380</f>
        <v>1065</v>
      </c>
      <c r="C36" s="249" t="s">
        <v>130</v>
      </c>
      <c r="D36" s="287" t="s">
        <v>133</v>
      </c>
      <c r="E36" s="249" t="s">
        <v>170</v>
      </c>
      <c r="F36" s="287" t="s">
        <v>338</v>
      </c>
      <c r="G36" s="289">
        <v>305</v>
      </c>
      <c r="H36" s="489">
        <v>0</v>
      </c>
      <c r="I36" s="434" t="s">
        <v>130</v>
      </c>
      <c r="J36" s="434" t="s">
        <v>133</v>
      </c>
      <c r="K36" s="434" t="s">
        <v>131</v>
      </c>
      <c r="L36" s="434" t="s">
        <v>90</v>
      </c>
      <c r="M36" s="434">
        <f>329.937468+2.844012</f>
        <v>332.78148000000004</v>
      </c>
      <c r="N36" s="437" t="s">
        <v>91</v>
      </c>
      <c r="O36" s="467" t="s">
        <v>7</v>
      </c>
      <c r="P36" s="470" t="s">
        <v>454</v>
      </c>
      <c r="Q36" s="473" t="s">
        <v>526</v>
      </c>
      <c r="R36" s="455" t="s">
        <v>513</v>
      </c>
    </row>
    <row r="37" spans="1:18" ht="30" x14ac:dyDescent="0.25">
      <c r="A37" s="568"/>
      <c r="B37" s="571"/>
      <c r="C37" s="249" t="s">
        <v>130</v>
      </c>
      <c r="D37" s="287" t="s">
        <v>133</v>
      </c>
      <c r="E37" s="249" t="s">
        <v>170</v>
      </c>
      <c r="F37" s="287" t="s">
        <v>338</v>
      </c>
      <c r="G37" s="289">
        <v>75</v>
      </c>
      <c r="H37" s="490"/>
      <c r="I37" s="435"/>
      <c r="J37" s="435"/>
      <c r="K37" s="435"/>
      <c r="L37" s="435"/>
      <c r="M37" s="435"/>
      <c r="N37" s="446"/>
      <c r="O37" s="468"/>
      <c r="P37" s="471"/>
      <c r="Q37" s="474"/>
      <c r="R37" s="456"/>
    </row>
    <row r="38" spans="1:18" ht="60.75" customHeight="1" x14ac:dyDescent="0.25">
      <c r="A38" s="568"/>
      <c r="B38" s="571"/>
      <c r="C38" s="249" t="s">
        <v>136</v>
      </c>
      <c r="D38" s="287" t="s">
        <v>133</v>
      </c>
      <c r="E38" s="249" t="s">
        <v>170</v>
      </c>
      <c r="F38" s="287" t="s">
        <v>340</v>
      </c>
      <c r="G38" s="289">
        <v>305</v>
      </c>
      <c r="H38" s="490"/>
      <c r="I38" s="435"/>
      <c r="J38" s="435"/>
      <c r="K38" s="435"/>
      <c r="L38" s="435"/>
      <c r="M38" s="435"/>
      <c r="N38" s="446"/>
      <c r="O38" s="468"/>
      <c r="P38" s="471"/>
      <c r="Q38" s="474"/>
      <c r="R38" s="456"/>
    </row>
    <row r="39" spans="1:18" ht="45" x14ac:dyDescent="0.25">
      <c r="A39" s="568"/>
      <c r="B39" s="571"/>
      <c r="C39" s="249" t="s">
        <v>398</v>
      </c>
      <c r="D39" s="287" t="s">
        <v>133</v>
      </c>
      <c r="E39" s="249" t="s">
        <v>170</v>
      </c>
      <c r="F39" s="287" t="s">
        <v>340</v>
      </c>
      <c r="G39" s="289">
        <v>-3.838641</v>
      </c>
      <c r="H39" s="490"/>
      <c r="I39" s="435"/>
      <c r="J39" s="435"/>
      <c r="K39" s="435"/>
      <c r="L39" s="435"/>
      <c r="M39" s="435"/>
      <c r="N39" s="446"/>
      <c r="O39" s="468"/>
      <c r="P39" s="471"/>
      <c r="Q39" s="474"/>
      <c r="R39" s="456"/>
    </row>
    <row r="40" spans="1:18" x14ac:dyDescent="0.25">
      <c r="A40" s="569"/>
      <c r="B40" s="572"/>
      <c r="C40" s="249" t="s">
        <v>398</v>
      </c>
      <c r="D40" s="287" t="s">
        <v>133</v>
      </c>
      <c r="E40" s="249" t="s">
        <v>131</v>
      </c>
      <c r="F40" s="287" t="s">
        <v>90</v>
      </c>
      <c r="G40" s="289">
        <v>383.838641</v>
      </c>
      <c r="H40" s="491"/>
      <c r="I40" s="436"/>
      <c r="J40" s="436"/>
      <c r="K40" s="436"/>
      <c r="L40" s="436"/>
      <c r="M40" s="436"/>
      <c r="N40" s="438"/>
      <c r="O40" s="469"/>
      <c r="P40" s="472"/>
      <c r="Q40" s="475"/>
      <c r="R40" s="457"/>
    </row>
    <row r="41" spans="1:18" ht="30" x14ac:dyDescent="0.25">
      <c r="A41" s="450" t="s">
        <v>178</v>
      </c>
      <c r="B41" s="431">
        <v>205</v>
      </c>
      <c r="C41" s="249" t="s">
        <v>136</v>
      </c>
      <c r="D41" s="287" t="s">
        <v>158</v>
      </c>
      <c r="E41" s="249" t="s">
        <v>170</v>
      </c>
      <c r="F41" s="287" t="s">
        <v>339</v>
      </c>
      <c r="G41" s="289">
        <v>63.9</v>
      </c>
      <c r="H41" s="428">
        <v>0</v>
      </c>
      <c r="I41" s="434"/>
      <c r="J41" s="434"/>
      <c r="K41" s="434"/>
      <c r="L41" s="434"/>
      <c r="M41" s="434"/>
      <c r="N41" s="437" t="s">
        <v>91</v>
      </c>
      <c r="O41" s="467" t="s">
        <v>8</v>
      </c>
      <c r="P41" s="532" t="s">
        <v>454</v>
      </c>
      <c r="Q41" s="476" t="s">
        <v>439</v>
      </c>
      <c r="R41" s="525" t="s">
        <v>527</v>
      </c>
    </row>
    <row r="42" spans="1:18" ht="30" x14ac:dyDescent="0.25">
      <c r="A42" s="451"/>
      <c r="B42" s="432"/>
      <c r="C42" s="249" t="s">
        <v>398</v>
      </c>
      <c r="D42" s="287" t="s">
        <v>158</v>
      </c>
      <c r="E42" s="249" t="s">
        <v>170</v>
      </c>
      <c r="F42" s="287" t="s">
        <v>339</v>
      </c>
      <c r="G42" s="166">
        <v>-0.12490999999999999</v>
      </c>
      <c r="H42" s="429"/>
      <c r="I42" s="436"/>
      <c r="J42" s="436"/>
      <c r="K42" s="436"/>
      <c r="L42" s="436"/>
      <c r="M42" s="436"/>
      <c r="N42" s="438"/>
      <c r="O42" s="469"/>
      <c r="P42" s="532"/>
      <c r="Q42" s="478"/>
      <c r="R42" s="481"/>
    </row>
    <row r="43" spans="1:18" ht="30" x14ac:dyDescent="0.25">
      <c r="A43" s="451"/>
      <c r="B43" s="432"/>
      <c r="C43" s="249" t="s">
        <v>136</v>
      </c>
      <c r="D43" s="249" t="s">
        <v>133</v>
      </c>
      <c r="E43" s="249" t="s">
        <v>170</v>
      </c>
      <c r="F43" s="287" t="s">
        <v>339</v>
      </c>
      <c r="G43" s="289">
        <v>237.3</v>
      </c>
      <c r="H43" s="429"/>
      <c r="I43" s="434"/>
      <c r="J43" s="434"/>
      <c r="K43" s="434"/>
      <c r="L43" s="434"/>
      <c r="M43" s="434"/>
      <c r="N43" s="437" t="s">
        <v>91</v>
      </c>
      <c r="O43" s="467" t="s">
        <v>9</v>
      </c>
      <c r="P43" s="532" t="s">
        <v>454</v>
      </c>
      <c r="Q43" s="476" t="s">
        <v>528</v>
      </c>
      <c r="R43" s="479" t="s">
        <v>513</v>
      </c>
    </row>
    <row r="44" spans="1:18" x14ac:dyDescent="0.25">
      <c r="A44" s="451"/>
      <c r="B44" s="432"/>
      <c r="C44" s="249" t="s">
        <v>136</v>
      </c>
      <c r="D44" s="287" t="s">
        <v>133</v>
      </c>
      <c r="E44" s="249" t="s">
        <v>131</v>
      </c>
      <c r="F44" s="287" t="s">
        <v>90</v>
      </c>
      <c r="G44" s="289">
        <v>8.1</v>
      </c>
      <c r="H44" s="429"/>
      <c r="I44" s="435"/>
      <c r="J44" s="435"/>
      <c r="K44" s="435"/>
      <c r="L44" s="435"/>
      <c r="M44" s="435"/>
      <c r="N44" s="446"/>
      <c r="O44" s="468"/>
      <c r="P44" s="532"/>
      <c r="Q44" s="477"/>
      <c r="R44" s="480"/>
    </row>
    <row r="45" spans="1:18" ht="30" x14ac:dyDescent="0.25">
      <c r="A45" s="451"/>
      <c r="B45" s="432"/>
      <c r="C45" s="249" t="s">
        <v>398</v>
      </c>
      <c r="D45" s="287" t="s">
        <v>133</v>
      </c>
      <c r="E45" s="249" t="s">
        <v>170</v>
      </c>
      <c r="F45" s="287" t="s">
        <v>339</v>
      </c>
      <c r="G45" s="289">
        <v>-25.795983</v>
      </c>
      <c r="H45" s="429"/>
      <c r="I45" s="435"/>
      <c r="J45" s="435"/>
      <c r="K45" s="435"/>
      <c r="L45" s="435"/>
      <c r="M45" s="435"/>
      <c r="N45" s="446"/>
      <c r="O45" s="468"/>
      <c r="P45" s="532"/>
      <c r="Q45" s="477"/>
      <c r="R45" s="480"/>
    </row>
    <row r="46" spans="1:18" x14ac:dyDescent="0.25">
      <c r="A46" s="451"/>
      <c r="B46" s="432"/>
      <c r="C46" s="249" t="s">
        <v>398</v>
      </c>
      <c r="D46" s="287" t="s">
        <v>133</v>
      </c>
      <c r="E46" s="249" t="s">
        <v>131</v>
      </c>
      <c r="F46" s="287" t="s">
        <v>90</v>
      </c>
      <c r="G46" s="289">
        <f>0.109703+23.503155</f>
        <v>23.612857999999999</v>
      </c>
      <c r="H46" s="429"/>
      <c r="I46" s="436"/>
      <c r="J46" s="436"/>
      <c r="K46" s="436"/>
      <c r="L46" s="436"/>
      <c r="M46" s="436"/>
      <c r="N46" s="438"/>
      <c r="O46" s="469"/>
      <c r="P46" s="532"/>
      <c r="Q46" s="478"/>
      <c r="R46" s="481"/>
    </row>
    <row r="47" spans="1:18" ht="30" x14ac:dyDescent="0.25">
      <c r="A47" s="451"/>
      <c r="B47" s="432"/>
      <c r="C47" s="249" t="s">
        <v>136</v>
      </c>
      <c r="D47" s="287" t="s">
        <v>137</v>
      </c>
      <c r="E47" s="249" t="s">
        <v>170</v>
      </c>
      <c r="F47" s="287" t="s">
        <v>339</v>
      </c>
      <c r="G47" s="289">
        <v>0.6</v>
      </c>
      <c r="H47" s="429"/>
      <c r="I47" s="434"/>
      <c r="J47" s="434"/>
      <c r="K47" s="434"/>
      <c r="L47" s="434"/>
      <c r="M47" s="434"/>
      <c r="N47" s="437" t="s">
        <v>91</v>
      </c>
      <c r="O47" s="467" t="s">
        <v>2</v>
      </c>
      <c r="P47" s="437" t="s">
        <v>92</v>
      </c>
      <c r="Q47" s="476" t="s">
        <v>517</v>
      </c>
      <c r="R47" s="455" t="s">
        <v>663</v>
      </c>
    </row>
    <row r="48" spans="1:18" x14ac:dyDescent="0.25">
      <c r="A48" s="451"/>
      <c r="B48" s="432"/>
      <c r="C48" s="249" t="s">
        <v>136</v>
      </c>
      <c r="D48" s="287" t="s">
        <v>137</v>
      </c>
      <c r="E48" s="249" t="s">
        <v>131</v>
      </c>
      <c r="F48" s="287" t="s">
        <v>90</v>
      </c>
      <c r="G48" s="289">
        <v>8.1999999999999993</v>
      </c>
      <c r="H48" s="429"/>
      <c r="I48" s="435"/>
      <c r="J48" s="435"/>
      <c r="K48" s="435"/>
      <c r="L48" s="435"/>
      <c r="M48" s="435"/>
      <c r="N48" s="446"/>
      <c r="O48" s="468"/>
      <c r="P48" s="446"/>
      <c r="Q48" s="477"/>
      <c r="R48" s="456"/>
    </row>
    <row r="49" spans="1:18" ht="30" x14ac:dyDescent="0.25">
      <c r="A49" s="451"/>
      <c r="B49" s="432"/>
      <c r="C49" s="249" t="s">
        <v>398</v>
      </c>
      <c r="D49" s="287" t="s">
        <v>137</v>
      </c>
      <c r="E49" s="249" t="s">
        <v>170</v>
      </c>
      <c r="F49" s="287" t="s">
        <v>339</v>
      </c>
      <c r="G49" s="289">
        <v>-0.6</v>
      </c>
      <c r="H49" s="429"/>
      <c r="I49" s="435"/>
      <c r="J49" s="435"/>
      <c r="K49" s="435"/>
      <c r="L49" s="435"/>
      <c r="M49" s="435"/>
      <c r="N49" s="446"/>
      <c r="O49" s="468"/>
      <c r="P49" s="446"/>
      <c r="Q49" s="477"/>
      <c r="R49" s="456"/>
    </row>
    <row r="50" spans="1:18" x14ac:dyDescent="0.25">
      <c r="A50" s="451"/>
      <c r="B50" s="432"/>
      <c r="C50" s="249" t="s">
        <v>398</v>
      </c>
      <c r="D50" s="287" t="s">
        <v>137</v>
      </c>
      <c r="E50" s="249" t="s">
        <v>131</v>
      </c>
      <c r="F50" s="287" t="s">
        <v>90</v>
      </c>
      <c r="G50" s="289">
        <v>0.57145599999999996</v>
      </c>
      <c r="H50" s="429"/>
      <c r="I50" s="436"/>
      <c r="J50" s="436"/>
      <c r="K50" s="436"/>
      <c r="L50" s="436"/>
      <c r="M50" s="436"/>
      <c r="N50" s="438"/>
      <c r="O50" s="469"/>
      <c r="P50" s="438"/>
      <c r="Q50" s="478"/>
      <c r="R50" s="457"/>
    </row>
    <row r="51" spans="1:18" ht="30" x14ac:dyDescent="0.25">
      <c r="A51" s="452"/>
      <c r="B51" s="433"/>
      <c r="C51" s="249" t="s">
        <v>398</v>
      </c>
      <c r="D51" s="287" t="s">
        <v>175</v>
      </c>
      <c r="E51" s="249" t="s">
        <v>131</v>
      </c>
      <c r="F51" s="287" t="s">
        <v>90</v>
      </c>
      <c r="G51" s="289">
        <v>2.2772389999999998</v>
      </c>
      <c r="H51" s="430"/>
      <c r="I51" s="249"/>
      <c r="J51" s="287"/>
      <c r="K51" s="249"/>
      <c r="L51" s="287"/>
      <c r="M51" s="357"/>
      <c r="N51" s="249" t="s">
        <v>355</v>
      </c>
      <c r="O51" s="250"/>
      <c r="P51" s="249"/>
      <c r="Q51" s="270"/>
      <c r="R51" s="251"/>
    </row>
    <row r="52" spans="1:18" ht="37.5" customHeight="1" x14ac:dyDescent="0.25">
      <c r="A52" s="275" t="s">
        <v>180</v>
      </c>
      <c r="B52" s="96">
        <v>0</v>
      </c>
      <c r="C52" s="249" t="s">
        <v>88</v>
      </c>
      <c r="D52" s="287" t="s">
        <v>133</v>
      </c>
      <c r="E52" s="249" t="s">
        <v>90</v>
      </c>
      <c r="F52" s="287" t="s">
        <v>90</v>
      </c>
      <c r="G52" s="289" t="s">
        <v>90</v>
      </c>
      <c r="H52" s="198"/>
      <c r="I52" s="249"/>
      <c r="J52" s="287"/>
      <c r="K52" s="249"/>
      <c r="L52" s="287"/>
      <c r="M52" s="357"/>
      <c r="N52" s="249" t="s">
        <v>355</v>
      </c>
      <c r="O52" s="250"/>
      <c r="P52" s="249"/>
      <c r="Q52" s="270"/>
      <c r="R52" s="248"/>
    </row>
    <row r="53" spans="1:18" ht="15" customHeight="1" x14ac:dyDescent="0.25">
      <c r="A53" s="450" t="s">
        <v>181</v>
      </c>
      <c r="B53" s="431">
        <v>727</v>
      </c>
      <c r="C53" s="487" t="s">
        <v>130</v>
      </c>
      <c r="D53" s="431" t="s">
        <v>152</v>
      </c>
      <c r="E53" s="437" t="s">
        <v>131</v>
      </c>
      <c r="F53" s="431" t="s">
        <v>90</v>
      </c>
      <c r="G53" s="434">
        <v>375.06649900000002</v>
      </c>
      <c r="H53" s="428">
        <f>401</f>
        <v>401</v>
      </c>
      <c r="I53" s="274" t="s">
        <v>478</v>
      </c>
      <c r="J53" s="287" t="s">
        <v>152</v>
      </c>
      <c r="K53" s="249" t="s">
        <v>131</v>
      </c>
      <c r="L53" s="185" t="s">
        <v>90</v>
      </c>
      <c r="M53" s="357">
        <v>261.52390400000002</v>
      </c>
      <c r="N53" s="499" t="s">
        <v>91</v>
      </c>
      <c r="O53" s="540" t="s">
        <v>10</v>
      </c>
      <c r="P53" s="522" t="s">
        <v>454</v>
      </c>
      <c r="Q53" s="458" t="s">
        <v>529</v>
      </c>
      <c r="R53" s="453" t="s">
        <v>513</v>
      </c>
    </row>
    <row r="54" spans="1:18" ht="15" customHeight="1" x14ac:dyDescent="0.25">
      <c r="A54" s="451"/>
      <c r="B54" s="432"/>
      <c r="C54" s="488"/>
      <c r="D54" s="433"/>
      <c r="E54" s="438"/>
      <c r="F54" s="433"/>
      <c r="G54" s="436"/>
      <c r="H54" s="429"/>
      <c r="I54" s="274" t="s">
        <v>478</v>
      </c>
      <c r="J54" s="287" t="s">
        <v>152</v>
      </c>
      <c r="K54" s="249" t="s">
        <v>170</v>
      </c>
      <c r="L54" s="185"/>
      <c r="M54" s="357">
        <v>0.54374100000000003</v>
      </c>
      <c r="N54" s="501"/>
      <c r="O54" s="542"/>
      <c r="P54" s="524"/>
      <c r="Q54" s="460"/>
      <c r="R54" s="454"/>
    </row>
    <row r="55" spans="1:18" ht="45" x14ac:dyDescent="0.25">
      <c r="A55" s="451"/>
      <c r="B55" s="432"/>
      <c r="C55" s="274" t="s">
        <v>130</v>
      </c>
      <c r="D55" s="287" t="s">
        <v>182</v>
      </c>
      <c r="E55" s="249" t="s">
        <v>131</v>
      </c>
      <c r="F55" s="287" t="s">
        <v>90</v>
      </c>
      <c r="G55" s="289">
        <v>8</v>
      </c>
      <c r="H55" s="429"/>
      <c r="I55" s="274" t="s">
        <v>478</v>
      </c>
      <c r="J55" s="287" t="s">
        <v>182</v>
      </c>
      <c r="K55" s="249" t="s">
        <v>131</v>
      </c>
      <c r="L55" s="185" t="s">
        <v>90</v>
      </c>
      <c r="M55" s="357">
        <v>15</v>
      </c>
      <c r="N55" s="279" t="s">
        <v>91</v>
      </c>
      <c r="O55" s="271" t="s">
        <v>10</v>
      </c>
      <c r="P55" s="279" t="s">
        <v>92</v>
      </c>
      <c r="Q55" s="280" t="s">
        <v>183</v>
      </c>
      <c r="R55" s="97" t="s">
        <v>513</v>
      </c>
    </row>
    <row r="56" spans="1:18" x14ac:dyDescent="0.25">
      <c r="A56" s="451"/>
      <c r="B56" s="432"/>
      <c r="C56" s="487" t="s">
        <v>130</v>
      </c>
      <c r="D56" s="431" t="s">
        <v>154</v>
      </c>
      <c r="E56" s="437" t="s">
        <v>131</v>
      </c>
      <c r="F56" s="431" t="s">
        <v>90</v>
      </c>
      <c r="G56" s="434">
        <v>17.090800000000002</v>
      </c>
      <c r="H56" s="429"/>
      <c r="I56" s="274" t="s">
        <v>478</v>
      </c>
      <c r="J56" s="287" t="s">
        <v>154</v>
      </c>
      <c r="K56" s="249" t="s">
        <v>131</v>
      </c>
      <c r="L56" s="185" t="s">
        <v>90</v>
      </c>
      <c r="M56" s="357">
        <v>11.0908</v>
      </c>
      <c r="N56" s="499" t="s">
        <v>91</v>
      </c>
      <c r="O56" s="540" t="s">
        <v>11</v>
      </c>
      <c r="P56" s="522" t="s">
        <v>454</v>
      </c>
      <c r="Q56" s="458" t="s">
        <v>530</v>
      </c>
      <c r="R56" s="455" t="s">
        <v>513</v>
      </c>
    </row>
    <row r="57" spans="1:18" x14ac:dyDescent="0.25">
      <c r="A57" s="451"/>
      <c r="B57" s="432"/>
      <c r="C57" s="508"/>
      <c r="D57" s="432"/>
      <c r="E57" s="446"/>
      <c r="F57" s="432"/>
      <c r="G57" s="435"/>
      <c r="H57" s="429"/>
      <c r="I57" s="274" t="s">
        <v>478</v>
      </c>
      <c r="J57" s="287" t="s">
        <v>154</v>
      </c>
      <c r="K57" s="249" t="s">
        <v>170</v>
      </c>
      <c r="L57" s="185"/>
      <c r="M57" s="166">
        <v>0.35639999999999999</v>
      </c>
      <c r="N57" s="500"/>
      <c r="O57" s="541"/>
      <c r="P57" s="523"/>
      <c r="Q57" s="459"/>
      <c r="R57" s="456"/>
    </row>
    <row r="58" spans="1:18" x14ac:dyDescent="0.25">
      <c r="A58" s="451"/>
      <c r="B58" s="432"/>
      <c r="C58" s="488"/>
      <c r="D58" s="433"/>
      <c r="E58" s="438"/>
      <c r="F58" s="433"/>
      <c r="G58" s="436"/>
      <c r="H58" s="429"/>
      <c r="I58" s="340" t="s">
        <v>130</v>
      </c>
      <c r="J58" s="336" t="s">
        <v>154</v>
      </c>
      <c r="K58" s="322" t="s">
        <v>131</v>
      </c>
      <c r="L58" s="185" t="s">
        <v>90</v>
      </c>
      <c r="M58" s="355">
        <v>10.207867</v>
      </c>
      <c r="N58" s="501"/>
      <c r="O58" s="542"/>
      <c r="P58" s="524"/>
      <c r="Q58" s="460"/>
      <c r="R58" s="457"/>
    </row>
    <row r="59" spans="1:18" ht="15" customHeight="1" x14ac:dyDescent="0.25">
      <c r="A59" s="451"/>
      <c r="B59" s="432"/>
      <c r="C59" s="274" t="s">
        <v>130</v>
      </c>
      <c r="D59" s="287" t="s">
        <v>169</v>
      </c>
      <c r="E59" s="249" t="s">
        <v>131</v>
      </c>
      <c r="F59" s="287" t="s">
        <v>90</v>
      </c>
      <c r="G59" s="289">
        <v>1.78</v>
      </c>
      <c r="H59" s="429"/>
      <c r="I59" s="434"/>
      <c r="J59" s="434"/>
      <c r="K59" s="434"/>
      <c r="L59" s="434"/>
      <c r="M59" s="434"/>
      <c r="N59" s="562" t="s">
        <v>91</v>
      </c>
      <c r="O59" s="545" t="s">
        <v>12</v>
      </c>
      <c r="P59" s="522" t="s">
        <v>454</v>
      </c>
      <c r="Q59" s="566" t="s">
        <v>685</v>
      </c>
      <c r="R59" s="482" t="s">
        <v>513</v>
      </c>
    </row>
    <row r="60" spans="1:18" ht="15" customHeight="1" x14ac:dyDescent="0.25">
      <c r="A60" s="451"/>
      <c r="B60" s="432"/>
      <c r="C60" s="274" t="s">
        <v>130</v>
      </c>
      <c r="D60" s="287" t="s">
        <v>169</v>
      </c>
      <c r="E60" s="249" t="s">
        <v>170</v>
      </c>
      <c r="F60" s="287" t="s">
        <v>338</v>
      </c>
      <c r="G60" s="289">
        <v>112.7</v>
      </c>
      <c r="H60" s="429"/>
      <c r="I60" s="435"/>
      <c r="J60" s="435"/>
      <c r="K60" s="435"/>
      <c r="L60" s="435"/>
      <c r="M60" s="435"/>
      <c r="N60" s="562"/>
      <c r="O60" s="545"/>
      <c r="P60" s="523"/>
      <c r="Q60" s="566"/>
      <c r="R60" s="482"/>
    </row>
    <row r="61" spans="1:18" x14ac:dyDescent="0.25">
      <c r="A61" s="451"/>
      <c r="B61" s="432"/>
      <c r="C61" s="273" t="s">
        <v>136</v>
      </c>
      <c r="D61" s="287" t="s">
        <v>169</v>
      </c>
      <c r="E61" s="263" t="s">
        <v>131</v>
      </c>
      <c r="F61" s="246" t="s">
        <v>90</v>
      </c>
      <c r="G61" s="289">
        <v>12.399149</v>
      </c>
      <c r="H61" s="429"/>
      <c r="I61" s="436"/>
      <c r="J61" s="436"/>
      <c r="K61" s="436"/>
      <c r="L61" s="436"/>
      <c r="M61" s="436"/>
      <c r="N61" s="562"/>
      <c r="O61" s="545"/>
      <c r="P61" s="524"/>
      <c r="Q61" s="566"/>
      <c r="R61" s="483"/>
    </row>
    <row r="62" spans="1:18" x14ac:dyDescent="0.25">
      <c r="A62" s="451"/>
      <c r="B62" s="432"/>
      <c r="C62" s="274" t="s">
        <v>130</v>
      </c>
      <c r="D62" s="287" t="s">
        <v>137</v>
      </c>
      <c r="E62" s="249" t="s">
        <v>131</v>
      </c>
      <c r="F62" s="287" t="s">
        <v>90</v>
      </c>
      <c r="G62" s="289">
        <v>1.6896629999999999</v>
      </c>
      <c r="H62" s="429"/>
      <c r="I62" s="581" t="s">
        <v>478</v>
      </c>
      <c r="J62" s="496" t="s">
        <v>137</v>
      </c>
      <c r="K62" s="515" t="s">
        <v>131</v>
      </c>
      <c r="L62" s="515" t="s">
        <v>90</v>
      </c>
      <c r="M62" s="582">
        <v>105.29519000000001</v>
      </c>
      <c r="N62" s="499" t="s">
        <v>91</v>
      </c>
      <c r="O62" s="540" t="s">
        <v>2</v>
      </c>
      <c r="P62" s="499" t="s">
        <v>92</v>
      </c>
      <c r="Q62" s="528" t="s">
        <v>676</v>
      </c>
      <c r="R62" s="455" t="s">
        <v>663</v>
      </c>
    </row>
    <row r="63" spans="1:18" x14ac:dyDescent="0.25">
      <c r="A63" s="451"/>
      <c r="B63" s="432"/>
      <c r="C63" s="274" t="s">
        <v>130</v>
      </c>
      <c r="D63" s="287" t="s">
        <v>137</v>
      </c>
      <c r="E63" s="249" t="s">
        <v>131</v>
      </c>
      <c r="F63" s="287" t="s">
        <v>90</v>
      </c>
      <c r="G63" s="289">
        <v>3.3615650000000001</v>
      </c>
      <c r="H63" s="429"/>
      <c r="I63" s="581"/>
      <c r="J63" s="496"/>
      <c r="K63" s="515"/>
      <c r="L63" s="515"/>
      <c r="M63" s="582"/>
      <c r="N63" s="500"/>
      <c r="O63" s="541"/>
      <c r="P63" s="500"/>
      <c r="Q63" s="529"/>
      <c r="R63" s="456"/>
    </row>
    <row r="64" spans="1:18" ht="30" x14ac:dyDescent="0.25">
      <c r="A64" s="451"/>
      <c r="B64" s="432"/>
      <c r="C64" s="274" t="s">
        <v>130</v>
      </c>
      <c r="D64" s="287" t="s">
        <v>137</v>
      </c>
      <c r="E64" s="249" t="s">
        <v>170</v>
      </c>
      <c r="F64" s="287" t="s">
        <v>338</v>
      </c>
      <c r="G64" s="289">
        <v>200</v>
      </c>
      <c r="H64" s="429"/>
      <c r="I64" s="581"/>
      <c r="J64" s="496"/>
      <c r="K64" s="515"/>
      <c r="L64" s="515"/>
      <c r="M64" s="582"/>
      <c r="N64" s="500"/>
      <c r="O64" s="541"/>
      <c r="P64" s="500"/>
      <c r="Q64" s="529"/>
      <c r="R64" s="456"/>
    </row>
    <row r="65" spans="1:18" ht="30" x14ac:dyDescent="0.25">
      <c r="A65" s="451"/>
      <c r="B65" s="432"/>
      <c r="C65" s="274" t="s">
        <v>136</v>
      </c>
      <c r="D65" s="287" t="s">
        <v>137</v>
      </c>
      <c r="E65" s="249" t="s">
        <v>170</v>
      </c>
      <c r="F65" s="287" t="s">
        <v>338</v>
      </c>
      <c r="G65" s="289">
        <v>-101.549187</v>
      </c>
      <c r="H65" s="429"/>
      <c r="I65" s="581"/>
      <c r="J65" s="496"/>
      <c r="K65" s="515"/>
      <c r="L65" s="515"/>
      <c r="M65" s="582"/>
      <c r="N65" s="500"/>
      <c r="O65" s="541"/>
      <c r="P65" s="500"/>
      <c r="Q65" s="529"/>
      <c r="R65" s="456"/>
    </row>
    <row r="66" spans="1:18" x14ac:dyDescent="0.25">
      <c r="A66" s="451"/>
      <c r="B66" s="432"/>
      <c r="C66" s="274" t="s">
        <v>136</v>
      </c>
      <c r="D66" s="287" t="s">
        <v>137</v>
      </c>
      <c r="E66" s="249" t="s">
        <v>131</v>
      </c>
      <c r="F66" s="287" t="s">
        <v>90</v>
      </c>
      <c r="G66" s="289">
        <f>58+31.150038</f>
        <v>89.150037999999995</v>
      </c>
      <c r="H66" s="429"/>
      <c r="I66" s="581" t="s">
        <v>478</v>
      </c>
      <c r="J66" s="496" t="s">
        <v>137</v>
      </c>
      <c r="K66" s="515" t="s">
        <v>170</v>
      </c>
      <c r="L66" s="521"/>
      <c r="M66" s="582">
        <v>1.0781270000000001</v>
      </c>
      <c r="N66" s="500"/>
      <c r="O66" s="541"/>
      <c r="P66" s="500"/>
      <c r="Q66" s="529"/>
      <c r="R66" s="456"/>
    </row>
    <row r="67" spans="1:18" ht="30" x14ac:dyDescent="0.25">
      <c r="A67" s="451"/>
      <c r="B67" s="432"/>
      <c r="C67" s="274" t="s">
        <v>398</v>
      </c>
      <c r="D67" s="287" t="s">
        <v>137</v>
      </c>
      <c r="E67" s="249" t="s">
        <v>170</v>
      </c>
      <c r="F67" s="287" t="s">
        <v>338</v>
      </c>
      <c r="G67" s="289">
        <v>-84.434709999999995</v>
      </c>
      <c r="H67" s="429"/>
      <c r="I67" s="581"/>
      <c r="J67" s="496"/>
      <c r="K67" s="515"/>
      <c r="L67" s="521"/>
      <c r="M67" s="582"/>
      <c r="N67" s="500"/>
      <c r="O67" s="541"/>
      <c r="P67" s="500"/>
      <c r="Q67" s="529"/>
      <c r="R67" s="456"/>
    </row>
    <row r="68" spans="1:18" x14ac:dyDescent="0.25">
      <c r="A68" s="451"/>
      <c r="B68" s="432"/>
      <c r="C68" s="487" t="s">
        <v>398</v>
      </c>
      <c r="D68" s="487" t="s">
        <v>137</v>
      </c>
      <c r="E68" s="487" t="s">
        <v>131</v>
      </c>
      <c r="F68" s="487" t="s">
        <v>90</v>
      </c>
      <c r="G68" s="439">
        <f>27.72279+0.108+56.60392</f>
        <v>84.434709999999995</v>
      </c>
      <c r="H68" s="429"/>
      <c r="I68" s="581"/>
      <c r="J68" s="496"/>
      <c r="K68" s="515"/>
      <c r="L68" s="521"/>
      <c r="M68" s="582"/>
      <c r="N68" s="500"/>
      <c r="O68" s="541"/>
      <c r="P68" s="500"/>
      <c r="Q68" s="529"/>
      <c r="R68" s="456"/>
    </row>
    <row r="69" spans="1:18" x14ac:dyDescent="0.25">
      <c r="A69" s="451"/>
      <c r="B69" s="432"/>
      <c r="C69" s="488"/>
      <c r="D69" s="488"/>
      <c r="E69" s="488"/>
      <c r="F69" s="488"/>
      <c r="G69" s="440"/>
      <c r="H69" s="429"/>
      <c r="I69" s="352" t="s">
        <v>130</v>
      </c>
      <c r="J69" s="320" t="s">
        <v>137</v>
      </c>
      <c r="K69" s="323" t="s">
        <v>131</v>
      </c>
      <c r="L69" s="336" t="s">
        <v>90</v>
      </c>
      <c r="M69" s="368">
        <f>0.75+102.913345</f>
        <v>103.66334500000001</v>
      </c>
      <c r="N69" s="501"/>
      <c r="O69" s="542"/>
      <c r="P69" s="501"/>
      <c r="Q69" s="530"/>
      <c r="R69" s="457"/>
    </row>
    <row r="70" spans="1:18" ht="30" x14ac:dyDescent="0.25">
      <c r="A70" s="452"/>
      <c r="B70" s="433"/>
      <c r="C70" s="274" t="s">
        <v>88</v>
      </c>
      <c r="D70" s="287" t="s">
        <v>139</v>
      </c>
      <c r="E70" s="249" t="s">
        <v>90</v>
      </c>
      <c r="F70" s="287" t="s">
        <v>90</v>
      </c>
      <c r="G70" s="289" t="s">
        <v>90</v>
      </c>
      <c r="H70" s="430"/>
      <c r="I70" s="286" t="s">
        <v>478</v>
      </c>
      <c r="J70" s="255" t="s">
        <v>139</v>
      </c>
      <c r="K70" s="253" t="s">
        <v>131</v>
      </c>
      <c r="L70" s="253" t="s">
        <v>90</v>
      </c>
      <c r="M70" s="353">
        <v>5</v>
      </c>
      <c r="N70" s="279" t="s">
        <v>91</v>
      </c>
      <c r="O70" s="250" t="s">
        <v>42</v>
      </c>
      <c r="P70" s="279" t="s">
        <v>134</v>
      </c>
      <c r="Q70" s="277"/>
      <c r="R70" s="252"/>
    </row>
    <row r="71" spans="1:18" ht="15" customHeight="1" x14ac:dyDescent="0.25">
      <c r="A71" s="450" t="s">
        <v>332</v>
      </c>
      <c r="B71" s="484">
        <f>4223-2806</f>
        <v>1417</v>
      </c>
      <c r="C71" s="249" t="s">
        <v>136</v>
      </c>
      <c r="D71" s="287" t="s">
        <v>169</v>
      </c>
      <c r="E71" s="249" t="s">
        <v>131</v>
      </c>
      <c r="F71" s="287" t="s">
        <v>90</v>
      </c>
      <c r="G71" s="289">
        <f>0.403571+10</f>
        <v>10.403570999999999</v>
      </c>
      <c r="H71" s="493">
        <f>167+5934</f>
        <v>6101</v>
      </c>
      <c r="I71" s="502" t="s">
        <v>478</v>
      </c>
      <c r="J71" s="502" t="s">
        <v>169</v>
      </c>
      <c r="K71" s="502" t="s">
        <v>131</v>
      </c>
      <c r="L71" s="577" t="s">
        <v>90</v>
      </c>
      <c r="M71" s="434">
        <v>15</v>
      </c>
      <c r="N71" s="437" t="s">
        <v>91</v>
      </c>
      <c r="O71" s="467" t="s">
        <v>0</v>
      </c>
      <c r="P71" s="522" t="s">
        <v>454</v>
      </c>
      <c r="Q71" s="458" t="s">
        <v>531</v>
      </c>
      <c r="R71" s="461" t="s">
        <v>513</v>
      </c>
    </row>
    <row r="72" spans="1:18" ht="64.5" customHeight="1" x14ac:dyDescent="0.25">
      <c r="A72" s="451"/>
      <c r="B72" s="485"/>
      <c r="C72" s="249" t="s">
        <v>136</v>
      </c>
      <c r="D72" s="287" t="s">
        <v>169</v>
      </c>
      <c r="E72" s="249" t="s">
        <v>170</v>
      </c>
      <c r="F72" s="287" t="s">
        <v>340</v>
      </c>
      <c r="G72" s="289">
        <v>133.69999999999999</v>
      </c>
      <c r="H72" s="494"/>
      <c r="I72" s="503"/>
      <c r="J72" s="503"/>
      <c r="K72" s="503"/>
      <c r="L72" s="578"/>
      <c r="M72" s="435"/>
      <c r="N72" s="446"/>
      <c r="O72" s="468"/>
      <c r="P72" s="523"/>
      <c r="Q72" s="459"/>
      <c r="R72" s="462"/>
    </row>
    <row r="73" spans="1:18" ht="45" x14ac:dyDescent="0.25">
      <c r="A73" s="451"/>
      <c r="B73" s="485"/>
      <c r="C73" s="249" t="s">
        <v>398</v>
      </c>
      <c r="D73" s="287" t="s">
        <v>169</v>
      </c>
      <c r="E73" s="249" t="s">
        <v>170</v>
      </c>
      <c r="F73" s="287" t="s">
        <v>340</v>
      </c>
      <c r="G73" s="289">
        <v>-126.7</v>
      </c>
      <c r="H73" s="494"/>
      <c r="I73" s="503"/>
      <c r="J73" s="503"/>
      <c r="K73" s="503"/>
      <c r="L73" s="578"/>
      <c r="M73" s="435"/>
      <c r="N73" s="446"/>
      <c r="O73" s="468"/>
      <c r="P73" s="523"/>
      <c r="Q73" s="459"/>
      <c r="R73" s="462"/>
    </row>
    <row r="74" spans="1:18" x14ac:dyDescent="0.25">
      <c r="A74" s="451"/>
      <c r="B74" s="485"/>
      <c r="C74" s="437" t="s">
        <v>398</v>
      </c>
      <c r="D74" s="437" t="s">
        <v>169</v>
      </c>
      <c r="E74" s="437" t="s">
        <v>131</v>
      </c>
      <c r="F74" s="437" t="s">
        <v>90</v>
      </c>
      <c r="G74" s="439">
        <v>126.7</v>
      </c>
      <c r="H74" s="494"/>
      <c r="I74" s="504"/>
      <c r="J74" s="504"/>
      <c r="K74" s="504"/>
      <c r="L74" s="579"/>
      <c r="M74" s="436"/>
      <c r="N74" s="446"/>
      <c r="O74" s="468"/>
      <c r="P74" s="523"/>
      <c r="Q74" s="459"/>
      <c r="R74" s="462"/>
    </row>
    <row r="75" spans="1:18" x14ac:dyDescent="0.25">
      <c r="A75" s="451"/>
      <c r="B75" s="485"/>
      <c r="C75" s="438"/>
      <c r="D75" s="438"/>
      <c r="E75" s="438"/>
      <c r="F75" s="438"/>
      <c r="G75" s="440"/>
      <c r="H75" s="494"/>
      <c r="I75" s="327" t="s">
        <v>130</v>
      </c>
      <c r="J75" s="336" t="s">
        <v>169</v>
      </c>
      <c r="K75" s="322" t="s">
        <v>131</v>
      </c>
      <c r="L75" s="336" t="s">
        <v>90</v>
      </c>
      <c r="M75" s="332">
        <v>111.04</v>
      </c>
      <c r="N75" s="438"/>
      <c r="O75" s="469"/>
      <c r="P75" s="524"/>
      <c r="Q75" s="460"/>
      <c r="R75" s="463"/>
    </row>
    <row r="76" spans="1:18" ht="75" customHeight="1" x14ac:dyDescent="0.25">
      <c r="A76" s="451"/>
      <c r="B76" s="485"/>
      <c r="C76" s="437" t="s">
        <v>136</v>
      </c>
      <c r="D76" s="437" t="s">
        <v>152</v>
      </c>
      <c r="E76" s="437" t="s">
        <v>131</v>
      </c>
      <c r="F76" s="437" t="s">
        <v>90</v>
      </c>
      <c r="G76" s="439">
        <f>1+14</f>
        <v>15</v>
      </c>
      <c r="H76" s="494"/>
      <c r="I76" s="253" t="s">
        <v>478</v>
      </c>
      <c r="J76" s="249" t="s">
        <v>152</v>
      </c>
      <c r="K76" s="253" t="s">
        <v>131</v>
      </c>
      <c r="L76" s="247" t="s">
        <v>90</v>
      </c>
      <c r="M76" s="357">
        <v>20</v>
      </c>
      <c r="N76" s="437" t="s">
        <v>91</v>
      </c>
      <c r="O76" s="467" t="s">
        <v>28</v>
      </c>
      <c r="P76" s="522" t="s">
        <v>454</v>
      </c>
      <c r="Q76" s="458" t="s">
        <v>602</v>
      </c>
      <c r="R76" s="455" t="s">
        <v>513</v>
      </c>
    </row>
    <row r="77" spans="1:18" ht="75" customHeight="1" x14ac:dyDescent="0.25">
      <c r="A77" s="451"/>
      <c r="B77" s="485"/>
      <c r="C77" s="446"/>
      <c r="D77" s="446"/>
      <c r="E77" s="446"/>
      <c r="F77" s="446"/>
      <c r="G77" s="492"/>
      <c r="H77" s="494"/>
      <c r="I77" s="380" t="s">
        <v>130</v>
      </c>
      <c r="J77" s="379" t="s">
        <v>152</v>
      </c>
      <c r="K77" s="380" t="s">
        <v>131</v>
      </c>
      <c r="L77" s="387" t="s">
        <v>90</v>
      </c>
      <c r="M77" s="373">
        <v>57.011000000000003</v>
      </c>
      <c r="N77" s="446"/>
      <c r="O77" s="468"/>
      <c r="P77" s="523"/>
      <c r="Q77" s="459"/>
      <c r="R77" s="456"/>
    </row>
    <row r="78" spans="1:18" x14ac:dyDescent="0.25">
      <c r="A78" s="451"/>
      <c r="B78" s="485"/>
      <c r="C78" s="438"/>
      <c r="D78" s="438"/>
      <c r="E78" s="438"/>
      <c r="F78" s="438"/>
      <c r="G78" s="440"/>
      <c r="H78" s="494"/>
      <c r="I78" s="323" t="s">
        <v>130</v>
      </c>
      <c r="J78" s="322" t="s">
        <v>152</v>
      </c>
      <c r="K78" s="323" t="s">
        <v>131</v>
      </c>
      <c r="L78" s="321" t="s">
        <v>90</v>
      </c>
      <c r="M78" s="354">
        <v>4.8</v>
      </c>
      <c r="N78" s="438"/>
      <c r="O78" s="469"/>
      <c r="P78" s="524"/>
      <c r="Q78" s="460"/>
      <c r="R78" s="457"/>
    </row>
    <row r="79" spans="1:18" x14ac:dyDescent="0.25">
      <c r="A79" s="451"/>
      <c r="B79" s="485"/>
      <c r="C79" s="249" t="s">
        <v>136</v>
      </c>
      <c r="D79" s="287" t="s">
        <v>151</v>
      </c>
      <c r="E79" s="249" t="s">
        <v>131</v>
      </c>
      <c r="F79" s="287" t="s">
        <v>90</v>
      </c>
      <c r="G79" s="289">
        <f>318.492543+0.45</f>
        <v>318.942543</v>
      </c>
      <c r="H79" s="494"/>
      <c r="I79" s="515" t="s">
        <v>478</v>
      </c>
      <c r="J79" s="515" t="s">
        <v>151</v>
      </c>
      <c r="K79" s="515" t="s">
        <v>131</v>
      </c>
      <c r="L79" s="580" t="s">
        <v>90</v>
      </c>
      <c r="M79" s="517">
        <v>374.188241</v>
      </c>
      <c r="N79" s="437" t="s">
        <v>91</v>
      </c>
      <c r="O79" s="467" t="s">
        <v>3</v>
      </c>
      <c r="P79" s="532" t="s">
        <v>454</v>
      </c>
      <c r="Q79" s="473" t="s">
        <v>532</v>
      </c>
      <c r="R79" s="461" t="s">
        <v>513</v>
      </c>
    </row>
    <row r="80" spans="1:18" ht="62.25" customHeight="1" x14ac:dyDescent="0.25">
      <c r="A80" s="451"/>
      <c r="B80" s="485"/>
      <c r="C80" s="249" t="s">
        <v>136</v>
      </c>
      <c r="D80" s="287" t="s">
        <v>151</v>
      </c>
      <c r="E80" s="249" t="s">
        <v>170</v>
      </c>
      <c r="F80" s="287" t="s">
        <v>340</v>
      </c>
      <c r="G80" s="289">
        <v>308.37196399999999</v>
      </c>
      <c r="H80" s="494"/>
      <c r="I80" s="515"/>
      <c r="J80" s="515"/>
      <c r="K80" s="515"/>
      <c r="L80" s="580"/>
      <c r="M80" s="517"/>
      <c r="N80" s="446"/>
      <c r="O80" s="468"/>
      <c r="P80" s="532"/>
      <c r="Q80" s="474"/>
      <c r="R80" s="462"/>
    </row>
    <row r="81" spans="1:18" ht="45" x14ac:dyDescent="0.25">
      <c r="A81" s="451"/>
      <c r="B81" s="485"/>
      <c r="C81" s="249" t="s">
        <v>398</v>
      </c>
      <c r="D81" s="287" t="s">
        <v>151</v>
      </c>
      <c r="E81" s="249" t="s">
        <v>170</v>
      </c>
      <c r="F81" s="287" t="s">
        <v>340</v>
      </c>
      <c r="G81" s="143">
        <v>-217.57197500000001</v>
      </c>
      <c r="H81" s="494"/>
      <c r="I81" s="515" t="s">
        <v>478</v>
      </c>
      <c r="J81" s="515" t="s">
        <v>151</v>
      </c>
      <c r="K81" s="515" t="s">
        <v>170</v>
      </c>
      <c r="L81" s="516"/>
      <c r="M81" s="517">
        <v>4.2413069999999999</v>
      </c>
      <c r="N81" s="446"/>
      <c r="O81" s="468"/>
      <c r="P81" s="532"/>
      <c r="Q81" s="474"/>
      <c r="R81" s="462"/>
    </row>
    <row r="82" spans="1:18" ht="30" x14ac:dyDescent="0.25">
      <c r="A82" s="451"/>
      <c r="B82" s="485"/>
      <c r="C82" s="249" t="s">
        <v>398</v>
      </c>
      <c r="D82" s="287" t="s">
        <v>151</v>
      </c>
      <c r="E82" s="249" t="s">
        <v>170</v>
      </c>
      <c r="F82" s="287" t="s">
        <v>502</v>
      </c>
      <c r="G82" s="143">
        <v>217.57197500000001</v>
      </c>
      <c r="H82" s="494"/>
      <c r="I82" s="515"/>
      <c r="J82" s="515"/>
      <c r="K82" s="515"/>
      <c r="L82" s="516"/>
      <c r="M82" s="517"/>
      <c r="N82" s="438"/>
      <c r="O82" s="469"/>
      <c r="P82" s="532"/>
      <c r="Q82" s="475"/>
      <c r="R82" s="463"/>
    </row>
    <row r="83" spans="1:18" x14ac:dyDescent="0.25">
      <c r="A83" s="451"/>
      <c r="B83" s="485"/>
      <c r="C83" s="497" t="s">
        <v>136</v>
      </c>
      <c r="D83" s="497" t="s">
        <v>137</v>
      </c>
      <c r="E83" s="497" t="s">
        <v>131</v>
      </c>
      <c r="F83" s="497" t="s">
        <v>90</v>
      </c>
      <c r="G83" s="590">
        <f>5378.297032+776.076667+6.75+21.4+68.6+46.199588+25+7.533544+5.3016</f>
        <v>6335.1584310000007</v>
      </c>
      <c r="H83" s="494"/>
      <c r="I83" s="515" t="s">
        <v>478</v>
      </c>
      <c r="J83" s="496" t="s">
        <v>137</v>
      </c>
      <c r="K83" s="515" t="s">
        <v>131</v>
      </c>
      <c r="L83" s="496" t="s">
        <v>90</v>
      </c>
      <c r="M83" s="517">
        <v>5409.8816550000001</v>
      </c>
      <c r="N83" s="437" t="s">
        <v>91</v>
      </c>
      <c r="O83" s="467" t="s">
        <v>2</v>
      </c>
      <c r="P83" s="437" t="s">
        <v>92</v>
      </c>
      <c r="Q83" s="476" t="s">
        <v>669</v>
      </c>
      <c r="R83" s="464" t="s">
        <v>663</v>
      </c>
    </row>
    <row r="84" spans="1:18" ht="14.25" customHeight="1" x14ac:dyDescent="0.25">
      <c r="A84" s="451"/>
      <c r="B84" s="485"/>
      <c r="C84" s="497"/>
      <c r="D84" s="497"/>
      <c r="E84" s="497"/>
      <c r="F84" s="497"/>
      <c r="G84" s="590"/>
      <c r="H84" s="494"/>
      <c r="I84" s="515"/>
      <c r="J84" s="496"/>
      <c r="K84" s="515"/>
      <c r="L84" s="496"/>
      <c r="M84" s="517"/>
      <c r="N84" s="446"/>
      <c r="O84" s="468"/>
      <c r="P84" s="446"/>
      <c r="Q84" s="477"/>
      <c r="R84" s="465"/>
    </row>
    <row r="85" spans="1:18" x14ac:dyDescent="0.25">
      <c r="A85" s="451"/>
      <c r="B85" s="485"/>
      <c r="C85" s="497" t="s">
        <v>136</v>
      </c>
      <c r="D85" s="497" t="s">
        <v>137</v>
      </c>
      <c r="E85" s="497" t="s">
        <v>170</v>
      </c>
      <c r="F85" s="497" t="s">
        <v>340</v>
      </c>
      <c r="G85" s="590">
        <f>3821.702968+536.473333+298.400412+13.4984+7.7+5.275384</f>
        <v>4683.0504970000002</v>
      </c>
      <c r="H85" s="494"/>
      <c r="I85" s="515" t="s">
        <v>478</v>
      </c>
      <c r="J85" s="496" t="s">
        <v>137</v>
      </c>
      <c r="K85" s="515" t="s">
        <v>170</v>
      </c>
      <c r="L85" s="521"/>
      <c r="M85" s="517">
        <v>1.918345</v>
      </c>
      <c r="N85" s="446"/>
      <c r="O85" s="468"/>
      <c r="P85" s="446"/>
      <c r="Q85" s="477"/>
      <c r="R85" s="465"/>
    </row>
    <row r="86" spans="1:18" x14ac:dyDescent="0.25">
      <c r="A86" s="451"/>
      <c r="B86" s="485"/>
      <c r="C86" s="497"/>
      <c r="D86" s="497"/>
      <c r="E86" s="497"/>
      <c r="F86" s="497"/>
      <c r="G86" s="590"/>
      <c r="H86" s="494"/>
      <c r="I86" s="515"/>
      <c r="J86" s="496"/>
      <c r="K86" s="515"/>
      <c r="L86" s="521"/>
      <c r="M86" s="517"/>
      <c r="N86" s="446"/>
      <c r="O86" s="468"/>
      <c r="P86" s="446"/>
      <c r="Q86" s="477"/>
      <c r="R86" s="465"/>
    </row>
    <row r="87" spans="1:18" x14ac:dyDescent="0.25">
      <c r="A87" s="451"/>
      <c r="B87" s="485"/>
      <c r="C87" s="497" t="s">
        <v>398</v>
      </c>
      <c r="D87" s="497" t="s">
        <v>137</v>
      </c>
      <c r="E87" s="497" t="s">
        <v>131</v>
      </c>
      <c r="F87" s="497" t="s">
        <v>90</v>
      </c>
      <c r="G87" s="590">
        <f>3.18416+536.461532+7.2+2397.712418+10+0.5+75</f>
        <v>3030.0581099999999</v>
      </c>
      <c r="H87" s="494"/>
      <c r="I87" s="325" t="s">
        <v>130</v>
      </c>
      <c r="J87" s="320" t="s">
        <v>137</v>
      </c>
      <c r="K87" s="323" t="s">
        <v>131</v>
      </c>
      <c r="L87" s="350" t="s">
        <v>90</v>
      </c>
      <c r="M87" s="324">
        <f>550.720743+5.5</f>
        <v>556.22074299999997</v>
      </c>
      <c r="N87" s="446"/>
      <c r="O87" s="468"/>
      <c r="P87" s="446"/>
      <c r="Q87" s="477"/>
      <c r="R87" s="465"/>
    </row>
    <row r="88" spans="1:18" x14ac:dyDescent="0.25">
      <c r="A88" s="451"/>
      <c r="B88" s="485"/>
      <c r="C88" s="497"/>
      <c r="D88" s="497"/>
      <c r="E88" s="497"/>
      <c r="F88" s="497"/>
      <c r="G88" s="590"/>
      <c r="H88" s="494"/>
      <c r="I88" s="325" t="s">
        <v>130</v>
      </c>
      <c r="J88" s="320" t="s">
        <v>137</v>
      </c>
      <c r="K88" s="323" t="s">
        <v>131</v>
      </c>
      <c r="L88" s="350" t="s">
        <v>90</v>
      </c>
      <c r="M88" s="324">
        <f>27.7525+68.984</f>
        <v>96.736499999999992</v>
      </c>
      <c r="N88" s="446"/>
      <c r="O88" s="468"/>
      <c r="P88" s="446"/>
      <c r="Q88" s="477"/>
      <c r="R88" s="465"/>
    </row>
    <row r="89" spans="1:18" x14ac:dyDescent="0.25">
      <c r="A89" s="451"/>
      <c r="B89" s="485"/>
      <c r="C89" s="497" t="s">
        <v>398</v>
      </c>
      <c r="D89" s="497" t="s">
        <v>137</v>
      </c>
      <c r="E89" s="497" t="s">
        <v>170</v>
      </c>
      <c r="F89" s="498" t="s">
        <v>340</v>
      </c>
      <c r="G89" s="590">
        <f>-2482.712418+-3.18416+-536.461532+-7.7</f>
        <v>-3030.0581099999999</v>
      </c>
      <c r="H89" s="494"/>
      <c r="I89" s="325" t="s">
        <v>130</v>
      </c>
      <c r="J89" s="320" t="s">
        <v>137</v>
      </c>
      <c r="K89" s="323" t="s">
        <v>131</v>
      </c>
      <c r="L89" s="350" t="s">
        <v>90</v>
      </c>
      <c r="M89" s="331">
        <v>1467.6249600000001</v>
      </c>
      <c r="N89" s="446"/>
      <c r="O89" s="468"/>
      <c r="P89" s="446"/>
      <c r="Q89" s="477"/>
      <c r="R89" s="465"/>
    </row>
    <row r="90" spans="1:18" x14ac:dyDescent="0.25">
      <c r="A90" s="451"/>
      <c r="B90" s="485"/>
      <c r="C90" s="497"/>
      <c r="D90" s="497"/>
      <c r="E90" s="497"/>
      <c r="F90" s="498"/>
      <c r="G90" s="590"/>
      <c r="H90" s="494"/>
      <c r="I90" s="375" t="s">
        <v>130</v>
      </c>
      <c r="J90" s="378" t="s">
        <v>137</v>
      </c>
      <c r="K90" s="380" t="s">
        <v>131</v>
      </c>
      <c r="L90" s="371" t="s">
        <v>90</v>
      </c>
      <c r="M90" s="382">
        <f>23.450408+4.5</f>
        <v>27.950407999999999</v>
      </c>
      <c r="N90" s="438"/>
      <c r="O90" s="469"/>
      <c r="P90" s="438"/>
      <c r="Q90" s="478"/>
      <c r="R90" s="466"/>
    </row>
    <row r="91" spans="1:18" ht="15" customHeight="1" x14ac:dyDescent="0.25">
      <c r="A91" s="451"/>
      <c r="B91" s="485"/>
      <c r="C91" s="391" t="s">
        <v>136</v>
      </c>
      <c r="D91" s="135" t="s">
        <v>154</v>
      </c>
      <c r="E91" s="393" t="s">
        <v>131</v>
      </c>
      <c r="F91" s="390" t="s">
        <v>90</v>
      </c>
      <c r="G91" s="143">
        <f>2+31.5</f>
        <v>33.5</v>
      </c>
      <c r="H91" s="494"/>
      <c r="I91" s="502" t="s">
        <v>478</v>
      </c>
      <c r="J91" s="496" t="s">
        <v>154</v>
      </c>
      <c r="K91" s="515" t="s">
        <v>131</v>
      </c>
      <c r="L91" s="428" t="s">
        <v>90</v>
      </c>
      <c r="M91" s="434">
        <v>88</v>
      </c>
      <c r="N91" s="437" t="s">
        <v>91</v>
      </c>
      <c r="O91" s="467" t="s">
        <v>13</v>
      </c>
      <c r="P91" s="522" t="s">
        <v>454</v>
      </c>
      <c r="Q91" s="476" t="s">
        <v>533</v>
      </c>
      <c r="R91" s="525" t="s">
        <v>513</v>
      </c>
    </row>
    <row r="92" spans="1:18" ht="45" x14ac:dyDescent="0.25">
      <c r="A92" s="451"/>
      <c r="B92" s="485"/>
      <c r="C92" s="391" t="s">
        <v>136</v>
      </c>
      <c r="D92" s="135" t="s">
        <v>154</v>
      </c>
      <c r="E92" s="393" t="s">
        <v>170</v>
      </c>
      <c r="F92" s="390" t="s">
        <v>340</v>
      </c>
      <c r="G92" s="143">
        <v>33.5</v>
      </c>
      <c r="H92" s="494"/>
      <c r="I92" s="503"/>
      <c r="J92" s="496"/>
      <c r="K92" s="515"/>
      <c r="L92" s="429"/>
      <c r="M92" s="435"/>
      <c r="N92" s="446"/>
      <c r="O92" s="468"/>
      <c r="P92" s="523"/>
      <c r="Q92" s="477"/>
      <c r="R92" s="480"/>
    </row>
    <row r="93" spans="1:18" x14ac:dyDescent="0.25">
      <c r="A93" s="451"/>
      <c r="B93" s="485"/>
      <c r="C93" s="274" t="s">
        <v>398</v>
      </c>
      <c r="D93" s="287" t="s">
        <v>154</v>
      </c>
      <c r="E93" s="249" t="s">
        <v>131</v>
      </c>
      <c r="F93" s="287" t="s">
        <v>90</v>
      </c>
      <c r="G93" s="289">
        <v>30.158628</v>
      </c>
      <c r="H93" s="494"/>
      <c r="I93" s="503"/>
      <c r="J93" s="496"/>
      <c r="K93" s="515"/>
      <c r="L93" s="429"/>
      <c r="M93" s="435"/>
      <c r="N93" s="446"/>
      <c r="O93" s="468"/>
      <c r="P93" s="523"/>
      <c r="Q93" s="477"/>
      <c r="R93" s="480"/>
    </row>
    <row r="94" spans="1:18" x14ac:dyDescent="0.25">
      <c r="A94" s="451"/>
      <c r="B94" s="485"/>
      <c r="C94" s="487" t="s">
        <v>398</v>
      </c>
      <c r="D94" s="487" t="s">
        <v>154</v>
      </c>
      <c r="E94" s="487" t="s">
        <v>170</v>
      </c>
      <c r="F94" s="487" t="s">
        <v>340</v>
      </c>
      <c r="G94" s="439">
        <v>-30.158628</v>
      </c>
      <c r="H94" s="494"/>
      <c r="I94" s="504"/>
      <c r="J94" s="496"/>
      <c r="K94" s="515"/>
      <c r="L94" s="430"/>
      <c r="M94" s="436"/>
      <c r="N94" s="446"/>
      <c r="O94" s="468"/>
      <c r="P94" s="523"/>
      <c r="Q94" s="477"/>
      <c r="R94" s="480"/>
    </row>
    <row r="95" spans="1:18" x14ac:dyDescent="0.25">
      <c r="A95" s="452"/>
      <c r="B95" s="486"/>
      <c r="C95" s="488"/>
      <c r="D95" s="488"/>
      <c r="E95" s="488"/>
      <c r="F95" s="488"/>
      <c r="G95" s="440"/>
      <c r="H95" s="495"/>
      <c r="I95" s="326" t="s">
        <v>130</v>
      </c>
      <c r="J95" s="319" t="s">
        <v>154</v>
      </c>
      <c r="K95" s="327" t="s">
        <v>131</v>
      </c>
      <c r="L95" s="318" t="s">
        <v>90</v>
      </c>
      <c r="M95" s="332">
        <v>41</v>
      </c>
      <c r="N95" s="438"/>
      <c r="O95" s="469"/>
      <c r="P95" s="524"/>
      <c r="Q95" s="478"/>
      <c r="R95" s="481"/>
    </row>
    <row r="96" spans="1:18" ht="30" x14ac:dyDescent="0.25">
      <c r="A96" s="558" t="s">
        <v>184</v>
      </c>
      <c r="B96" s="431">
        <v>90</v>
      </c>
      <c r="C96" s="249" t="s">
        <v>136</v>
      </c>
      <c r="D96" s="287" t="s">
        <v>154</v>
      </c>
      <c r="E96" s="249" t="s">
        <v>170</v>
      </c>
      <c r="F96" s="287" t="s">
        <v>339</v>
      </c>
      <c r="G96" s="289">
        <v>40.020000000000003</v>
      </c>
      <c r="H96" s="428">
        <v>36</v>
      </c>
      <c r="I96" s="502" t="s">
        <v>478</v>
      </c>
      <c r="J96" s="496" t="s">
        <v>154</v>
      </c>
      <c r="K96" s="515" t="s">
        <v>131</v>
      </c>
      <c r="L96" s="431" t="s">
        <v>90</v>
      </c>
      <c r="M96" s="434">
        <v>33.758555000000001</v>
      </c>
      <c r="N96" s="552" t="s">
        <v>91</v>
      </c>
      <c r="O96" s="546" t="s">
        <v>13</v>
      </c>
      <c r="P96" s="532" t="s">
        <v>454</v>
      </c>
      <c r="Q96" s="531" t="s">
        <v>534</v>
      </c>
      <c r="R96" s="483" t="s">
        <v>535</v>
      </c>
    </row>
    <row r="97" spans="1:18" x14ac:dyDescent="0.25">
      <c r="A97" s="558"/>
      <c r="B97" s="432"/>
      <c r="C97" s="249" t="s">
        <v>136</v>
      </c>
      <c r="D97" s="287" t="s">
        <v>154</v>
      </c>
      <c r="E97" s="249" t="s">
        <v>131</v>
      </c>
      <c r="F97" s="287" t="s">
        <v>90</v>
      </c>
      <c r="G97" s="289">
        <v>50</v>
      </c>
      <c r="H97" s="429"/>
      <c r="I97" s="503"/>
      <c r="J97" s="496"/>
      <c r="K97" s="515"/>
      <c r="L97" s="433"/>
      <c r="M97" s="436"/>
      <c r="N97" s="552"/>
      <c r="O97" s="546"/>
      <c r="P97" s="532"/>
      <c r="Q97" s="531"/>
      <c r="R97" s="483"/>
    </row>
    <row r="98" spans="1:18" ht="30" x14ac:dyDescent="0.25">
      <c r="A98" s="558"/>
      <c r="B98" s="432"/>
      <c r="C98" s="249" t="s">
        <v>398</v>
      </c>
      <c r="D98" s="287" t="s">
        <v>154</v>
      </c>
      <c r="E98" s="249" t="s">
        <v>170</v>
      </c>
      <c r="F98" s="287" t="s">
        <v>339</v>
      </c>
      <c r="G98" s="289">
        <v>-32.746285</v>
      </c>
      <c r="H98" s="429"/>
      <c r="I98" s="502" t="s">
        <v>478</v>
      </c>
      <c r="J98" s="496" t="s">
        <v>154</v>
      </c>
      <c r="K98" s="515" t="s">
        <v>170</v>
      </c>
      <c r="L98" s="431"/>
      <c r="M98" s="434">
        <v>1.952226</v>
      </c>
      <c r="N98" s="552"/>
      <c r="O98" s="546"/>
      <c r="P98" s="532"/>
      <c r="Q98" s="531"/>
      <c r="R98" s="483"/>
    </row>
    <row r="99" spans="1:18" x14ac:dyDescent="0.25">
      <c r="A99" s="558"/>
      <c r="B99" s="433"/>
      <c r="C99" s="263" t="s">
        <v>398</v>
      </c>
      <c r="D99" s="287" t="s">
        <v>154</v>
      </c>
      <c r="E99" s="249" t="s">
        <v>131</v>
      </c>
      <c r="F99" s="246" t="s">
        <v>90</v>
      </c>
      <c r="G99" s="289">
        <f>8.532137+23.732769</f>
        <v>32.264906000000003</v>
      </c>
      <c r="H99" s="430"/>
      <c r="I99" s="503"/>
      <c r="J99" s="496"/>
      <c r="K99" s="515"/>
      <c r="L99" s="433"/>
      <c r="M99" s="436"/>
      <c r="N99" s="552"/>
      <c r="O99" s="546"/>
      <c r="P99" s="532"/>
      <c r="Q99" s="531"/>
      <c r="R99" s="483"/>
    </row>
    <row r="100" spans="1:18" ht="33" customHeight="1" x14ac:dyDescent="0.25">
      <c r="A100" s="450" t="s">
        <v>185</v>
      </c>
      <c r="B100" s="431">
        <v>530</v>
      </c>
      <c r="C100" s="249" t="s">
        <v>398</v>
      </c>
      <c r="D100" s="249" t="s">
        <v>151</v>
      </c>
      <c r="E100" s="249" t="s">
        <v>170</v>
      </c>
      <c r="F100" s="287" t="s">
        <v>502</v>
      </c>
      <c r="G100" s="289">
        <v>45</v>
      </c>
      <c r="H100" s="428">
        <v>16</v>
      </c>
      <c r="I100" s="249"/>
      <c r="J100" s="249"/>
      <c r="K100" s="249"/>
      <c r="L100" s="287"/>
      <c r="M100" s="357"/>
      <c r="N100" s="249" t="s">
        <v>91</v>
      </c>
      <c r="O100" s="271" t="s">
        <v>3</v>
      </c>
      <c r="P100" s="249" t="s">
        <v>134</v>
      </c>
      <c r="Q100" s="270"/>
      <c r="R100" s="248"/>
    </row>
    <row r="101" spans="1:18" ht="33" customHeight="1" x14ac:dyDescent="0.25">
      <c r="A101" s="451"/>
      <c r="B101" s="432"/>
      <c r="C101" s="437" t="s">
        <v>398</v>
      </c>
      <c r="D101" s="437" t="s">
        <v>137</v>
      </c>
      <c r="E101" s="437" t="s">
        <v>131</v>
      </c>
      <c r="F101" s="431" t="s">
        <v>90</v>
      </c>
      <c r="G101" s="434">
        <f>484.509029+0.6</f>
        <v>485.10902900000002</v>
      </c>
      <c r="H101" s="429"/>
      <c r="I101" s="253" t="s">
        <v>478</v>
      </c>
      <c r="J101" s="255" t="s">
        <v>137</v>
      </c>
      <c r="K101" s="253" t="s">
        <v>131</v>
      </c>
      <c r="L101" s="287" t="s">
        <v>90</v>
      </c>
      <c r="M101" s="357">
        <v>15.270640999999999</v>
      </c>
      <c r="N101" s="437" t="s">
        <v>91</v>
      </c>
      <c r="O101" s="540" t="s">
        <v>2</v>
      </c>
      <c r="P101" s="437" t="s">
        <v>92</v>
      </c>
      <c r="Q101" s="476" t="s">
        <v>675</v>
      </c>
      <c r="R101" s="525" t="s">
        <v>663</v>
      </c>
    </row>
    <row r="102" spans="1:18" ht="33" customHeight="1" x14ac:dyDescent="0.25">
      <c r="A102" s="451"/>
      <c r="B102" s="432"/>
      <c r="C102" s="446"/>
      <c r="D102" s="446"/>
      <c r="E102" s="446"/>
      <c r="F102" s="432"/>
      <c r="G102" s="435"/>
      <c r="H102" s="429"/>
      <c r="I102" s="253" t="s">
        <v>478</v>
      </c>
      <c r="J102" s="255" t="s">
        <v>137</v>
      </c>
      <c r="K102" s="253" t="s">
        <v>170</v>
      </c>
      <c r="L102" s="287"/>
      <c r="M102" s="357">
        <v>1.2005490000000001</v>
      </c>
      <c r="N102" s="446"/>
      <c r="O102" s="541"/>
      <c r="P102" s="446"/>
      <c r="Q102" s="477"/>
      <c r="R102" s="480"/>
    </row>
    <row r="103" spans="1:18" ht="33" customHeight="1" x14ac:dyDescent="0.25">
      <c r="A103" s="452"/>
      <c r="B103" s="433"/>
      <c r="C103" s="438"/>
      <c r="D103" s="438"/>
      <c r="E103" s="438"/>
      <c r="F103" s="433"/>
      <c r="G103" s="436"/>
      <c r="H103" s="430"/>
      <c r="I103" s="364" t="s">
        <v>130</v>
      </c>
      <c r="J103" s="320" t="s">
        <v>137</v>
      </c>
      <c r="K103" s="323" t="s">
        <v>131</v>
      </c>
      <c r="L103" s="336" t="s">
        <v>90</v>
      </c>
      <c r="M103" s="365">
        <f>483+0.6</f>
        <v>483.6</v>
      </c>
      <c r="N103" s="438"/>
      <c r="O103" s="542"/>
      <c r="P103" s="438"/>
      <c r="Q103" s="478"/>
      <c r="R103" s="481"/>
    </row>
    <row r="104" spans="1:18" ht="30" customHeight="1" x14ac:dyDescent="0.25">
      <c r="A104" s="450" t="s">
        <v>186</v>
      </c>
      <c r="B104" s="431">
        <v>255</v>
      </c>
      <c r="C104" s="437" t="s">
        <v>398</v>
      </c>
      <c r="D104" s="437" t="s">
        <v>137</v>
      </c>
      <c r="E104" s="437" t="s">
        <v>131</v>
      </c>
      <c r="F104" s="431" t="s">
        <v>90</v>
      </c>
      <c r="G104" s="434">
        <f>196.646863+11.35+0.5</f>
        <v>208.49686299999999</v>
      </c>
      <c r="H104" s="428">
        <v>548</v>
      </c>
      <c r="I104" s="253" t="s">
        <v>478</v>
      </c>
      <c r="J104" s="255" t="s">
        <v>137</v>
      </c>
      <c r="K104" s="253" t="s">
        <v>131</v>
      </c>
      <c r="L104" s="287" t="s">
        <v>90</v>
      </c>
      <c r="M104" s="357">
        <v>424.66776099999998</v>
      </c>
      <c r="N104" s="437" t="s">
        <v>91</v>
      </c>
      <c r="O104" s="540" t="s">
        <v>2</v>
      </c>
      <c r="P104" s="552" t="s">
        <v>92</v>
      </c>
      <c r="Q104" s="476" t="s">
        <v>674</v>
      </c>
      <c r="R104" s="525" t="s">
        <v>663</v>
      </c>
    </row>
    <row r="105" spans="1:18" ht="30" customHeight="1" x14ac:dyDescent="0.25">
      <c r="A105" s="451"/>
      <c r="B105" s="432"/>
      <c r="C105" s="446"/>
      <c r="D105" s="446"/>
      <c r="E105" s="446"/>
      <c r="F105" s="432"/>
      <c r="G105" s="435"/>
      <c r="H105" s="429"/>
      <c r="I105" s="253" t="s">
        <v>478</v>
      </c>
      <c r="J105" s="255" t="s">
        <v>137</v>
      </c>
      <c r="K105" s="253" t="s">
        <v>170</v>
      </c>
      <c r="L105" s="287"/>
      <c r="M105" s="357">
        <v>38.946641</v>
      </c>
      <c r="N105" s="446"/>
      <c r="O105" s="541"/>
      <c r="P105" s="552"/>
      <c r="Q105" s="477"/>
      <c r="R105" s="480"/>
    </row>
    <row r="106" spans="1:18" ht="30" customHeight="1" x14ac:dyDescent="0.25">
      <c r="A106" s="451"/>
      <c r="B106" s="432"/>
      <c r="C106" s="438"/>
      <c r="D106" s="438"/>
      <c r="E106" s="438"/>
      <c r="F106" s="433"/>
      <c r="G106" s="436"/>
      <c r="H106" s="429"/>
      <c r="I106" s="329" t="s">
        <v>130</v>
      </c>
      <c r="J106" s="320" t="s">
        <v>137</v>
      </c>
      <c r="K106" s="323" t="s">
        <v>131</v>
      </c>
      <c r="L106" s="336" t="s">
        <v>90</v>
      </c>
      <c r="M106" s="355">
        <v>0.5</v>
      </c>
      <c r="N106" s="438"/>
      <c r="O106" s="542"/>
      <c r="P106" s="552"/>
      <c r="Q106" s="478"/>
      <c r="R106" s="481"/>
    </row>
    <row r="107" spans="1:18" ht="30" customHeight="1" x14ac:dyDescent="0.25">
      <c r="A107" s="451"/>
      <c r="B107" s="432"/>
      <c r="C107" s="437" t="s">
        <v>398</v>
      </c>
      <c r="D107" s="437" t="s">
        <v>151</v>
      </c>
      <c r="E107" s="437" t="s">
        <v>131</v>
      </c>
      <c r="F107" s="437" t="s">
        <v>90</v>
      </c>
      <c r="G107" s="437">
        <v>24.399311999999998</v>
      </c>
      <c r="H107" s="429"/>
      <c r="I107" s="253" t="s">
        <v>478</v>
      </c>
      <c r="J107" s="255" t="s">
        <v>151</v>
      </c>
      <c r="K107" s="253" t="s">
        <v>131</v>
      </c>
      <c r="L107" s="287" t="s">
        <v>90</v>
      </c>
      <c r="M107" s="357">
        <v>21.242428</v>
      </c>
      <c r="N107" s="437" t="s">
        <v>91</v>
      </c>
      <c r="O107" s="540" t="s">
        <v>3</v>
      </c>
      <c r="P107" s="522" t="s">
        <v>454</v>
      </c>
      <c r="Q107" s="476" t="s">
        <v>537</v>
      </c>
      <c r="R107" s="525" t="s">
        <v>513</v>
      </c>
    </row>
    <row r="108" spans="1:18" x14ac:dyDescent="0.25">
      <c r="A108" s="451"/>
      <c r="B108" s="432"/>
      <c r="C108" s="446"/>
      <c r="D108" s="446"/>
      <c r="E108" s="446"/>
      <c r="F108" s="446"/>
      <c r="G108" s="446"/>
      <c r="H108" s="429"/>
      <c r="I108" s="249" t="s">
        <v>478</v>
      </c>
      <c r="J108" s="249" t="s">
        <v>151</v>
      </c>
      <c r="K108" s="253" t="s">
        <v>170</v>
      </c>
      <c r="L108" s="287"/>
      <c r="M108" s="357">
        <v>2.760958</v>
      </c>
      <c r="N108" s="446"/>
      <c r="O108" s="541"/>
      <c r="P108" s="523"/>
      <c r="Q108" s="477"/>
      <c r="R108" s="480"/>
    </row>
    <row r="109" spans="1:18" x14ac:dyDescent="0.25">
      <c r="A109" s="452"/>
      <c r="B109" s="433"/>
      <c r="C109" s="438"/>
      <c r="D109" s="438"/>
      <c r="E109" s="438"/>
      <c r="F109" s="438"/>
      <c r="G109" s="438"/>
      <c r="H109" s="430"/>
      <c r="I109" s="379" t="s">
        <v>130</v>
      </c>
      <c r="J109" s="378" t="s">
        <v>151</v>
      </c>
      <c r="K109" s="380" t="s">
        <v>131</v>
      </c>
      <c r="L109" s="384" t="s">
        <v>90</v>
      </c>
      <c r="M109" s="374">
        <v>48.382739999999998</v>
      </c>
      <c r="N109" s="438"/>
      <c r="O109" s="542"/>
      <c r="P109" s="524"/>
      <c r="Q109" s="478"/>
      <c r="R109" s="481"/>
    </row>
    <row r="110" spans="1:18" x14ac:dyDescent="0.25">
      <c r="A110" s="450" t="s">
        <v>187</v>
      </c>
      <c r="B110" s="431">
        <v>5</v>
      </c>
      <c r="C110" s="437" t="s">
        <v>398</v>
      </c>
      <c r="D110" s="437" t="s">
        <v>384</v>
      </c>
      <c r="E110" s="437" t="s">
        <v>131</v>
      </c>
      <c r="F110" s="431" t="s">
        <v>90</v>
      </c>
      <c r="G110" s="434">
        <v>3.7789999999999999</v>
      </c>
      <c r="H110" s="428">
        <v>16</v>
      </c>
      <c r="I110" s="249" t="s">
        <v>478</v>
      </c>
      <c r="J110" s="249" t="s">
        <v>384</v>
      </c>
      <c r="K110" s="253" t="s">
        <v>131</v>
      </c>
      <c r="L110" s="287" t="s">
        <v>90</v>
      </c>
      <c r="M110" s="357">
        <v>12.332000000000001</v>
      </c>
      <c r="N110" s="437" t="s">
        <v>91</v>
      </c>
      <c r="O110" s="467" t="s">
        <v>385</v>
      </c>
      <c r="P110" s="532" t="s">
        <v>454</v>
      </c>
      <c r="Q110" s="476" t="s">
        <v>536</v>
      </c>
      <c r="R110" s="525" t="s">
        <v>513</v>
      </c>
    </row>
    <row r="111" spans="1:18" x14ac:dyDescent="0.25">
      <c r="A111" s="452"/>
      <c r="B111" s="433"/>
      <c r="C111" s="438"/>
      <c r="D111" s="438"/>
      <c r="E111" s="438"/>
      <c r="F111" s="433"/>
      <c r="G111" s="436"/>
      <c r="H111" s="430"/>
      <c r="I111" s="249" t="s">
        <v>478</v>
      </c>
      <c r="J111" s="249" t="s">
        <v>384</v>
      </c>
      <c r="K111" s="253" t="s">
        <v>170</v>
      </c>
      <c r="L111" s="287"/>
      <c r="M111" s="357">
        <v>2.19591</v>
      </c>
      <c r="N111" s="438"/>
      <c r="O111" s="469"/>
      <c r="P111" s="532"/>
      <c r="Q111" s="478"/>
      <c r="R111" s="481"/>
    </row>
    <row r="112" spans="1:18" ht="59.25" customHeight="1" x14ac:dyDescent="0.25">
      <c r="A112" s="450" t="s">
        <v>188</v>
      </c>
      <c r="B112" s="484">
        <v>1800</v>
      </c>
      <c r="C112" s="274" t="s">
        <v>130</v>
      </c>
      <c r="D112" s="287" t="s">
        <v>137</v>
      </c>
      <c r="E112" s="249" t="s">
        <v>170</v>
      </c>
      <c r="F112" s="287" t="s">
        <v>340</v>
      </c>
      <c r="G112" s="289">
        <v>1800</v>
      </c>
      <c r="H112" s="428">
        <v>0</v>
      </c>
      <c r="I112" s="434"/>
      <c r="J112" s="434"/>
      <c r="K112" s="434"/>
      <c r="L112" s="434"/>
      <c r="M112" s="434"/>
      <c r="N112" s="497" t="s">
        <v>91</v>
      </c>
      <c r="O112" s="545" t="s">
        <v>14</v>
      </c>
      <c r="P112" s="497" t="s">
        <v>92</v>
      </c>
      <c r="Q112" s="551" t="s">
        <v>672</v>
      </c>
      <c r="R112" s="583" t="s">
        <v>663</v>
      </c>
    </row>
    <row r="113" spans="1:18" x14ac:dyDescent="0.25">
      <c r="A113" s="451"/>
      <c r="B113" s="485"/>
      <c r="C113" s="274" t="s">
        <v>130</v>
      </c>
      <c r="D113" s="287" t="s">
        <v>137</v>
      </c>
      <c r="E113" s="249" t="s">
        <v>131</v>
      </c>
      <c r="F113" s="287" t="s">
        <v>90</v>
      </c>
      <c r="G113" s="289">
        <v>37.200000000000003</v>
      </c>
      <c r="H113" s="429"/>
      <c r="I113" s="436"/>
      <c r="J113" s="436"/>
      <c r="K113" s="436"/>
      <c r="L113" s="436"/>
      <c r="M113" s="436"/>
      <c r="N113" s="497"/>
      <c r="O113" s="545"/>
      <c r="P113" s="497"/>
      <c r="Q113" s="551"/>
      <c r="R113" s="583"/>
    </row>
    <row r="114" spans="1:18" ht="75" x14ac:dyDescent="0.25">
      <c r="A114" s="452"/>
      <c r="B114" s="486"/>
      <c r="C114" s="274" t="s">
        <v>88</v>
      </c>
      <c r="D114" s="287" t="s">
        <v>609</v>
      </c>
      <c r="E114" s="249" t="s">
        <v>90</v>
      </c>
      <c r="F114" s="287" t="s">
        <v>90</v>
      </c>
      <c r="G114" s="289" t="s">
        <v>90</v>
      </c>
      <c r="H114" s="430"/>
      <c r="I114" s="285"/>
      <c r="J114" s="285"/>
      <c r="K114" s="285"/>
      <c r="L114" s="285"/>
      <c r="M114" s="332"/>
      <c r="N114" s="256" t="s">
        <v>426</v>
      </c>
      <c r="O114" s="257" t="s">
        <v>90</v>
      </c>
      <c r="P114" s="258" t="s">
        <v>454</v>
      </c>
      <c r="Q114" s="259" t="s">
        <v>610</v>
      </c>
      <c r="R114" s="260" t="s">
        <v>513</v>
      </c>
    </row>
    <row r="115" spans="1:18" ht="63" customHeight="1" x14ac:dyDescent="0.25">
      <c r="A115" s="450" t="s">
        <v>189</v>
      </c>
      <c r="B115" s="431">
        <f>11+500</f>
        <v>511</v>
      </c>
      <c r="C115" s="274" t="s">
        <v>130</v>
      </c>
      <c r="D115" s="287" t="s">
        <v>172</v>
      </c>
      <c r="E115" s="249" t="s">
        <v>170</v>
      </c>
      <c r="F115" s="287" t="s">
        <v>340</v>
      </c>
      <c r="G115" s="289">
        <v>500</v>
      </c>
      <c r="H115" s="428">
        <v>0</v>
      </c>
      <c r="I115" s="434"/>
      <c r="J115" s="434"/>
      <c r="K115" s="434"/>
      <c r="L115" s="434"/>
      <c r="M115" s="434"/>
      <c r="N115" s="487" t="s">
        <v>91</v>
      </c>
      <c r="O115" s="540" t="s">
        <v>4</v>
      </c>
      <c r="P115" s="532" t="s">
        <v>454</v>
      </c>
      <c r="Q115" s="533" t="s">
        <v>538</v>
      </c>
      <c r="R115" s="526" t="s">
        <v>513</v>
      </c>
    </row>
    <row r="116" spans="1:18" ht="30" x14ac:dyDescent="0.25">
      <c r="A116" s="451"/>
      <c r="B116" s="432"/>
      <c r="C116" s="256" t="s">
        <v>398</v>
      </c>
      <c r="D116" s="287" t="s">
        <v>172</v>
      </c>
      <c r="E116" s="249" t="s">
        <v>131</v>
      </c>
      <c r="F116" s="287" t="s">
        <v>90</v>
      </c>
      <c r="G116" s="143">
        <v>8.1844990000000006</v>
      </c>
      <c r="H116" s="429"/>
      <c r="I116" s="436"/>
      <c r="J116" s="436"/>
      <c r="K116" s="436"/>
      <c r="L116" s="436"/>
      <c r="M116" s="436"/>
      <c r="N116" s="488"/>
      <c r="O116" s="542"/>
      <c r="P116" s="532"/>
      <c r="Q116" s="534"/>
      <c r="R116" s="527"/>
    </row>
    <row r="117" spans="1:18" ht="75" x14ac:dyDescent="0.25">
      <c r="A117" s="452"/>
      <c r="B117" s="433"/>
      <c r="C117" s="256" t="s">
        <v>88</v>
      </c>
      <c r="D117" s="245" t="s">
        <v>607</v>
      </c>
      <c r="E117" s="262" t="s">
        <v>90</v>
      </c>
      <c r="F117" s="245" t="s">
        <v>90</v>
      </c>
      <c r="G117" s="242" t="s">
        <v>90</v>
      </c>
      <c r="H117" s="430"/>
      <c r="I117" s="285"/>
      <c r="J117" s="284"/>
      <c r="K117" s="284"/>
      <c r="L117" s="284"/>
      <c r="M117" s="333"/>
      <c r="N117" s="273" t="s">
        <v>426</v>
      </c>
      <c r="O117" s="243" t="s">
        <v>90</v>
      </c>
      <c r="P117" s="258" t="s">
        <v>454</v>
      </c>
      <c r="Q117" s="264" t="s">
        <v>608</v>
      </c>
      <c r="R117" s="265" t="s">
        <v>513</v>
      </c>
    </row>
    <row r="118" spans="1:18" x14ac:dyDescent="0.25">
      <c r="A118" s="450" t="s">
        <v>190</v>
      </c>
      <c r="B118" s="431">
        <v>1000</v>
      </c>
      <c r="C118" s="443" t="s">
        <v>88</v>
      </c>
      <c r="D118" s="431" t="s">
        <v>137</v>
      </c>
      <c r="E118" s="437" t="s">
        <v>90</v>
      </c>
      <c r="F118" s="431" t="s">
        <v>90</v>
      </c>
      <c r="G118" s="439" t="s">
        <v>90</v>
      </c>
      <c r="H118" s="493">
        <v>1746</v>
      </c>
      <c r="I118" s="256" t="s">
        <v>478</v>
      </c>
      <c r="J118" s="287" t="s">
        <v>137</v>
      </c>
      <c r="K118" s="253" t="s">
        <v>131</v>
      </c>
      <c r="L118" s="287" t="s">
        <v>90</v>
      </c>
      <c r="M118" s="357">
        <v>1743.4924329999999</v>
      </c>
      <c r="N118" s="437" t="s">
        <v>91</v>
      </c>
      <c r="O118" s="540" t="s">
        <v>2</v>
      </c>
      <c r="P118" s="437" t="s">
        <v>92</v>
      </c>
      <c r="Q118" s="476" t="s">
        <v>671</v>
      </c>
      <c r="R118" s="525" t="s">
        <v>663</v>
      </c>
    </row>
    <row r="119" spans="1:18" ht="30" customHeight="1" x14ac:dyDescent="0.25">
      <c r="A119" s="452"/>
      <c r="B119" s="433"/>
      <c r="C119" s="445"/>
      <c r="D119" s="433"/>
      <c r="E119" s="438"/>
      <c r="F119" s="433"/>
      <c r="G119" s="440"/>
      <c r="H119" s="430"/>
      <c r="I119" s="288" t="s">
        <v>478</v>
      </c>
      <c r="J119" s="287" t="s">
        <v>137</v>
      </c>
      <c r="K119" s="253" t="s">
        <v>170</v>
      </c>
      <c r="L119" s="287"/>
      <c r="M119" s="357">
        <v>2.4300000000000002</v>
      </c>
      <c r="N119" s="438"/>
      <c r="O119" s="542"/>
      <c r="P119" s="438"/>
      <c r="Q119" s="478"/>
      <c r="R119" s="481"/>
    </row>
    <row r="120" spans="1:18" ht="30" x14ac:dyDescent="0.25">
      <c r="A120" s="100" t="s">
        <v>191</v>
      </c>
      <c r="B120" s="96">
        <v>20</v>
      </c>
      <c r="C120" s="286" t="s">
        <v>88</v>
      </c>
      <c r="D120" s="274" t="s">
        <v>101</v>
      </c>
      <c r="E120" s="249" t="s">
        <v>90</v>
      </c>
      <c r="F120" s="287" t="s">
        <v>90</v>
      </c>
      <c r="G120" s="289" t="s">
        <v>90</v>
      </c>
      <c r="H120" s="199">
        <v>75</v>
      </c>
      <c r="I120" s="286"/>
      <c r="J120" s="274"/>
      <c r="K120" s="249"/>
      <c r="L120" s="287"/>
      <c r="M120" s="357"/>
      <c r="N120" s="249" t="s">
        <v>91</v>
      </c>
      <c r="O120" s="271" t="s">
        <v>1</v>
      </c>
      <c r="P120" s="287" t="s">
        <v>113</v>
      </c>
      <c r="Q120" s="270"/>
      <c r="R120" s="248"/>
    </row>
    <row r="121" spans="1:18" x14ac:dyDescent="0.25">
      <c r="A121" s="574" t="s">
        <v>192</v>
      </c>
      <c r="B121" s="431">
        <v>30</v>
      </c>
      <c r="C121" s="286" t="s">
        <v>88</v>
      </c>
      <c r="D121" s="249" t="s">
        <v>381</v>
      </c>
      <c r="E121" s="249" t="s">
        <v>90</v>
      </c>
      <c r="F121" s="287" t="s">
        <v>90</v>
      </c>
      <c r="G121" s="289" t="s">
        <v>90</v>
      </c>
      <c r="H121" s="428">
        <v>80</v>
      </c>
      <c r="I121" s="286" t="s">
        <v>130</v>
      </c>
      <c r="J121" s="322" t="s">
        <v>381</v>
      </c>
      <c r="K121" s="323" t="s">
        <v>131</v>
      </c>
      <c r="L121" s="336" t="s">
        <v>90</v>
      </c>
      <c r="M121" s="357">
        <f>37.2+2.056562</f>
        <v>39.256562000000002</v>
      </c>
      <c r="N121" s="249" t="s">
        <v>91</v>
      </c>
      <c r="O121" s="271" t="s">
        <v>395</v>
      </c>
      <c r="P121" s="287" t="s">
        <v>372</v>
      </c>
      <c r="Q121" s="270"/>
      <c r="R121" s="248"/>
    </row>
    <row r="122" spans="1:18" ht="30" x14ac:dyDescent="0.25">
      <c r="A122" s="575"/>
      <c r="B122" s="432"/>
      <c r="C122" s="352" t="s">
        <v>88</v>
      </c>
      <c r="D122" s="350" t="s">
        <v>175</v>
      </c>
      <c r="E122" s="322" t="s">
        <v>90</v>
      </c>
      <c r="F122" s="336" t="s">
        <v>90</v>
      </c>
      <c r="G122" s="357" t="s">
        <v>90</v>
      </c>
      <c r="H122" s="429"/>
      <c r="I122" s="352" t="s">
        <v>130</v>
      </c>
      <c r="J122" s="350" t="s">
        <v>175</v>
      </c>
      <c r="K122" s="323" t="s">
        <v>131</v>
      </c>
      <c r="L122" s="336" t="s">
        <v>90</v>
      </c>
      <c r="M122" s="354">
        <f>5.46024+0.031329</f>
        <v>5.4915690000000001</v>
      </c>
      <c r="N122" s="322" t="s">
        <v>355</v>
      </c>
      <c r="O122" s="347"/>
      <c r="P122" s="336"/>
      <c r="Q122" s="345"/>
      <c r="R122" s="334"/>
    </row>
    <row r="123" spans="1:18" x14ac:dyDescent="0.25">
      <c r="A123" s="576"/>
      <c r="B123" s="433"/>
      <c r="C123" s="352" t="s">
        <v>88</v>
      </c>
      <c r="D123" s="328" t="s">
        <v>133</v>
      </c>
      <c r="E123" s="322" t="s">
        <v>90</v>
      </c>
      <c r="F123" s="336" t="s">
        <v>90</v>
      </c>
      <c r="G123" s="357" t="s">
        <v>90</v>
      </c>
      <c r="H123" s="430"/>
      <c r="I123" s="352" t="s">
        <v>130</v>
      </c>
      <c r="J123" s="328" t="s">
        <v>133</v>
      </c>
      <c r="K123" s="323" t="s">
        <v>131</v>
      </c>
      <c r="L123" s="336" t="s">
        <v>90</v>
      </c>
      <c r="M123" s="354">
        <f>18.65084+0.07256</f>
        <v>18.723399999999998</v>
      </c>
      <c r="N123" s="322" t="s">
        <v>91</v>
      </c>
      <c r="O123" s="347" t="s">
        <v>9</v>
      </c>
      <c r="P123" s="336" t="s">
        <v>134</v>
      </c>
      <c r="Q123" s="345"/>
      <c r="R123" s="334"/>
    </row>
    <row r="124" spans="1:18" ht="30" x14ac:dyDescent="0.25">
      <c r="A124" s="558" t="s">
        <v>193</v>
      </c>
      <c r="B124" s="431">
        <f>158+237</f>
        <v>395</v>
      </c>
      <c r="C124" s="249" t="s">
        <v>130</v>
      </c>
      <c r="D124" s="287" t="s">
        <v>158</v>
      </c>
      <c r="E124" s="249" t="s">
        <v>170</v>
      </c>
      <c r="F124" s="287" t="s">
        <v>338</v>
      </c>
      <c r="G124" s="289">
        <v>157.5</v>
      </c>
      <c r="H124" s="428">
        <v>299</v>
      </c>
      <c r="I124" s="434" t="s">
        <v>130</v>
      </c>
      <c r="J124" s="584" t="s">
        <v>158</v>
      </c>
      <c r="K124" s="434" t="s">
        <v>131</v>
      </c>
      <c r="L124" s="434" t="s">
        <v>90</v>
      </c>
      <c r="M124" s="434">
        <f>2.198415+296.742756</f>
        <v>298.941171</v>
      </c>
      <c r="N124" s="552" t="s">
        <v>426</v>
      </c>
      <c r="O124" s="552" t="s">
        <v>90</v>
      </c>
      <c r="P124" s="532" t="s">
        <v>454</v>
      </c>
      <c r="Q124" s="538" t="s">
        <v>440</v>
      </c>
      <c r="R124" s="483" t="s">
        <v>513</v>
      </c>
    </row>
    <row r="125" spans="1:18" ht="30" x14ac:dyDescent="0.25">
      <c r="A125" s="558"/>
      <c r="B125" s="433"/>
      <c r="C125" s="249" t="s">
        <v>136</v>
      </c>
      <c r="D125" s="287" t="s">
        <v>158</v>
      </c>
      <c r="E125" s="249" t="s">
        <v>170</v>
      </c>
      <c r="F125" s="287" t="s">
        <v>339</v>
      </c>
      <c r="G125" s="289">
        <v>236.7</v>
      </c>
      <c r="H125" s="430"/>
      <c r="I125" s="436"/>
      <c r="J125" s="585"/>
      <c r="K125" s="436"/>
      <c r="L125" s="436"/>
      <c r="M125" s="436"/>
      <c r="N125" s="552"/>
      <c r="O125" s="552"/>
      <c r="P125" s="532"/>
      <c r="Q125" s="538"/>
      <c r="R125" s="483"/>
    </row>
    <row r="126" spans="1:18" ht="28.5" customHeight="1" x14ac:dyDescent="0.25">
      <c r="A126" s="558" t="s">
        <v>194</v>
      </c>
      <c r="B126" s="431">
        <f>509</f>
        <v>509</v>
      </c>
      <c r="C126" s="274" t="s">
        <v>136</v>
      </c>
      <c r="D126" s="287" t="s">
        <v>137</v>
      </c>
      <c r="E126" s="249" t="s">
        <v>131</v>
      </c>
      <c r="F126" s="287" t="s">
        <v>90</v>
      </c>
      <c r="G126" s="289">
        <f>196.016667+34.744768</f>
        <v>230.76143500000001</v>
      </c>
      <c r="H126" s="428">
        <v>256</v>
      </c>
      <c r="I126" s="502" t="s">
        <v>478</v>
      </c>
      <c r="J126" s="428" t="s">
        <v>137</v>
      </c>
      <c r="K126" s="502" t="s">
        <v>131</v>
      </c>
      <c r="L126" s="431" t="s">
        <v>90</v>
      </c>
      <c r="M126" s="434">
        <v>236.17306099999999</v>
      </c>
      <c r="N126" s="552" t="s">
        <v>91</v>
      </c>
      <c r="O126" s="546" t="s">
        <v>2</v>
      </c>
      <c r="P126" s="552" t="s">
        <v>92</v>
      </c>
      <c r="Q126" s="531" t="s">
        <v>673</v>
      </c>
      <c r="R126" s="483" t="s">
        <v>513</v>
      </c>
    </row>
    <row r="127" spans="1:18" ht="28.5" customHeight="1" x14ac:dyDescent="0.25">
      <c r="A127" s="558"/>
      <c r="B127" s="432"/>
      <c r="C127" s="274" t="s">
        <v>136</v>
      </c>
      <c r="D127" s="287" t="s">
        <v>137</v>
      </c>
      <c r="E127" s="249" t="s">
        <v>170</v>
      </c>
      <c r="F127" s="287" t="s">
        <v>340</v>
      </c>
      <c r="G127" s="289">
        <f>278.038565</f>
        <v>278.03856500000001</v>
      </c>
      <c r="H127" s="429"/>
      <c r="I127" s="504"/>
      <c r="J127" s="430"/>
      <c r="K127" s="504"/>
      <c r="L127" s="433"/>
      <c r="M127" s="436"/>
      <c r="N127" s="552"/>
      <c r="O127" s="546"/>
      <c r="P127" s="552"/>
      <c r="Q127" s="531"/>
      <c r="R127" s="483"/>
    </row>
    <row r="128" spans="1:18" x14ac:dyDescent="0.25">
      <c r="A128" s="558"/>
      <c r="B128" s="432"/>
      <c r="C128" s="274" t="s">
        <v>398</v>
      </c>
      <c r="D128" s="287" t="s">
        <v>137</v>
      </c>
      <c r="E128" s="249" t="s">
        <v>131</v>
      </c>
      <c r="F128" s="287" t="s">
        <v>90</v>
      </c>
      <c r="G128" s="289">
        <f>155.154616+1.8+68.60198</f>
        <v>225.55659600000001</v>
      </c>
      <c r="H128" s="429"/>
      <c r="I128" s="325" t="s">
        <v>478</v>
      </c>
      <c r="J128" s="317" t="s">
        <v>137</v>
      </c>
      <c r="K128" s="325" t="s">
        <v>170</v>
      </c>
      <c r="L128" s="350"/>
      <c r="M128" s="331">
        <v>19.826938999999999</v>
      </c>
      <c r="N128" s="552"/>
      <c r="O128" s="546"/>
      <c r="P128" s="552"/>
      <c r="Q128" s="531"/>
      <c r="R128" s="483"/>
    </row>
    <row r="129" spans="1:18" ht="45" x14ac:dyDescent="0.25">
      <c r="A129" s="558"/>
      <c r="B129" s="433"/>
      <c r="C129" s="273" t="s">
        <v>398</v>
      </c>
      <c r="D129" s="287" t="s">
        <v>137</v>
      </c>
      <c r="E129" s="263" t="s">
        <v>170</v>
      </c>
      <c r="F129" s="287" t="s">
        <v>340</v>
      </c>
      <c r="G129" s="289">
        <v>-225.55659600000001</v>
      </c>
      <c r="H129" s="430"/>
      <c r="I129" s="323" t="s">
        <v>130</v>
      </c>
      <c r="J129" s="320" t="s">
        <v>137</v>
      </c>
      <c r="K129" s="323" t="s">
        <v>131</v>
      </c>
      <c r="L129" s="336" t="s">
        <v>90</v>
      </c>
      <c r="M129" s="149">
        <f>919.858376+1.366167+137.332584</f>
        <v>1058.557127</v>
      </c>
      <c r="N129" s="552"/>
      <c r="O129" s="546"/>
      <c r="P129" s="552"/>
      <c r="Q129" s="531"/>
      <c r="R129" s="483"/>
    </row>
    <row r="130" spans="1:18" ht="60.75" customHeight="1" x14ac:dyDescent="0.25">
      <c r="A130" s="558" t="s">
        <v>195</v>
      </c>
      <c r="B130" s="431">
        <v>54</v>
      </c>
      <c r="C130" s="249" t="s">
        <v>130</v>
      </c>
      <c r="D130" s="287" t="s">
        <v>118</v>
      </c>
      <c r="E130" s="249" t="s">
        <v>170</v>
      </c>
      <c r="F130" s="287" t="s">
        <v>340</v>
      </c>
      <c r="G130" s="289">
        <v>50</v>
      </c>
      <c r="H130" s="428">
        <v>0</v>
      </c>
      <c r="I130" s="434"/>
      <c r="J130" s="434"/>
      <c r="K130" s="434"/>
      <c r="L130" s="434"/>
      <c r="M130" s="434"/>
      <c r="N130" s="437" t="s">
        <v>91</v>
      </c>
      <c r="O130" s="467" t="s">
        <v>15</v>
      </c>
      <c r="P130" s="547" t="s">
        <v>454</v>
      </c>
      <c r="Q130" s="518" t="s">
        <v>540</v>
      </c>
      <c r="R130" s="455" t="s">
        <v>513</v>
      </c>
    </row>
    <row r="131" spans="1:18" ht="45" x14ac:dyDescent="0.25">
      <c r="A131" s="558"/>
      <c r="B131" s="432"/>
      <c r="C131" s="249" t="s">
        <v>398</v>
      </c>
      <c r="D131" s="287" t="s">
        <v>118</v>
      </c>
      <c r="E131" s="249" t="s">
        <v>170</v>
      </c>
      <c r="F131" s="287" t="s">
        <v>340</v>
      </c>
      <c r="G131" s="289">
        <v>-13.124556</v>
      </c>
      <c r="H131" s="429"/>
      <c r="I131" s="435"/>
      <c r="J131" s="435"/>
      <c r="K131" s="435"/>
      <c r="L131" s="435"/>
      <c r="M131" s="435"/>
      <c r="N131" s="446"/>
      <c r="O131" s="468"/>
      <c r="P131" s="547"/>
      <c r="Q131" s="519"/>
      <c r="R131" s="456"/>
    </row>
    <row r="132" spans="1:18" ht="30" x14ac:dyDescent="0.25">
      <c r="A132" s="558"/>
      <c r="B132" s="432"/>
      <c r="C132" s="249" t="s">
        <v>398</v>
      </c>
      <c r="D132" s="287" t="s">
        <v>118</v>
      </c>
      <c r="E132" s="249" t="s">
        <v>131</v>
      </c>
      <c r="F132" s="287" t="s">
        <v>90</v>
      </c>
      <c r="G132" s="289">
        <v>13.124556</v>
      </c>
      <c r="H132" s="429"/>
      <c r="I132" s="436"/>
      <c r="J132" s="436"/>
      <c r="K132" s="436"/>
      <c r="L132" s="436"/>
      <c r="M132" s="436"/>
      <c r="N132" s="438"/>
      <c r="O132" s="469"/>
      <c r="P132" s="547"/>
      <c r="Q132" s="520"/>
      <c r="R132" s="457"/>
    </row>
    <row r="133" spans="1:18" ht="63" customHeight="1" x14ac:dyDescent="0.25">
      <c r="A133" s="558"/>
      <c r="B133" s="433"/>
      <c r="C133" s="249" t="s">
        <v>136</v>
      </c>
      <c r="D133" s="287" t="s">
        <v>158</v>
      </c>
      <c r="E133" s="249" t="s">
        <v>170</v>
      </c>
      <c r="F133" s="287" t="s">
        <v>340</v>
      </c>
      <c r="G133" s="289">
        <v>4</v>
      </c>
      <c r="H133" s="430"/>
      <c r="I133" s="249"/>
      <c r="J133" s="287"/>
      <c r="K133" s="249"/>
      <c r="L133" s="287"/>
      <c r="M133" s="357"/>
      <c r="N133" s="249" t="s">
        <v>91</v>
      </c>
      <c r="O133" s="250" t="s">
        <v>8</v>
      </c>
      <c r="P133" s="258" t="s">
        <v>454</v>
      </c>
      <c r="Q133" s="270" t="s">
        <v>539</v>
      </c>
      <c r="R133" s="248" t="s">
        <v>513</v>
      </c>
    </row>
    <row r="134" spans="1:18" ht="30" x14ac:dyDescent="0.25">
      <c r="A134" s="275" t="s">
        <v>196</v>
      </c>
      <c r="B134" s="96">
        <v>34</v>
      </c>
      <c r="C134" s="249" t="s">
        <v>398</v>
      </c>
      <c r="D134" s="287" t="s">
        <v>118</v>
      </c>
      <c r="E134" s="249" t="s">
        <v>131</v>
      </c>
      <c r="F134" s="287" t="s">
        <v>90</v>
      </c>
      <c r="G134" s="289">
        <f>31.7+2.06709+0.14</f>
        <v>33.907089999999997</v>
      </c>
      <c r="H134" s="199">
        <v>58</v>
      </c>
      <c r="I134" s="249" t="s">
        <v>130</v>
      </c>
      <c r="J134" s="336" t="s">
        <v>118</v>
      </c>
      <c r="K134" s="322" t="s">
        <v>131</v>
      </c>
      <c r="L134" s="336" t="s">
        <v>90</v>
      </c>
      <c r="M134" s="357">
        <f>2.823901+54.054038</f>
        <v>56.877938999999998</v>
      </c>
      <c r="N134" s="249" t="s">
        <v>91</v>
      </c>
      <c r="O134" s="250" t="s">
        <v>15</v>
      </c>
      <c r="P134" s="249" t="s">
        <v>134</v>
      </c>
      <c r="Q134" s="181"/>
      <c r="R134" s="178"/>
    </row>
    <row r="135" spans="1:18" ht="15" customHeight="1" x14ac:dyDescent="0.25">
      <c r="A135" s="558" t="s">
        <v>197</v>
      </c>
      <c r="B135" s="431">
        <v>59</v>
      </c>
      <c r="C135" s="249" t="s">
        <v>136</v>
      </c>
      <c r="D135" s="287" t="s">
        <v>118</v>
      </c>
      <c r="E135" s="249" t="s">
        <v>131</v>
      </c>
      <c r="F135" s="287" t="s">
        <v>90</v>
      </c>
      <c r="G135" s="289">
        <v>30.004252000000001</v>
      </c>
      <c r="H135" s="428">
        <v>0</v>
      </c>
      <c r="I135" s="434"/>
      <c r="J135" s="434"/>
      <c r="K135" s="434"/>
      <c r="L135" s="434"/>
      <c r="M135" s="434"/>
      <c r="N135" s="552" t="s">
        <v>91</v>
      </c>
      <c r="O135" s="546" t="s">
        <v>15</v>
      </c>
      <c r="P135" s="532" t="s">
        <v>454</v>
      </c>
      <c r="Q135" s="476" t="s">
        <v>541</v>
      </c>
      <c r="R135" s="483" t="s">
        <v>513</v>
      </c>
    </row>
    <row r="136" spans="1:18" ht="30" x14ac:dyDescent="0.25">
      <c r="A136" s="558"/>
      <c r="B136" s="432"/>
      <c r="C136" s="249" t="s">
        <v>136</v>
      </c>
      <c r="D136" s="287" t="s">
        <v>118</v>
      </c>
      <c r="E136" s="249" t="s">
        <v>170</v>
      </c>
      <c r="F136" s="287" t="s">
        <v>339</v>
      </c>
      <c r="G136" s="289">
        <v>5</v>
      </c>
      <c r="H136" s="429"/>
      <c r="I136" s="436"/>
      <c r="J136" s="436"/>
      <c r="K136" s="436"/>
      <c r="L136" s="436"/>
      <c r="M136" s="436"/>
      <c r="N136" s="552"/>
      <c r="O136" s="546"/>
      <c r="P136" s="532"/>
      <c r="Q136" s="478"/>
      <c r="R136" s="483"/>
    </row>
    <row r="137" spans="1:18" ht="30" x14ac:dyDescent="0.25">
      <c r="A137" s="558"/>
      <c r="B137" s="432"/>
      <c r="C137" s="249" t="s">
        <v>136</v>
      </c>
      <c r="D137" s="287" t="s">
        <v>158</v>
      </c>
      <c r="E137" s="249" t="s">
        <v>170</v>
      </c>
      <c r="F137" s="287" t="s">
        <v>339</v>
      </c>
      <c r="G137" s="289">
        <v>15.495009</v>
      </c>
      <c r="H137" s="429"/>
      <c r="I137" s="434"/>
      <c r="J137" s="434"/>
      <c r="K137" s="434"/>
      <c r="L137" s="434"/>
      <c r="M137" s="434"/>
      <c r="N137" s="552" t="s">
        <v>91</v>
      </c>
      <c r="O137" s="546" t="s">
        <v>8</v>
      </c>
      <c r="P137" s="532" t="s">
        <v>454</v>
      </c>
      <c r="Q137" s="531" t="s">
        <v>542</v>
      </c>
      <c r="R137" s="483" t="s">
        <v>543</v>
      </c>
    </row>
    <row r="138" spans="1:18" ht="30" x14ac:dyDescent="0.25">
      <c r="A138" s="558"/>
      <c r="B138" s="433"/>
      <c r="C138" s="249" t="s">
        <v>136</v>
      </c>
      <c r="D138" s="287" t="s">
        <v>158</v>
      </c>
      <c r="E138" s="249" t="s">
        <v>131</v>
      </c>
      <c r="F138" s="287" t="s">
        <v>90</v>
      </c>
      <c r="G138" s="289">
        <v>6.9344419999999998</v>
      </c>
      <c r="H138" s="430"/>
      <c r="I138" s="436"/>
      <c r="J138" s="436"/>
      <c r="K138" s="436"/>
      <c r="L138" s="436"/>
      <c r="M138" s="436"/>
      <c r="N138" s="552"/>
      <c r="O138" s="546"/>
      <c r="P138" s="532"/>
      <c r="Q138" s="531"/>
      <c r="R138" s="483"/>
    </row>
    <row r="139" spans="1:18" ht="75" x14ac:dyDescent="0.25">
      <c r="A139" s="275" t="s">
        <v>198</v>
      </c>
      <c r="B139" s="96">
        <v>292</v>
      </c>
      <c r="C139" s="249" t="s">
        <v>136</v>
      </c>
      <c r="D139" s="249" t="s">
        <v>199</v>
      </c>
      <c r="E139" s="249" t="s">
        <v>131</v>
      </c>
      <c r="F139" s="287" t="s">
        <v>90</v>
      </c>
      <c r="G139" s="289">
        <f>234.707427+21.265071</f>
        <v>255.972498</v>
      </c>
      <c r="H139" s="199">
        <v>0</v>
      </c>
      <c r="I139" s="249"/>
      <c r="J139" s="249"/>
      <c r="K139" s="249"/>
      <c r="L139" s="287"/>
      <c r="M139" s="357"/>
      <c r="N139" s="287" t="s">
        <v>426</v>
      </c>
      <c r="O139" s="179" t="s">
        <v>90</v>
      </c>
      <c r="P139" s="258" t="s">
        <v>454</v>
      </c>
      <c r="Q139" s="200" t="s">
        <v>499</v>
      </c>
      <c r="R139" s="248" t="s">
        <v>513</v>
      </c>
    </row>
    <row r="140" spans="1:18" ht="30" x14ac:dyDescent="0.25">
      <c r="A140" s="558" t="s">
        <v>200</v>
      </c>
      <c r="B140" s="431">
        <v>25</v>
      </c>
      <c r="C140" s="437" t="s">
        <v>136</v>
      </c>
      <c r="D140" s="437" t="s">
        <v>158</v>
      </c>
      <c r="E140" s="437" t="s">
        <v>170</v>
      </c>
      <c r="F140" s="431" t="s">
        <v>339</v>
      </c>
      <c r="G140" s="439">
        <v>12.65</v>
      </c>
      <c r="H140" s="428">
        <v>13</v>
      </c>
      <c r="I140" s="253" t="s">
        <v>478</v>
      </c>
      <c r="J140" s="287" t="s">
        <v>158</v>
      </c>
      <c r="K140" s="253" t="s">
        <v>170</v>
      </c>
      <c r="L140" s="287"/>
      <c r="M140" s="166">
        <v>0.21093200000000001</v>
      </c>
      <c r="N140" s="552" t="s">
        <v>91</v>
      </c>
      <c r="O140" s="546" t="s">
        <v>8</v>
      </c>
      <c r="P140" s="532" t="s">
        <v>454</v>
      </c>
      <c r="Q140" s="531" t="s">
        <v>441</v>
      </c>
      <c r="R140" s="483" t="s">
        <v>513</v>
      </c>
    </row>
    <row r="141" spans="1:18" ht="30" x14ac:dyDescent="0.25">
      <c r="A141" s="558"/>
      <c r="B141" s="432"/>
      <c r="C141" s="438"/>
      <c r="D141" s="438"/>
      <c r="E141" s="438"/>
      <c r="F141" s="433"/>
      <c r="G141" s="440"/>
      <c r="H141" s="429"/>
      <c r="I141" s="253" t="s">
        <v>478</v>
      </c>
      <c r="J141" s="287" t="s">
        <v>158</v>
      </c>
      <c r="K141" s="253" t="s">
        <v>131</v>
      </c>
      <c r="L141" s="281" t="s">
        <v>90</v>
      </c>
      <c r="M141" s="357">
        <v>12.989068</v>
      </c>
      <c r="N141" s="552"/>
      <c r="O141" s="546"/>
      <c r="P141" s="532"/>
      <c r="Q141" s="531"/>
      <c r="R141" s="483"/>
    </row>
    <row r="142" spans="1:18" ht="30" x14ac:dyDescent="0.25">
      <c r="A142" s="558"/>
      <c r="B142" s="433"/>
      <c r="C142" s="249" t="s">
        <v>136</v>
      </c>
      <c r="D142" s="287" t="s">
        <v>158</v>
      </c>
      <c r="E142" s="249" t="s">
        <v>131</v>
      </c>
      <c r="F142" s="287" t="s">
        <v>90</v>
      </c>
      <c r="G142" s="289">
        <f>11.5+0.97319</f>
        <v>12.473190000000001</v>
      </c>
      <c r="H142" s="430"/>
      <c r="I142" s="364" t="s">
        <v>130</v>
      </c>
      <c r="J142" s="336" t="s">
        <v>158</v>
      </c>
      <c r="K142" s="323" t="s">
        <v>131</v>
      </c>
      <c r="L142" s="351" t="s">
        <v>90</v>
      </c>
      <c r="M142" s="365">
        <v>11.5</v>
      </c>
      <c r="N142" s="552"/>
      <c r="O142" s="546"/>
      <c r="P142" s="532"/>
      <c r="Q142" s="531"/>
      <c r="R142" s="483"/>
    </row>
    <row r="143" spans="1:18" ht="30" x14ac:dyDescent="0.25">
      <c r="A143" s="574" t="s">
        <v>201</v>
      </c>
      <c r="B143" s="431">
        <v>506</v>
      </c>
      <c r="C143" s="249" t="s">
        <v>398</v>
      </c>
      <c r="D143" s="249" t="s">
        <v>151</v>
      </c>
      <c r="E143" s="249" t="s">
        <v>170</v>
      </c>
      <c r="F143" s="287" t="s">
        <v>502</v>
      </c>
      <c r="G143" s="289">
        <v>505.65</v>
      </c>
      <c r="H143" s="428">
        <v>503</v>
      </c>
      <c r="I143" s="253" t="s">
        <v>478</v>
      </c>
      <c r="J143" s="249" t="s">
        <v>151</v>
      </c>
      <c r="K143" s="253" t="s">
        <v>170</v>
      </c>
      <c r="L143" s="287"/>
      <c r="M143" s="166">
        <v>0.16175200000000001</v>
      </c>
      <c r="N143" s="437" t="s">
        <v>91</v>
      </c>
      <c r="O143" s="540" t="s">
        <v>3</v>
      </c>
      <c r="P143" s="437" t="s">
        <v>134</v>
      </c>
      <c r="Q143" s="476"/>
      <c r="R143" s="483"/>
    </row>
    <row r="144" spans="1:18" x14ac:dyDescent="0.25">
      <c r="A144" s="575"/>
      <c r="B144" s="432"/>
      <c r="C144" s="437" t="s">
        <v>398</v>
      </c>
      <c r="D144" s="437" t="s">
        <v>151</v>
      </c>
      <c r="E144" s="437" t="s">
        <v>131</v>
      </c>
      <c r="F144" s="431" t="s">
        <v>90</v>
      </c>
      <c r="G144" s="441">
        <f>2.32261-2.066</f>
        <v>0.25661000000000023</v>
      </c>
      <c r="H144" s="429"/>
      <c r="I144" s="253" t="s">
        <v>478</v>
      </c>
      <c r="J144" s="249" t="s">
        <v>151</v>
      </c>
      <c r="K144" s="253" t="s">
        <v>131</v>
      </c>
      <c r="L144" s="287" t="s">
        <v>90</v>
      </c>
      <c r="M144" s="357">
        <v>502.469831</v>
      </c>
      <c r="N144" s="446"/>
      <c r="O144" s="541"/>
      <c r="P144" s="446"/>
      <c r="Q144" s="477"/>
      <c r="R144" s="483"/>
    </row>
    <row r="145" spans="1:18" x14ac:dyDescent="0.25">
      <c r="A145" s="576"/>
      <c r="B145" s="433"/>
      <c r="C145" s="438"/>
      <c r="D145" s="438"/>
      <c r="E145" s="438"/>
      <c r="F145" s="433"/>
      <c r="G145" s="442"/>
      <c r="H145" s="430"/>
      <c r="I145" s="329" t="s">
        <v>130</v>
      </c>
      <c r="J145" s="322" t="s">
        <v>151</v>
      </c>
      <c r="K145" s="323" t="s">
        <v>131</v>
      </c>
      <c r="L145" s="336" t="s">
        <v>90</v>
      </c>
      <c r="M145" s="365">
        <f>501+0.25661</f>
        <v>501.25661000000002</v>
      </c>
      <c r="N145" s="438"/>
      <c r="O145" s="542"/>
      <c r="P145" s="438"/>
      <c r="Q145" s="478"/>
      <c r="R145" s="483"/>
    </row>
    <row r="146" spans="1:18" ht="60" customHeight="1" x14ac:dyDescent="0.25">
      <c r="A146" s="558" t="s">
        <v>202</v>
      </c>
      <c r="B146" s="431">
        <v>241</v>
      </c>
      <c r="C146" s="274" t="s">
        <v>130</v>
      </c>
      <c r="D146" s="287" t="s">
        <v>151</v>
      </c>
      <c r="E146" s="249" t="s">
        <v>170</v>
      </c>
      <c r="F146" s="287" t="s">
        <v>340</v>
      </c>
      <c r="G146" s="289">
        <v>253.264557</v>
      </c>
      <c r="H146" s="428">
        <v>0</v>
      </c>
      <c r="I146" s="434" t="s">
        <v>130</v>
      </c>
      <c r="J146" s="434" t="s">
        <v>151</v>
      </c>
      <c r="K146" s="434" t="s">
        <v>131</v>
      </c>
      <c r="L146" s="434" t="s">
        <v>90</v>
      </c>
      <c r="M146" s="434">
        <f>110.007731+5.88358</f>
        <v>115.891311</v>
      </c>
      <c r="N146" s="497" t="s">
        <v>91</v>
      </c>
      <c r="O146" s="545" t="s">
        <v>17</v>
      </c>
      <c r="P146" s="532" t="s">
        <v>454</v>
      </c>
      <c r="Q146" s="551" t="s">
        <v>544</v>
      </c>
      <c r="R146" s="583" t="s">
        <v>513</v>
      </c>
    </row>
    <row r="147" spans="1:18" ht="62.25" customHeight="1" x14ac:dyDescent="0.25">
      <c r="A147" s="558"/>
      <c r="B147" s="432"/>
      <c r="C147" s="274" t="s">
        <v>136</v>
      </c>
      <c r="D147" s="287" t="s">
        <v>151</v>
      </c>
      <c r="E147" s="249" t="s">
        <v>170</v>
      </c>
      <c r="F147" s="287" t="s">
        <v>340</v>
      </c>
      <c r="G147" s="289">
        <v>-101.336512</v>
      </c>
      <c r="H147" s="429"/>
      <c r="I147" s="435"/>
      <c r="J147" s="435"/>
      <c r="K147" s="435"/>
      <c r="L147" s="435"/>
      <c r="M147" s="435"/>
      <c r="N147" s="497"/>
      <c r="O147" s="545"/>
      <c r="P147" s="532"/>
      <c r="Q147" s="551"/>
      <c r="R147" s="583"/>
    </row>
    <row r="148" spans="1:18" x14ac:dyDescent="0.25">
      <c r="A148" s="558"/>
      <c r="B148" s="432"/>
      <c r="C148" s="274" t="s">
        <v>136</v>
      </c>
      <c r="D148" s="287" t="s">
        <v>151</v>
      </c>
      <c r="E148" s="249" t="s">
        <v>131</v>
      </c>
      <c r="F148" s="287" t="s">
        <v>90</v>
      </c>
      <c r="G148" s="289">
        <f>14.975267+85</f>
        <v>99.975267000000002</v>
      </c>
      <c r="H148" s="429"/>
      <c r="I148" s="435"/>
      <c r="J148" s="435"/>
      <c r="K148" s="435"/>
      <c r="L148" s="435"/>
      <c r="M148" s="435"/>
      <c r="N148" s="497"/>
      <c r="O148" s="545"/>
      <c r="P148" s="532"/>
      <c r="Q148" s="551"/>
      <c r="R148" s="583"/>
    </row>
    <row r="149" spans="1:18" ht="45" x14ac:dyDescent="0.25">
      <c r="A149" s="558"/>
      <c r="B149" s="432"/>
      <c r="C149" s="274" t="s">
        <v>398</v>
      </c>
      <c r="D149" s="287" t="s">
        <v>151</v>
      </c>
      <c r="E149" s="249" t="s">
        <v>170</v>
      </c>
      <c r="F149" s="287" t="s">
        <v>340</v>
      </c>
      <c r="G149" s="143">
        <v>-116.14223699999999</v>
      </c>
      <c r="H149" s="429"/>
      <c r="I149" s="435"/>
      <c r="J149" s="435"/>
      <c r="K149" s="435"/>
      <c r="L149" s="435"/>
      <c r="M149" s="435"/>
      <c r="N149" s="497"/>
      <c r="O149" s="545"/>
      <c r="P149" s="532"/>
      <c r="Q149" s="551"/>
      <c r="R149" s="583"/>
    </row>
    <row r="150" spans="1:18" x14ac:dyDescent="0.25">
      <c r="A150" s="558"/>
      <c r="B150" s="432"/>
      <c r="C150" s="274" t="s">
        <v>398</v>
      </c>
      <c r="D150" s="287" t="s">
        <v>151</v>
      </c>
      <c r="E150" s="249" t="s">
        <v>131</v>
      </c>
      <c r="F150" s="287" t="s">
        <v>90</v>
      </c>
      <c r="G150" s="143">
        <v>47.492269</v>
      </c>
      <c r="H150" s="429"/>
      <c r="I150" s="435"/>
      <c r="J150" s="435"/>
      <c r="K150" s="435"/>
      <c r="L150" s="435"/>
      <c r="M150" s="435"/>
      <c r="N150" s="497"/>
      <c r="O150" s="545"/>
      <c r="P150" s="532"/>
      <c r="Q150" s="551"/>
      <c r="R150" s="583"/>
    </row>
    <row r="151" spans="1:18" ht="30" x14ac:dyDescent="0.25">
      <c r="A151" s="558"/>
      <c r="B151" s="433"/>
      <c r="C151" s="274" t="s">
        <v>398</v>
      </c>
      <c r="D151" s="287" t="s">
        <v>151</v>
      </c>
      <c r="E151" s="263" t="s">
        <v>170</v>
      </c>
      <c r="F151" s="287" t="s">
        <v>502</v>
      </c>
      <c r="G151" s="144">
        <v>68.649968000000001</v>
      </c>
      <c r="H151" s="430"/>
      <c r="I151" s="436"/>
      <c r="J151" s="436"/>
      <c r="K151" s="436"/>
      <c r="L151" s="436"/>
      <c r="M151" s="436"/>
      <c r="N151" s="497"/>
      <c r="O151" s="545"/>
      <c r="P151" s="532"/>
      <c r="Q151" s="551"/>
      <c r="R151" s="583"/>
    </row>
    <row r="152" spans="1:18" ht="75" x14ac:dyDescent="0.25">
      <c r="A152" s="450" t="s">
        <v>203</v>
      </c>
      <c r="B152" s="431">
        <v>93</v>
      </c>
      <c r="C152" s="274" t="s">
        <v>398</v>
      </c>
      <c r="D152" s="287" t="s">
        <v>151</v>
      </c>
      <c r="E152" s="249" t="s">
        <v>170</v>
      </c>
      <c r="F152" s="287" t="s">
        <v>399</v>
      </c>
      <c r="G152" s="143">
        <v>43</v>
      </c>
      <c r="H152" s="428">
        <v>62</v>
      </c>
      <c r="I152" s="274"/>
      <c r="J152" s="287"/>
      <c r="K152" s="249"/>
      <c r="L152" s="287"/>
      <c r="M152" s="143"/>
      <c r="N152" s="249" t="s">
        <v>91</v>
      </c>
      <c r="O152" s="271" t="s">
        <v>3</v>
      </c>
      <c r="P152" s="258" t="s">
        <v>454</v>
      </c>
      <c r="Q152" s="270" t="s">
        <v>492</v>
      </c>
      <c r="R152" s="248" t="s">
        <v>513</v>
      </c>
    </row>
    <row r="153" spans="1:18" x14ac:dyDescent="0.25">
      <c r="A153" s="452"/>
      <c r="B153" s="433"/>
      <c r="C153" s="274" t="s">
        <v>398</v>
      </c>
      <c r="D153" s="287" t="s">
        <v>137</v>
      </c>
      <c r="E153" s="249" t="s">
        <v>131</v>
      </c>
      <c r="F153" s="287" t="s">
        <v>90</v>
      </c>
      <c r="G153" s="143">
        <v>50</v>
      </c>
      <c r="H153" s="430"/>
      <c r="I153" s="274" t="s">
        <v>130</v>
      </c>
      <c r="J153" s="336" t="s">
        <v>137</v>
      </c>
      <c r="K153" s="322" t="s">
        <v>131</v>
      </c>
      <c r="L153" s="336" t="s">
        <v>90</v>
      </c>
      <c r="M153" s="357">
        <v>42</v>
      </c>
      <c r="N153" s="249" t="s">
        <v>91</v>
      </c>
      <c r="O153" s="271" t="s">
        <v>2</v>
      </c>
      <c r="P153" s="249" t="s">
        <v>92</v>
      </c>
      <c r="Q153" s="270" t="s">
        <v>516</v>
      </c>
      <c r="R153" s="248" t="s">
        <v>663</v>
      </c>
    </row>
    <row r="154" spans="1:18" x14ac:dyDescent="0.25">
      <c r="A154" s="450" t="s">
        <v>204</v>
      </c>
      <c r="B154" s="431">
        <v>21</v>
      </c>
      <c r="C154" s="443" t="s">
        <v>398</v>
      </c>
      <c r="D154" s="431" t="s">
        <v>151</v>
      </c>
      <c r="E154" s="437" t="s">
        <v>170</v>
      </c>
      <c r="F154" s="431" t="s">
        <v>502</v>
      </c>
      <c r="G154" s="447">
        <f>64.4273-43</f>
        <v>21.427300000000002</v>
      </c>
      <c r="H154" s="428">
        <v>45</v>
      </c>
      <c r="I154" s="274" t="s">
        <v>478</v>
      </c>
      <c r="J154" s="287" t="s">
        <v>151</v>
      </c>
      <c r="K154" s="253" t="s">
        <v>131</v>
      </c>
      <c r="L154" s="287" t="s">
        <v>90</v>
      </c>
      <c r="M154" s="357">
        <v>44.169148999999997</v>
      </c>
      <c r="N154" s="437" t="s">
        <v>91</v>
      </c>
      <c r="O154" s="540" t="s">
        <v>3</v>
      </c>
      <c r="P154" s="437" t="s">
        <v>134</v>
      </c>
      <c r="Q154" s="437"/>
      <c r="R154" s="525"/>
    </row>
    <row r="155" spans="1:18" x14ac:dyDescent="0.25">
      <c r="A155" s="451"/>
      <c r="B155" s="432"/>
      <c r="C155" s="444"/>
      <c r="D155" s="432"/>
      <c r="E155" s="446"/>
      <c r="F155" s="432"/>
      <c r="G155" s="448"/>
      <c r="H155" s="429"/>
      <c r="I155" s="286" t="s">
        <v>478</v>
      </c>
      <c r="J155" s="287" t="s">
        <v>151</v>
      </c>
      <c r="K155" s="253" t="s">
        <v>170</v>
      </c>
      <c r="L155" s="287"/>
      <c r="M155" s="166">
        <v>0.22308800000000001</v>
      </c>
      <c r="N155" s="446"/>
      <c r="O155" s="541"/>
      <c r="P155" s="446"/>
      <c r="Q155" s="446"/>
      <c r="R155" s="480"/>
    </row>
    <row r="156" spans="1:18" x14ac:dyDescent="0.25">
      <c r="A156" s="452"/>
      <c r="B156" s="433"/>
      <c r="C156" s="445"/>
      <c r="D156" s="433"/>
      <c r="E156" s="438"/>
      <c r="F156" s="433"/>
      <c r="G156" s="449"/>
      <c r="H156" s="430"/>
      <c r="I156" s="364" t="s">
        <v>130</v>
      </c>
      <c r="J156" s="336" t="s">
        <v>151</v>
      </c>
      <c r="K156" s="323" t="s">
        <v>131</v>
      </c>
      <c r="L156" s="336" t="s">
        <v>90</v>
      </c>
      <c r="M156" s="365">
        <v>8.6199999999999992</v>
      </c>
      <c r="N156" s="438"/>
      <c r="O156" s="542"/>
      <c r="P156" s="438"/>
      <c r="Q156" s="438"/>
      <c r="R156" s="481"/>
    </row>
    <row r="157" spans="1:18" ht="30" x14ac:dyDescent="0.25">
      <c r="A157" s="558" t="s">
        <v>205</v>
      </c>
      <c r="B157" s="431">
        <f>100+35</f>
        <v>135</v>
      </c>
      <c r="C157" s="249" t="s">
        <v>130</v>
      </c>
      <c r="D157" s="287" t="s">
        <v>206</v>
      </c>
      <c r="E157" s="249" t="s">
        <v>131</v>
      </c>
      <c r="F157" s="287" t="s">
        <v>90</v>
      </c>
      <c r="G157" s="289">
        <v>59.32</v>
      </c>
      <c r="H157" s="428">
        <v>0</v>
      </c>
      <c r="I157" s="434" t="s">
        <v>130</v>
      </c>
      <c r="J157" s="584" t="s">
        <v>206</v>
      </c>
      <c r="K157" s="434" t="s">
        <v>131</v>
      </c>
      <c r="L157" s="434" t="s">
        <v>90</v>
      </c>
      <c r="M157" s="434">
        <v>35</v>
      </c>
      <c r="N157" s="552" t="s">
        <v>91</v>
      </c>
      <c r="O157" s="546" t="s">
        <v>18</v>
      </c>
      <c r="P157" s="547" t="s">
        <v>454</v>
      </c>
      <c r="Q157" s="538" t="s">
        <v>545</v>
      </c>
      <c r="R157" s="596" t="s">
        <v>513</v>
      </c>
    </row>
    <row r="158" spans="1:18" ht="30" x14ac:dyDescent="0.25">
      <c r="A158" s="558"/>
      <c r="B158" s="432"/>
      <c r="C158" s="249" t="s">
        <v>130</v>
      </c>
      <c r="D158" s="287" t="s">
        <v>206</v>
      </c>
      <c r="E158" s="249" t="s">
        <v>170</v>
      </c>
      <c r="F158" s="287" t="s">
        <v>338</v>
      </c>
      <c r="G158" s="289">
        <v>40.68</v>
      </c>
      <c r="H158" s="429"/>
      <c r="I158" s="435"/>
      <c r="J158" s="591"/>
      <c r="K158" s="435"/>
      <c r="L158" s="435"/>
      <c r="M158" s="435"/>
      <c r="N158" s="552"/>
      <c r="O158" s="546"/>
      <c r="P158" s="547"/>
      <c r="Q158" s="538"/>
      <c r="R158" s="483"/>
    </row>
    <row r="159" spans="1:18" ht="30" x14ac:dyDescent="0.25">
      <c r="A159" s="558"/>
      <c r="B159" s="432"/>
      <c r="C159" s="249" t="s">
        <v>136</v>
      </c>
      <c r="D159" s="287" t="s">
        <v>206</v>
      </c>
      <c r="E159" s="249" t="s">
        <v>170</v>
      </c>
      <c r="F159" s="287" t="s">
        <v>338</v>
      </c>
      <c r="G159" s="289">
        <v>-1.2203999999999999</v>
      </c>
      <c r="H159" s="429"/>
      <c r="I159" s="435"/>
      <c r="J159" s="591"/>
      <c r="K159" s="435"/>
      <c r="L159" s="435"/>
      <c r="M159" s="435"/>
      <c r="N159" s="552"/>
      <c r="O159" s="546"/>
      <c r="P159" s="547"/>
      <c r="Q159" s="538"/>
      <c r="R159" s="483"/>
    </row>
    <row r="160" spans="1:18" ht="30" x14ac:dyDescent="0.25">
      <c r="A160" s="558"/>
      <c r="B160" s="432"/>
      <c r="C160" s="249" t="s">
        <v>136</v>
      </c>
      <c r="D160" s="287" t="s">
        <v>206</v>
      </c>
      <c r="E160" s="249" t="s">
        <v>131</v>
      </c>
      <c r="F160" s="287" t="s">
        <v>90</v>
      </c>
      <c r="G160" s="289">
        <v>1.2203999999999999</v>
      </c>
      <c r="H160" s="429"/>
      <c r="I160" s="435"/>
      <c r="J160" s="591"/>
      <c r="K160" s="435"/>
      <c r="L160" s="435"/>
      <c r="M160" s="435"/>
      <c r="N160" s="552"/>
      <c r="O160" s="546"/>
      <c r="P160" s="547"/>
      <c r="Q160" s="538"/>
      <c r="R160" s="483"/>
    </row>
    <row r="161" spans="1:18" ht="30" x14ac:dyDescent="0.25">
      <c r="A161" s="558"/>
      <c r="B161" s="433"/>
      <c r="C161" s="263" t="s">
        <v>398</v>
      </c>
      <c r="D161" s="287" t="s">
        <v>206</v>
      </c>
      <c r="E161" s="263" t="s">
        <v>131</v>
      </c>
      <c r="F161" s="246" t="s">
        <v>90</v>
      </c>
      <c r="G161" s="289">
        <v>35</v>
      </c>
      <c r="H161" s="430"/>
      <c r="I161" s="436"/>
      <c r="J161" s="585"/>
      <c r="K161" s="436"/>
      <c r="L161" s="436"/>
      <c r="M161" s="436"/>
      <c r="N161" s="552"/>
      <c r="O161" s="546"/>
      <c r="P161" s="547"/>
      <c r="Q161" s="538"/>
      <c r="R161" s="483"/>
    </row>
    <row r="162" spans="1:18" ht="30" x14ac:dyDescent="0.25">
      <c r="A162" s="275" t="s">
        <v>207</v>
      </c>
      <c r="B162" s="96">
        <v>0</v>
      </c>
      <c r="C162" s="249" t="s">
        <v>88</v>
      </c>
      <c r="D162" s="287" t="s">
        <v>206</v>
      </c>
      <c r="E162" s="249" t="s">
        <v>90</v>
      </c>
      <c r="F162" s="287" t="s">
        <v>90</v>
      </c>
      <c r="G162" s="289" t="s">
        <v>90</v>
      </c>
      <c r="H162" s="199">
        <v>84</v>
      </c>
      <c r="I162" s="249"/>
      <c r="J162" s="287"/>
      <c r="K162" s="249"/>
      <c r="L162" s="287"/>
      <c r="M162" s="357"/>
      <c r="N162" s="249" t="s">
        <v>355</v>
      </c>
      <c r="O162" s="249"/>
      <c r="P162" s="249"/>
      <c r="Q162" s="270"/>
      <c r="R162" s="248"/>
    </row>
    <row r="163" spans="1:18" ht="60.75" customHeight="1" x14ac:dyDescent="0.25">
      <c r="A163" s="558" t="s">
        <v>208</v>
      </c>
      <c r="B163" s="431">
        <f>285+537</f>
        <v>822</v>
      </c>
      <c r="C163" s="274" t="s">
        <v>130</v>
      </c>
      <c r="D163" s="287" t="s">
        <v>133</v>
      </c>
      <c r="E163" s="249" t="s">
        <v>170</v>
      </c>
      <c r="F163" s="287" t="s">
        <v>340</v>
      </c>
      <c r="G163" s="289">
        <v>280.536</v>
      </c>
      <c r="H163" s="512">
        <f>95</f>
        <v>95</v>
      </c>
      <c r="I163" s="389" t="s">
        <v>478</v>
      </c>
      <c r="J163" s="320" t="s">
        <v>133</v>
      </c>
      <c r="K163" s="323" t="s">
        <v>170</v>
      </c>
      <c r="L163" s="336"/>
      <c r="M163" s="324">
        <v>1.3758459999999999</v>
      </c>
      <c r="N163" s="487" t="s">
        <v>91</v>
      </c>
      <c r="O163" s="540" t="s">
        <v>9</v>
      </c>
      <c r="P163" s="532" t="s">
        <v>454</v>
      </c>
      <c r="Q163" s="548" t="s">
        <v>546</v>
      </c>
      <c r="R163" s="535" t="s">
        <v>513</v>
      </c>
    </row>
    <row r="164" spans="1:18" x14ac:dyDescent="0.25">
      <c r="A164" s="558"/>
      <c r="B164" s="432"/>
      <c r="C164" s="274" t="s">
        <v>398</v>
      </c>
      <c r="D164" s="287" t="s">
        <v>133</v>
      </c>
      <c r="E164" s="249" t="s">
        <v>131</v>
      </c>
      <c r="F164" s="287" t="s">
        <v>90</v>
      </c>
      <c r="G164" s="289">
        <f>61.136105+16.606763+447.9837</f>
        <v>525.72656800000004</v>
      </c>
      <c r="H164" s="513"/>
      <c r="I164" s="389" t="s">
        <v>478</v>
      </c>
      <c r="J164" s="320" t="s">
        <v>133</v>
      </c>
      <c r="K164" s="323" t="s">
        <v>131</v>
      </c>
      <c r="L164" s="336" t="s">
        <v>90</v>
      </c>
      <c r="M164" s="324">
        <v>92.144615999999999</v>
      </c>
      <c r="N164" s="508"/>
      <c r="O164" s="541"/>
      <c r="P164" s="532"/>
      <c r="Q164" s="549"/>
      <c r="R164" s="536"/>
    </row>
    <row r="165" spans="1:18" x14ac:dyDescent="0.25">
      <c r="A165" s="558"/>
      <c r="B165" s="432"/>
      <c r="C165" s="274" t="s">
        <v>398</v>
      </c>
      <c r="D165" s="287" t="s">
        <v>133</v>
      </c>
      <c r="E165" s="249" t="s">
        <v>131</v>
      </c>
      <c r="F165" s="287" t="s">
        <v>90</v>
      </c>
      <c r="G165" s="289">
        <v>1.2530349999999999</v>
      </c>
      <c r="H165" s="513"/>
      <c r="I165" s="502" t="s">
        <v>130</v>
      </c>
      <c r="J165" s="502" t="s">
        <v>133</v>
      </c>
      <c r="K165" s="502" t="s">
        <v>131</v>
      </c>
      <c r="L165" s="502" t="s">
        <v>90</v>
      </c>
      <c r="M165" s="434">
        <f>13.678969+16.111298+112.692243</f>
        <v>142.48250999999999</v>
      </c>
      <c r="N165" s="508"/>
      <c r="O165" s="541"/>
      <c r="P165" s="532"/>
      <c r="Q165" s="549"/>
      <c r="R165" s="536"/>
    </row>
    <row r="166" spans="1:18" ht="45" x14ac:dyDescent="0.25">
      <c r="A166" s="558"/>
      <c r="B166" s="432"/>
      <c r="C166" s="274" t="s">
        <v>398</v>
      </c>
      <c r="D166" s="287" t="s">
        <v>133</v>
      </c>
      <c r="E166" s="249" t="s">
        <v>170</v>
      </c>
      <c r="F166" s="287" t="s">
        <v>340</v>
      </c>
      <c r="G166" s="289">
        <v>-1.2530349999999999</v>
      </c>
      <c r="H166" s="513"/>
      <c r="I166" s="504"/>
      <c r="J166" s="504"/>
      <c r="K166" s="504"/>
      <c r="L166" s="504"/>
      <c r="M166" s="436"/>
      <c r="N166" s="488"/>
      <c r="O166" s="542"/>
      <c r="P166" s="532"/>
      <c r="Q166" s="550"/>
      <c r="R166" s="537"/>
    </row>
    <row r="167" spans="1:18" ht="45" x14ac:dyDescent="0.25">
      <c r="A167" s="558"/>
      <c r="B167" s="432"/>
      <c r="C167" s="274" t="s">
        <v>136</v>
      </c>
      <c r="D167" s="287" t="s">
        <v>146</v>
      </c>
      <c r="E167" s="249" t="s">
        <v>170</v>
      </c>
      <c r="F167" s="287" t="s">
        <v>340</v>
      </c>
      <c r="G167" s="289">
        <v>1.1000000000000001</v>
      </c>
      <c r="H167" s="513"/>
      <c r="I167" s="391"/>
      <c r="J167" s="287"/>
      <c r="K167" s="249"/>
      <c r="L167" s="287"/>
      <c r="M167" s="357"/>
      <c r="N167" s="274" t="s">
        <v>91</v>
      </c>
      <c r="O167" s="250" t="s">
        <v>16</v>
      </c>
      <c r="P167" s="276" t="s">
        <v>92</v>
      </c>
      <c r="Q167" s="272" t="s">
        <v>325</v>
      </c>
      <c r="R167" s="268" t="s">
        <v>513</v>
      </c>
    </row>
    <row r="168" spans="1:18" x14ac:dyDescent="0.25">
      <c r="A168" s="558"/>
      <c r="B168" s="432"/>
      <c r="C168" s="274" t="s">
        <v>398</v>
      </c>
      <c r="D168" s="287" t="s">
        <v>137</v>
      </c>
      <c r="E168" s="249" t="s">
        <v>131</v>
      </c>
      <c r="F168" s="287" t="s">
        <v>90</v>
      </c>
      <c r="G168" s="143">
        <v>6.25</v>
      </c>
      <c r="H168" s="513"/>
      <c r="I168" s="391"/>
      <c r="J168" s="287"/>
      <c r="K168" s="249"/>
      <c r="L168" s="287"/>
      <c r="M168" s="143"/>
      <c r="N168" s="249" t="s">
        <v>91</v>
      </c>
      <c r="O168" s="271" t="s">
        <v>2</v>
      </c>
      <c r="P168" s="276" t="s">
        <v>92</v>
      </c>
      <c r="Q168" s="272" t="s">
        <v>518</v>
      </c>
      <c r="R168" s="268" t="s">
        <v>663</v>
      </c>
    </row>
    <row r="169" spans="1:18" x14ac:dyDescent="0.25">
      <c r="A169" s="558"/>
      <c r="B169" s="432"/>
      <c r="C169" s="386"/>
      <c r="D169" s="384"/>
      <c r="E169" s="379"/>
      <c r="F169" s="384"/>
      <c r="G169" s="143"/>
      <c r="H169" s="513"/>
      <c r="I169" s="286" t="s">
        <v>478</v>
      </c>
      <c r="J169" s="287" t="s">
        <v>151</v>
      </c>
      <c r="K169" s="253" t="s">
        <v>131</v>
      </c>
      <c r="L169" s="287" t="s">
        <v>90</v>
      </c>
      <c r="M169" s="166">
        <v>0.45</v>
      </c>
      <c r="N169" s="437" t="s">
        <v>91</v>
      </c>
      <c r="O169" s="540" t="s">
        <v>3</v>
      </c>
      <c r="P169" s="522" t="s">
        <v>454</v>
      </c>
      <c r="Q169" s="592" t="s">
        <v>547</v>
      </c>
      <c r="R169" s="594" t="s">
        <v>513</v>
      </c>
    </row>
    <row r="170" spans="1:18" x14ac:dyDescent="0.25">
      <c r="A170" s="558"/>
      <c r="B170" s="433"/>
      <c r="C170" s="274" t="s">
        <v>398</v>
      </c>
      <c r="D170" s="287" t="s">
        <v>151</v>
      </c>
      <c r="E170" s="249" t="s">
        <v>131</v>
      </c>
      <c r="F170" s="287" t="s">
        <v>90</v>
      </c>
      <c r="G170" s="143">
        <v>2.0659999999999998</v>
      </c>
      <c r="H170" s="514"/>
      <c r="I170" s="385" t="s">
        <v>130</v>
      </c>
      <c r="J170" s="384" t="s">
        <v>151</v>
      </c>
      <c r="K170" s="380" t="s">
        <v>131</v>
      </c>
      <c r="L170" s="384" t="s">
        <v>90</v>
      </c>
      <c r="M170" s="32">
        <v>1.82</v>
      </c>
      <c r="N170" s="438"/>
      <c r="O170" s="542"/>
      <c r="P170" s="524"/>
      <c r="Q170" s="593"/>
      <c r="R170" s="595"/>
    </row>
    <row r="171" spans="1:18" ht="30" x14ac:dyDescent="0.25">
      <c r="A171" s="450" t="s">
        <v>209</v>
      </c>
      <c r="B171" s="431">
        <v>83</v>
      </c>
      <c r="C171" s="249" t="s">
        <v>136</v>
      </c>
      <c r="D171" s="249" t="s">
        <v>133</v>
      </c>
      <c r="E171" s="249" t="s">
        <v>170</v>
      </c>
      <c r="F171" s="287" t="s">
        <v>338</v>
      </c>
      <c r="G171" s="289">
        <v>82.5</v>
      </c>
      <c r="H171" s="428">
        <v>0</v>
      </c>
      <c r="I171" s="434"/>
      <c r="J171" s="434"/>
      <c r="K171" s="434"/>
      <c r="L171" s="434"/>
      <c r="M171" s="434"/>
      <c r="N171" s="552" t="s">
        <v>91</v>
      </c>
      <c r="O171" s="546" t="s">
        <v>9</v>
      </c>
      <c r="P171" s="547" t="s">
        <v>454</v>
      </c>
      <c r="Q171" s="531" t="s">
        <v>548</v>
      </c>
      <c r="R171" s="483" t="s">
        <v>513</v>
      </c>
    </row>
    <row r="172" spans="1:18" x14ac:dyDescent="0.25">
      <c r="A172" s="451"/>
      <c r="B172" s="432"/>
      <c r="C172" s="249" t="s">
        <v>398</v>
      </c>
      <c r="D172" s="249" t="s">
        <v>133</v>
      </c>
      <c r="E172" s="249" t="s">
        <v>131</v>
      </c>
      <c r="F172" s="287" t="s">
        <v>90</v>
      </c>
      <c r="G172" s="289">
        <f>57.924343+0.343862</f>
        <v>58.268205000000002</v>
      </c>
      <c r="H172" s="429"/>
      <c r="I172" s="435"/>
      <c r="J172" s="435"/>
      <c r="K172" s="435"/>
      <c r="L172" s="435"/>
      <c r="M172" s="435"/>
      <c r="N172" s="552"/>
      <c r="O172" s="546"/>
      <c r="P172" s="547"/>
      <c r="Q172" s="531"/>
      <c r="R172" s="483"/>
    </row>
    <row r="173" spans="1:18" ht="30" x14ac:dyDescent="0.25">
      <c r="A173" s="452"/>
      <c r="B173" s="433"/>
      <c r="C173" s="249" t="s">
        <v>398</v>
      </c>
      <c r="D173" s="249" t="s">
        <v>133</v>
      </c>
      <c r="E173" s="249" t="s">
        <v>170</v>
      </c>
      <c r="F173" s="287" t="s">
        <v>338</v>
      </c>
      <c r="G173" s="289">
        <v>-58.340210999999996</v>
      </c>
      <c r="H173" s="430"/>
      <c r="I173" s="436"/>
      <c r="J173" s="436"/>
      <c r="K173" s="436"/>
      <c r="L173" s="436"/>
      <c r="M173" s="436"/>
      <c r="N173" s="552"/>
      <c r="O173" s="546"/>
      <c r="P173" s="547"/>
      <c r="Q173" s="531"/>
      <c r="R173" s="483"/>
    </row>
    <row r="174" spans="1:18" x14ac:dyDescent="0.25">
      <c r="A174" s="574" t="s">
        <v>210</v>
      </c>
      <c r="B174" s="431">
        <v>64</v>
      </c>
      <c r="C174" s="437" t="s">
        <v>398</v>
      </c>
      <c r="D174" s="437" t="s">
        <v>133</v>
      </c>
      <c r="E174" s="437" t="s">
        <v>131</v>
      </c>
      <c r="F174" s="431" t="s">
        <v>90</v>
      </c>
      <c r="G174" s="434">
        <f>0.697346+0.04+63.012274</f>
        <v>63.74962</v>
      </c>
      <c r="H174" s="428">
        <v>123</v>
      </c>
      <c r="I174" s="253" t="s">
        <v>478</v>
      </c>
      <c r="J174" s="255" t="s">
        <v>133</v>
      </c>
      <c r="K174" s="253" t="s">
        <v>131</v>
      </c>
      <c r="L174" s="287" t="s">
        <v>90</v>
      </c>
      <c r="M174" s="357">
        <v>122.29113599999999</v>
      </c>
      <c r="N174" s="437" t="s">
        <v>91</v>
      </c>
      <c r="O174" s="467" t="s">
        <v>9</v>
      </c>
      <c r="P174" s="437" t="s">
        <v>134</v>
      </c>
      <c r="Q174" s="437"/>
      <c r="R174" s="525"/>
    </row>
    <row r="175" spans="1:18" x14ac:dyDescent="0.25">
      <c r="A175" s="576"/>
      <c r="B175" s="433"/>
      <c r="C175" s="438"/>
      <c r="D175" s="438"/>
      <c r="E175" s="438"/>
      <c r="F175" s="433"/>
      <c r="G175" s="436"/>
      <c r="H175" s="430"/>
      <c r="I175" s="253" t="s">
        <v>478</v>
      </c>
      <c r="J175" s="255" t="s">
        <v>133</v>
      </c>
      <c r="K175" s="253" t="s">
        <v>170</v>
      </c>
      <c r="L175" s="287"/>
      <c r="M175" s="166">
        <v>0.33142100000000002</v>
      </c>
      <c r="N175" s="438"/>
      <c r="O175" s="469"/>
      <c r="P175" s="438"/>
      <c r="Q175" s="438"/>
      <c r="R175" s="481"/>
    </row>
    <row r="176" spans="1:18" ht="45" customHeight="1" x14ac:dyDescent="0.25">
      <c r="A176" s="450" t="s">
        <v>211</v>
      </c>
      <c r="B176" s="431">
        <f>299+400</f>
        <v>699</v>
      </c>
      <c r="C176" s="274" t="s">
        <v>398</v>
      </c>
      <c r="D176" s="276" t="s">
        <v>167</v>
      </c>
      <c r="E176" s="249" t="s">
        <v>131</v>
      </c>
      <c r="F176" s="287" t="s">
        <v>90</v>
      </c>
      <c r="G176" s="289">
        <v>400</v>
      </c>
      <c r="H176" s="428">
        <v>375</v>
      </c>
      <c r="I176" s="434" t="s">
        <v>130</v>
      </c>
      <c r="J176" s="559" t="s">
        <v>167</v>
      </c>
      <c r="K176" s="559" t="s">
        <v>131</v>
      </c>
      <c r="L176" s="559" t="s">
        <v>90</v>
      </c>
      <c r="M176" s="434">
        <v>75</v>
      </c>
      <c r="N176" s="487" t="s">
        <v>91</v>
      </c>
      <c r="O176" s="540" t="s">
        <v>19</v>
      </c>
      <c r="P176" s="487" t="s">
        <v>92</v>
      </c>
      <c r="Q176" s="548" t="s">
        <v>427</v>
      </c>
      <c r="R176" s="535" t="s">
        <v>428</v>
      </c>
    </row>
    <row r="177" spans="1:18" ht="30" x14ac:dyDescent="0.25">
      <c r="A177" s="451"/>
      <c r="B177" s="432"/>
      <c r="C177" s="249" t="s">
        <v>398</v>
      </c>
      <c r="D177" s="276" t="s">
        <v>167</v>
      </c>
      <c r="E177" s="249" t="s">
        <v>131</v>
      </c>
      <c r="F177" s="287" t="s">
        <v>90</v>
      </c>
      <c r="G177" s="289">
        <f>705+120</f>
        <v>825</v>
      </c>
      <c r="H177" s="429"/>
      <c r="I177" s="435"/>
      <c r="J177" s="586"/>
      <c r="K177" s="586" t="s">
        <v>131</v>
      </c>
      <c r="L177" s="586" t="s">
        <v>90</v>
      </c>
      <c r="M177" s="435"/>
      <c r="N177" s="508"/>
      <c r="O177" s="541"/>
      <c r="P177" s="508"/>
      <c r="Q177" s="549"/>
      <c r="R177" s="536"/>
    </row>
    <row r="178" spans="1:18" ht="30" customHeight="1" x14ac:dyDescent="0.25">
      <c r="A178" s="452"/>
      <c r="B178" s="433"/>
      <c r="C178" s="249" t="s">
        <v>398</v>
      </c>
      <c r="D178" s="287" t="s">
        <v>137</v>
      </c>
      <c r="E178" s="249" t="s">
        <v>131</v>
      </c>
      <c r="F178" s="287" t="s">
        <v>90</v>
      </c>
      <c r="G178" s="289">
        <v>-705</v>
      </c>
      <c r="H178" s="430"/>
      <c r="I178" s="436"/>
      <c r="J178" s="587"/>
      <c r="K178" s="587" t="s">
        <v>131</v>
      </c>
      <c r="L178" s="587" t="s">
        <v>90</v>
      </c>
      <c r="M178" s="436"/>
      <c r="N178" s="488"/>
      <c r="O178" s="542"/>
      <c r="P178" s="488"/>
      <c r="Q178" s="550"/>
      <c r="R178" s="537"/>
    </row>
    <row r="179" spans="1:18" ht="31.5" customHeight="1" x14ac:dyDescent="0.25">
      <c r="A179" s="275" t="s">
        <v>212</v>
      </c>
      <c r="B179" s="96">
        <v>25</v>
      </c>
      <c r="C179" s="274" t="s">
        <v>130</v>
      </c>
      <c r="D179" s="287" t="s">
        <v>169</v>
      </c>
      <c r="E179" s="249" t="s">
        <v>131</v>
      </c>
      <c r="F179" s="287" t="s">
        <v>90</v>
      </c>
      <c r="G179" s="289">
        <v>12.5</v>
      </c>
      <c r="H179" s="199">
        <v>0</v>
      </c>
      <c r="I179" s="274"/>
      <c r="J179" s="287"/>
      <c r="K179" s="249"/>
      <c r="L179" s="287"/>
      <c r="M179" s="357"/>
      <c r="N179" s="274" t="s">
        <v>91</v>
      </c>
      <c r="O179" s="271" t="s">
        <v>0</v>
      </c>
      <c r="P179" s="408" t="s">
        <v>454</v>
      </c>
      <c r="Q179" s="272" t="s">
        <v>686</v>
      </c>
      <c r="R179" s="413" t="s">
        <v>513</v>
      </c>
    </row>
    <row r="180" spans="1:18" ht="75" x14ac:dyDescent="0.25">
      <c r="A180" s="558" t="s">
        <v>392</v>
      </c>
      <c r="B180" s="431">
        <f>513</f>
        <v>513</v>
      </c>
      <c r="C180" s="274" t="s">
        <v>130</v>
      </c>
      <c r="D180" s="287" t="s">
        <v>169</v>
      </c>
      <c r="E180" s="249" t="s">
        <v>131</v>
      </c>
      <c r="F180" s="287" t="s">
        <v>90</v>
      </c>
      <c r="G180" s="289">
        <v>25.795292</v>
      </c>
      <c r="H180" s="428">
        <v>37</v>
      </c>
      <c r="I180" s="274"/>
      <c r="J180" s="287"/>
      <c r="K180" s="249"/>
      <c r="L180" s="287"/>
      <c r="M180" s="357"/>
      <c r="N180" s="279" t="s">
        <v>91</v>
      </c>
      <c r="O180" s="271" t="s">
        <v>0</v>
      </c>
      <c r="P180" s="408" t="s">
        <v>454</v>
      </c>
      <c r="Q180" s="277" t="s">
        <v>687</v>
      </c>
      <c r="R180" s="413" t="s">
        <v>513</v>
      </c>
    </row>
    <row r="181" spans="1:18" ht="45" customHeight="1" x14ac:dyDescent="0.25">
      <c r="A181" s="558"/>
      <c r="B181" s="432"/>
      <c r="C181" s="274" t="s">
        <v>130</v>
      </c>
      <c r="D181" s="287" t="s">
        <v>152</v>
      </c>
      <c r="E181" s="249" t="s">
        <v>131</v>
      </c>
      <c r="F181" s="287" t="s">
        <v>90</v>
      </c>
      <c r="G181" s="289">
        <v>192.20470800000001</v>
      </c>
      <c r="H181" s="429"/>
      <c r="I181" s="274"/>
      <c r="J181" s="287"/>
      <c r="K181" s="249"/>
      <c r="L181" s="287"/>
      <c r="M181" s="357"/>
      <c r="N181" s="279" t="s">
        <v>91</v>
      </c>
      <c r="O181" s="271" t="s">
        <v>20</v>
      </c>
      <c r="P181" s="258" t="s">
        <v>454</v>
      </c>
      <c r="Q181" s="280" t="s">
        <v>549</v>
      </c>
      <c r="R181" s="251" t="s">
        <v>513</v>
      </c>
    </row>
    <row r="182" spans="1:18" ht="30" customHeight="1" x14ac:dyDescent="0.25">
      <c r="A182" s="558"/>
      <c r="B182" s="432"/>
      <c r="C182" s="274" t="s">
        <v>130</v>
      </c>
      <c r="D182" s="287" t="s">
        <v>182</v>
      </c>
      <c r="E182" s="249" t="s">
        <v>131</v>
      </c>
      <c r="F182" s="287" t="s">
        <v>90</v>
      </c>
      <c r="G182" s="289">
        <v>12</v>
      </c>
      <c r="H182" s="429"/>
      <c r="I182" s="274"/>
      <c r="J182" s="287"/>
      <c r="K182" s="249"/>
      <c r="L182" s="287"/>
      <c r="M182" s="357"/>
      <c r="N182" s="279" t="s">
        <v>91</v>
      </c>
      <c r="O182" s="271" t="s">
        <v>10</v>
      </c>
      <c r="P182" s="258" t="s">
        <v>454</v>
      </c>
      <c r="Q182" s="277" t="s">
        <v>495</v>
      </c>
      <c r="R182" s="251" t="s">
        <v>513</v>
      </c>
    </row>
    <row r="183" spans="1:18" ht="75" x14ac:dyDescent="0.25">
      <c r="A183" s="558"/>
      <c r="B183" s="432"/>
      <c r="C183" s="274" t="s">
        <v>130</v>
      </c>
      <c r="D183" s="287" t="s">
        <v>154</v>
      </c>
      <c r="E183" s="249" t="s">
        <v>131</v>
      </c>
      <c r="F183" s="287" t="s">
        <v>90</v>
      </c>
      <c r="G183" s="289">
        <f>24.5133+20</f>
        <v>44.513300000000001</v>
      </c>
      <c r="H183" s="429"/>
      <c r="I183" s="386" t="s">
        <v>130</v>
      </c>
      <c r="J183" s="384" t="s">
        <v>154</v>
      </c>
      <c r="K183" s="379" t="s">
        <v>131</v>
      </c>
      <c r="L183" s="384" t="s">
        <v>90</v>
      </c>
      <c r="M183" s="374">
        <f>11.045+6</f>
        <v>17.045000000000002</v>
      </c>
      <c r="N183" s="279" t="s">
        <v>91</v>
      </c>
      <c r="O183" s="271" t="s">
        <v>21</v>
      </c>
      <c r="P183" s="258" t="s">
        <v>454</v>
      </c>
      <c r="Q183" s="280" t="s">
        <v>550</v>
      </c>
      <c r="R183" s="278" t="s">
        <v>513</v>
      </c>
    </row>
    <row r="184" spans="1:18" ht="62.25" customHeight="1" x14ac:dyDescent="0.25">
      <c r="A184" s="558"/>
      <c r="B184" s="432"/>
      <c r="C184" s="274" t="s">
        <v>136</v>
      </c>
      <c r="D184" s="287" t="s">
        <v>151</v>
      </c>
      <c r="E184" s="249" t="s">
        <v>170</v>
      </c>
      <c r="F184" s="287" t="s">
        <v>340</v>
      </c>
      <c r="G184" s="289">
        <v>-4.3365270000000002</v>
      </c>
      <c r="H184" s="429"/>
      <c r="I184" s="434" t="s">
        <v>130</v>
      </c>
      <c r="J184" s="434" t="s">
        <v>151</v>
      </c>
      <c r="K184" s="434" t="s">
        <v>131</v>
      </c>
      <c r="L184" s="434" t="s">
        <v>90</v>
      </c>
      <c r="M184" s="588">
        <f>0.152163</f>
        <v>0.15216299999999999</v>
      </c>
      <c r="N184" s="499" t="s">
        <v>91</v>
      </c>
      <c r="O184" s="540" t="s">
        <v>3</v>
      </c>
      <c r="P184" s="532" t="s">
        <v>454</v>
      </c>
      <c r="Q184" s="560" t="s">
        <v>551</v>
      </c>
      <c r="R184" s="561" t="s">
        <v>513</v>
      </c>
    </row>
    <row r="185" spans="1:18" x14ac:dyDescent="0.25">
      <c r="A185" s="558"/>
      <c r="B185" s="432"/>
      <c r="C185" s="274" t="s">
        <v>136</v>
      </c>
      <c r="D185" s="287" t="s">
        <v>151</v>
      </c>
      <c r="E185" s="249" t="s">
        <v>131</v>
      </c>
      <c r="F185" s="287" t="s">
        <v>90</v>
      </c>
      <c r="G185" s="289">
        <v>3.6606359999999998</v>
      </c>
      <c r="H185" s="429"/>
      <c r="I185" s="436"/>
      <c r="J185" s="436"/>
      <c r="K185" s="436"/>
      <c r="L185" s="436"/>
      <c r="M185" s="589"/>
      <c r="N185" s="501"/>
      <c r="O185" s="542"/>
      <c r="P185" s="532"/>
      <c r="Q185" s="560"/>
      <c r="R185" s="561"/>
    </row>
    <row r="186" spans="1:18" ht="66.75" customHeight="1" x14ac:dyDescent="0.25">
      <c r="A186" s="558"/>
      <c r="B186" s="432"/>
      <c r="C186" s="274" t="s">
        <v>130</v>
      </c>
      <c r="D186" s="287" t="s">
        <v>133</v>
      </c>
      <c r="E186" s="249" t="s">
        <v>170</v>
      </c>
      <c r="F186" s="287" t="s">
        <v>340</v>
      </c>
      <c r="G186" s="289">
        <v>10</v>
      </c>
      <c r="H186" s="429"/>
      <c r="I186" s="434"/>
      <c r="J186" s="434"/>
      <c r="K186" s="434"/>
      <c r="L186" s="434"/>
      <c r="M186" s="434"/>
      <c r="N186" s="487" t="s">
        <v>91</v>
      </c>
      <c r="O186" s="540" t="s">
        <v>9</v>
      </c>
      <c r="P186" s="547" t="s">
        <v>454</v>
      </c>
      <c r="Q186" s="528" t="s">
        <v>438</v>
      </c>
      <c r="R186" s="453" t="s">
        <v>513</v>
      </c>
    </row>
    <row r="187" spans="1:18" ht="45" x14ac:dyDescent="0.25">
      <c r="A187" s="558"/>
      <c r="B187" s="432"/>
      <c r="C187" s="274" t="s">
        <v>398</v>
      </c>
      <c r="D187" s="287" t="s">
        <v>133</v>
      </c>
      <c r="E187" s="249" t="s">
        <v>170</v>
      </c>
      <c r="F187" s="287" t="s">
        <v>340</v>
      </c>
      <c r="G187" s="289">
        <v>-2.4373580000000001</v>
      </c>
      <c r="H187" s="429"/>
      <c r="I187" s="435"/>
      <c r="J187" s="435"/>
      <c r="K187" s="435"/>
      <c r="L187" s="435"/>
      <c r="M187" s="435"/>
      <c r="N187" s="508"/>
      <c r="O187" s="541"/>
      <c r="P187" s="547"/>
      <c r="Q187" s="529"/>
      <c r="R187" s="563"/>
    </row>
    <row r="188" spans="1:18" x14ac:dyDescent="0.25">
      <c r="A188" s="558"/>
      <c r="B188" s="432"/>
      <c r="C188" s="274" t="s">
        <v>398</v>
      </c>
      <c r="D188" s="287" t="s">
        <v>133</v>
      </c>
      <c r="E188" s="249" t="s">
        <v>131</v>
      </c>
      <c r="F188" s="287" t="s">
        <v>90</v>
      </c>
      <c r="G188" s="289">
        <v>2.4373580000000001</v>
      </c>
      <c r="H188" s="429"/>
      <c r="I188" s="436"/>
      <c r="J188" s="436"/>
      <c r="K188" s="436"/>
      <c r="L188" s="436"/>
      <c r="M188" s="436"/>
      <c r="N188" s="488"/>
      <c r="O188" s="542"/>
      <c r="P188" s="547"/>
      <c r="Q188" s="530"/>
      <c r="R188" s="454"/>
    </row>
    <row r="189" spans="1:18" ht="66.75" customHeight="1" x14ac:dyDescent="0.25">
      <c r="A189" s="558"/>
      <c r="B189" s="432"/>
      <c r="C189" s="274" t="s">
        <v>130</v>
      </c>
      <c r="D189" s="287" t="s">
        <v>137</v>
      </c>
      <c r="E189" s="249" t="s">
        <v>170</v>
      </c>
      <c r="F189" s="287" t="s">
        <v>340</v>
      </c>
      <c r="G189" s="289">
        <v>177.06880000000001</v>
      </c>
      <c r="H189" s="429"/>
      <c r="I189" s="443" t="s">
        <v>478</v>
      </c>
      <c r="J189" s="431" t="s">
        <v>137</v>
      </c>
      <c r="K189" s="502" t="s">
        <v>131</v>
      </c>
      <c r="L189" s="428" t="s">
        <v>90</v>
      </c>
      <c r="M189" s="439">
        <v>37.200000000000003</v>
      </c>
      <c r="N189" s="562" t="s">
        <v>91</v>
      </c>
      <c r="O189" s="545" t="s">
        <v>14</v>
      </c>
      <c r="P189" s="562" t="s">
        <v>92</v>
      </c>
      <c r="Q189" s="560" t="s">
        <v>514</v>
      </c>
      <c r="R189" s="482" t="s">
        <v>513</v>
      </c>
    </row>
    <row r="190" spans="1:18" ht="66.75" customHeight="1" x14ac:dyDescent="0.25">
      <c r="A190" s="558"/>
      <c r="B190" s="432"/>
      <c r="C190" s="274" t="s">
        <v>136</v>
      </c>
      <c r="D190" s="287" t="s">
        <v>137</v>
      </c>
      <c r="E190" s="249" t="s">
        <v>170</v>
      </c>
      <c r="F190" s="287" t="s">
        <v>340</v>
      </c>
      <c r="G190" s="289">
        <v>-33.982059999999997</v>
      </c>
      <c r="H190" s="429"/>
      <c r="I190" s="444"/>
      <c r="J190" s="432"/>
      <c r="K190" s="503"/>
      <c r="L190" s="429"/>
      <c r="M190" s="492"/>
      <c r="N190" s="562"/>
      <c r="O190" s="545"/>
      <c r="P190" s="562"/>
      <c r="Q190" s="560"/>
      <c r="R190" s="482"/>
    </row>
    <row r="191" spans="1:18" x14ac:dyDescent="0.25">
      <c r="A191" s="558"/>
      <c r="B191" s="432"/>
      <c r="C191" s="249" t="s">
        <v>136</v>
      </c>
      <c r="D191" s="287" t="s">
        <v>137</v>
      </c>
      <c r="E191" s="249" t="s">
        <v>131</v>
      </c>
      <c r="F191" s="287" t="s">
        <v>90</v>
      </c>
      <c r="G191" s="289">
        <v>33.982059999999997</v>
      </c>
      <c r="H191" s="430"/>
      <c r="I191" s="445"/>
      <c r="J191" s="433"/>
      <c r="K191" s="504"/>
      <c r="L191" s="430"/>
      <c r="M191" s="440"/>
      <c r="N191" s="562"/>
      <c r="O191" s="545"/>
      <c r="P191" s="562"/>
      <c r="Q191" s="560"/>
      <c r="R191" s="482"/>
    </row>
    <row r="192" spans="1:18" ht="75" x14ac:dyDescent="0.25">
      <c r="A192" s="450" t="s">
        <v>393</v>
      </c>
      <c r="B192" s="431">
        <v>88</v>
      </c>
      <c r="C192" s="274" t="s">
        <v>130</v>
      </c>
      <c r="D192" s="287" t="s">
        <v>151</v>
      </c>
      <c r="E192" s="249" t="s">
        <v>170</v>
      </c>
      <c r="F192" s="287" t="s">
        <v>340</v>
      </c>
      <c r="G192" s="289">
        <v>9.2881850000000004</v>
      </c>
      <c r="H192" s="428">
        <v>0</v>
      </c>
      <c r="I192" s="274"/>
      <c r="J192" s="287"/>
      <c r="K192" s="249"/>
      <c r="L192" s="287"/>
      <c r="M192" s="357"/>
      <c r="N192" s="279" t="s">
        <v>91</v>
      </c>
      <c r="O192" s="271" t="s">
        <v>3</v>
      </c>
      <c r="P192" s="258" t="s">
        <v>454</v>
      </c>
      <c r="Q192" s="270" t="s">
        <v>552</v>
      </c>
      <c r="R192" s="248" t="s">
        <v>513</v>
      </c>
    </row>
    <row r="193" spans="1:18" ht="45" x14ac:dyDescent="0.25">
      <c r="A193" s="451"/>
      <c r="B193" s="432"/>
      <c r="C193" s="274" t="s">
        <v>130</v>
      </c>
      <c r="D193" s="287" t="s">
        <v>137</v>
      </c>
      <c r="E193" s="249" t="s">
        <v>170</v>
      </c>
      <c r="F193" s="287" t="s">
        <v>340</v>
      </c>
      <c r="G193" s="289">
        <v>74.7</v>
      </c>
      <c r="H193" s="429"/>
      <c r="I193" s="434"/>
      <c r="J193" s="434"/>
      <c r="K193" s="434"/>
      <c r="L193" s="434"/>
      <c r="M193" s="434"/>
      <c r="N193" s="562" t="s">
        <v>91</v>
      </c>
      <c r="O193" s="545" t="s">
        <v>14</v>
      </c>
      <c r="P193" s="562" t="s">
        <v>92</v>
      </c>
      <c r="Q193" s="528" t="s">
        <v>515</v>
      </c>
      <c r="R193" s="482" t="s">
        <v>663</v>
      </c>
    </row>
    <row r="194" spans="1:18" ht="45" x14ac:dyDescent="0.25">
      <c r="A194" s="451"/>
      <c r="B194" s="432"/>
      <c r="C194" s="274" t="s">
        <v>136</v>
      </c>
      <c r="D194" s="287" t="s">
        <v>137</v>
      </c>
      <c r="E194" s="249" t="s">
        <v>170</v>
      </c>
      <c r="F194" s="287" t="s">
        <v>340</v>
      </c>
      <c r="G194" s="289">
        <v>-16.7</v>
      </c>
      <c r="H194" s="429"/>
      <c r="I194" s="435"/>
      <c r="J194" s="435"/>
      <c r="K194" s="435"/>
      <c r="L194" s="435"/>
      <c r="M194" s="435"/>
      <c r="N194" s="562"/>
      <c r="O194" s="545"/>
      <c r="P194" s="562"/>
      <c r="Q194" s="529"/>
      <c r="R194" s="482"/>
    </row>
    <row r="195" spans="1:18" x14ac:dyDescent="0.25">
      <c r="A195" s="452"/>
      <c r="B195" s="433"/>
      <c r="C195" s="274" t="s">
        <v>136</v>
      </c>
      <c r="D195" s="287" t="s">
        <v>137</v>
      </c>
      <c r="E195" s="249" t="s">
        <v>131</v>
      </c>
      <c r="F195" s="287" t="s">
        <v>90</v>
      </c>
      <c r="G195" s="289">
        <v>16.7</v>
      </c>
      <c r="H195" s="430"/>
      <c r="I195" s="436"/>
      <c r="J195" s="436"/>
      <c r="K195" s="436"/>
      <c r="L195" s="436"/>
      <c r="M195" s="436"/>
      <c r="N195" s="562"/>
      <c r="O195" s="545"/>
      <c r="P195" s="562"/>
      <c r="Q195" s="530"/>
      <c r="R195" s="482"/>
    </row>
    <row r="196" spans="1:18" ht="57.75" customHeight="1" x14ac:dyDescent="0.25">
      <c r="A196" s="275" t="s">
        <v>213</v>
      </c>
      <c r="B196" s="96">
        <v>194</v>
      </c>
      <c r="C196" s="287" t="s">
        <v>88</v>
      </c>
      <c r="D196" s="276" t="s">
        <v>95</v>
      </c>
      <c r="E196" s="274" t="s">
        <v>90</v>
      </c>
      <c r="F196" s="258" t="s">
        <v>349</v>
      </c>
      <c r="G196" s="289" t="s">
        <v>90</v>
      </c>
      <c r="H196" s="199">
        <v>17</v>
      </c>
      <c r="I196" s="287"/>
      <c r="J196" s="276"/>
      <c r="K196" s="274"/>
      <c r="L196" s="258"/>
      <c r="M196" s="357"/>
      <c r="N196" s="274" t="s">
        <v>91</v>
      </c>
      <c r="O196" s="271" t="s">
        <v>22</v>
      </c>
      <c r="P196" s="274" t="s">
        <v>92</v>
      </c>
      <c r="Q196" s="282" t="s">
        <v>357</v>
      </c>
      <c r="R196" s="248" t="s">
        <v>358</v>
      </c>
    </row>
    <row r="197" spans="1:18" ht="59.25" customHeight="1" x14ac:dyDescent="0.25">
      <c r="A197" s="558" t="s">
        <v>214</v>
      </c>
      <c r="B197" s="521">
        <v>64</v>
      </c>
      <c r="C197" s="274" t="s">
        <v>130</v>
      </c>
      <c r="D197" s="276" t="s">
        <v>167</v>
      </c>
      <c r="E197" s="249" t="s">
        <v>170</v>
      </c>
      <c r="F197" s="287" t="s">
        <v>340</v>
      </c>
      <c r="G197" s="289">
        <v>41</v>
      </c>
      <c r="H197" s="496">
        <v>0</v>
      </c>
      <c r="I197" s="434"/>
      <c r="J197" s="434"/>
      <c r="K197" s="434"/>
      <c r="L197" s="434"/>
      <c r="M197" s="434"/>
      <c r="N197" s="498" t="s">
        <v>91</v>
      </c>
      <c r="O197" s="545" t="s">
        <v>23</v>
      </c>
      <c r="P197" s="547" t="s">
        <v>454</v>
      </c>
      <c r="Q197" s="553" t="s">
        <v>553</v>
      </c>
      <c r="R197" s="555" t="s">
        <v>513</v>
      </c>
    </row>
    <row r="198" spans="1:18" ht="30" x14ac:dyDescent="0.25">
      <c r="A198" s="558"/>
      <c r="B198" s="521"/>
      <c r="C198" s="274" t="s">
        <v>136</v>
      </c>
      <c r="D198" s="276" t="s">
        <v>167</v>
      </c>
      <c r="E198" s="249" t="s">
        <v>131</v>
      </c>
      <c r="F198" s="287" t="s">
        <v>90</v>
      </c>
      <c r="G198" s="289">
        <v>3.25</v>
      </c>
      <c r="H198" s="496"/>
      <c r="I198" s="435"/>
      <c r="J198" s="435"/>
      <c r="K198" s="435"/>
      <c r="L198" s="435"/>
      <c r="M198" s="435"/>
      <c r="N198" s="498"/>
      <c r="O198" s="545"/>
      <c r="P198" s="547"/>
      <c r="Q198" s="553"/>
      <c r="R198" s="556"/>
    </row>
    <row r="199" spans="1:18" ht="30" x14ac:dyDescent="0.25">
      <c r="A199" s="558"/>
      <c r="B199" s="521"/>
      <c r="C199" s="274" t="s">
        <v>136</v>
      </c>
      <c r="D199" s="276" t="s">
        <v>167</v>
      </c>
      <c r="E199" s="249" t="s">
        <v>170</v>
      </c>
      <c r="F199" s="287" t="s">
        <v>339</v>
      </c>
      <c r="G199" s="289">
        <v>18.05</v>
      </c>
      <c r="H199" s="496"/>
      <c r="I199" s="436"/>
      <c r="J199" s="436"/>
      <c r="K199" s="436"/>
      <c r="L199" s="436"/>
      <c r="M199" s="436"/>
      <c r="N199" s="559"/>
      <c r="O199" s="540"/>
      <c r="P199" s="547"/>
      <c r="Q199" s="554"/>
      <c r="R199" s="557"/>
    </row>
    <row r="200" spans="1:18" ht="30" x14ac:dyDescent="0.25">
      <c r="A200" s="244" t="s">
        <v>633</v>
      </c>
      <c r="B200" s="255">
        <v>0</v>
      </c>
      <c r="C200" s="286" t="s">
        <v>88</v>
      </c>
      <c r="D200" s="305" t="s">
        <v>90</v>
      </c>
      <c r="E200" s="305" t="s">
        <v>90</v>
      </c>
      <c r="F200" s="305" t="s">
        <v>90</v>
      </c>
      <c r="G200" s="316" t="s">
        <v>90</v>
      </c>
      <c r="H200" s="303">
        <v>4000</v>
      </c>
      <c r="I200" s="324" t="s">
        <v>130</v>
      </c>
      <c r="J200" s="369" t="s">
        <v>158</v>
      </c>
      <c r="K200" s="324" t="s">
        <v>170</v>
      </c>
      <c r="L200" s="369" t="s">
        <v>653</v>
      </c>
      <c r="M200" s="324">
        <v>4000</v>
      </c>
      <c r="N200" s="302" t="s">
        <v>355</v>
      </c>
      <c r="O200" s="271"/>
      <c r="P200" s="269"/>
      <c r="Q200" s="304"/>
      <c r="R200" s="55"/>
    </row>
    <row r="201" spans="1:18" ht="30" x14ac:dyDescent="0.25">
      <c r="A201" s="244" t="s">
        <v>634</v>
      </c>
      <c r="B201" s="255">
        <v>0</v>
      </c>
      <c r="C201" s="309" t="s">
        <v>88</v>
      </c>
      <c r="D201" s="305" t="s">
        <v>90</v>
      </c>
      <c r="E201" s="305" t="s">
        <v>90</v>
      </c>
      <c r="F201" s="305" t="s">
        <v>90</v>
      </c>
      <c r="G201" s="316" t="s">
        <v>90</v>
      </c>
      <c r="H201" s="303">
        <v>1000</v>
      </c>
      <c r="I201" s="324" t="s">
        <v>130</v>
      </c>
      <c r="J201" s="348" t="s">
        <v>101</v>
      </c>
      <c r="K201" s="324" t="s">
        <v>170</v>
      </c>
      <c r="L201" s="369" t="s">
        <v>654</v>
      </c>
      <c r="M201" s="324">
        <v>1000</v>
      </c>
      <c r="N201" s="302" t="s">
        <v>91</v>
      </c>
      <c r="O201" s="392" t="s">
        <v>1</v>
      </c>
      <c r="P201" s="185" t="s">
        <v>134</v>
      </c>
      <c r="Q201" s="304"/>
      <c r="R201" s="55"/>
    </row>
    <row r="202" spans="1:18" x14ac:dyDescent="0.25">
      <c r="A202" s="244" t="s">
        <v>635</v>
      </c>
      <c r="B202" s="255">
        <v>0</v>
      </c>
      <c r="C202" s="309" t="s">
        <v>88</v>
      </c>
      <c r="D202" s="305" t="s">
        <v>90</v>
      </c>
      <c r="E202" s="305" t="s">
        <v>90</v>
      </c>
      <c r="F202" s="305" t="s">
        <v>90</v>
      </c>
      <c r="G202" s="316" t="s">
        <v>90</v>
      </c>
      <c r="H202" s="303">
        <v>30</v>
      </c>
      <c r="I202" s="254"/>
      <c r="J202" s="254"/>
      <c r="K202" s="254"/>
      <c r="L202" s="254"/>
      <c r="M202" s="254"/>
      <c r="N202" s="302"/>
      <c r="O202" s="271"/>
      <c r="P202" s="269"/>
      <c r="Q202" s="304"/>
      <c r="R202" s="55"/>
    </row>
    <row r="203" spans="1:18" x14ac:dyDescent="0.25">
      <c r="A203" s="605" t="s">
        <v>656</v>
      </c>
      <c r="B203" s="428">
        <v>0</v>
      </c>
      <c r="C203" s="428" t="s">
        <v>88</v>
      </c>
      <c r="D203" s="428" t="s">
        <v>90</v>
      </c>
      <c r="E203" s="428" t="s">
        <v>90</v>
      </c>
      <c r="F203" s="428" t="s">
        <v>90</v>
      </c>
      <c r="G203" s="607" t="s">
        <v>90</v>
      </c>
      <c r="H203" s="493">
        <f>478.1+760.8</f>
        <v>1238.9000000000001</v>
      </c>
      <c r="I203" s="378" t="s">
        <v>130</v>
      </c>
      <c r="J203" s="388" t="s">
        <v>133</v>
      </c>
      <c r="K203" s="388" t="s">
        <v>131</v>
      </c>
      <c r="L203" s="388" t="s">
        <v>90</v>
      </c>
      <c r="M203" s="365">
        <f>38.993447+15+423.1</f>
        <v>477.09344700000003</v>
      </c>
      <c r="N203" s="599" t="s">
        <v>91</v>
      </c>
      <c r="O203" s="467" t="s">
        <v>9</v>
      </c>
      <c r="P203" s="437" t="s">
        <v>134</v>
      </c>
      <c r="Q203" s="599"/>
      <c r="R203" s="602"/>
    </row>
    <row r="204" spans="1:18" x14ac:dyDescent="0.25">
      <c r="A204" s="606"/>
      <c r="B204" s="430"/>
      <c r="C204" s="430"/>
      <c r="D204" s="430"/>
      <c r="E204" s="430"/>
      <c r="F204" s="430"/>
      <c r="G204" s="608"/>
      <c r="H204" s="495"/>
      <c r="I204" s="378" t="s">
        <v>130</v>
      </c>
      <c r="J204" s="388" t="s">
        <v>133</v>
      </c>
      <c r="K204" s="388" t="s">
        <v>131</v>
      </c>
      <c r="L204" s="388" t="s">
        <v>90</v>
      </c>
      <c r="M204" s="381">
        <f>0.595729+760</f>
        <v>760.59572900000001</v>
      </c>
      <c r="N204" s="600"/>
      <c r="O204" s="468"/>
      <c r="P204" s="446"/>
      <c r="Q204" s="600"/>
      <c r="R204" s="603"/>
    </row>
    <row r="205" spans="1:18" ht="15.75" thickBot="1" x14ac:dyDescent="0.3">
      <c r="A205" s="244" t="s">
        <v>636</v>
      </c>
      <c r="B205" s="255">
        <v>0</v>
      </c>
      <c r="C205" s="309" t="s">
        <v>88</v>
      </c>
      <c r="D205" s="305" t="s">
        <v>90</v>
      </c>
      <c r="E205" s="305" t="s">
        <v>90</v>
      </c>
      <c r="F205" s="305" t="s">
        <v>90</v>
      </c>
      <c r="G205" s="316" t="s">
        <v>90</v>
      </c>
      <c r="H205" s="303">
        <v>112</v>
      </c>
      <c r="I205" s="254" t="s">
        <v>130</v>
      </c>
      <c r="J205" s="388" t="s">
        <v>133</v>
      </c>
      <c r="K205" s="388" t="s">
        <v>131</v>
      </c>
      <c r="L205" s="388" t="s">
        <v>90</v>
      </c>
      <c r="M205" s="254">
        <v>112</v>
      </c>
      <c r="N205" s="601"/>
      <c r="O205" s="597"/>
      <c r="P205" s="598"/>
      <c r="Q205" s="601"/>
      <c r="R205" s="604"/>
    </row>
    <row r="206" spans="1:18" ht="15.75" thickBot="1" x14ac:dyDescent="0.3">
      <c r="A206" s="64" t="s">
        <v>215</v>
      </c>
      <c r="B206" s="81">
        <f>SUM(B4:B205)</f>
        <v>33675</v>
      </c>
      <c r="C206" s="65"/>
      <c r="D206" s="65"/>
      <c r="E206" s="65"/>
      <c r="F206" s="65"/>
      <c r="G206" s="66">
        <f>SUM(G4:G205)</f>
        <v>44213.446990999997</v>
      </c>
      <c r="H206" s="81">
        <f>SUM(H4:H205)</f>
        <v>17425.900000000001</v>
      </c>
      <c r="I206" s="65"/>
      <c r="J206" s="65"/>
      <c r="K206" s="65"/>
      <c r="L206" s="65"/>
      <c r="M206" s="66">
        <f>SUM(M4:M205)</f>
        <v>23209.440429000002</v>
      </c>
      <c r="N206" s="65"/>
      <c r="O206" s="65"/>
      <c r="P206" s="65"/>
      <c r="Q206" s="65"/>
      <c r="R206" s="67"/>
    </row>
    <row r="207" spans="1:18" ht="15.75" thickBot="1" x14ac:dyDescent="0.3">
      <c r="A207" s="22" t="s">
        <v>482</v>
      </c>
      <c r="B207" s="80"/>
      <c r="C207" s="19"/>
      <c r="D207" s="19"/>
      <c r="E207" s="19"/>
      <c r="F207" s="19"/>
      <c r="G207" s="36">
        <f>SUMIF(C4:C205,"*Supp A*",G4:G205)</f>
        <v>4992.159369</v>
      </c>
      <c r="H207" s="80"/>
      <c r="I207" s="19"/>
      <c r="J207" s="19"/>
      <c r="K207" s="19"/>
      <c r="L207" s="19"/>
      <c r="M207" s="291" t="s">
        <v>90</v>
      </c>
      <c r="N207" s="19"/>
      <c r="O207" s="19"/>
      <c r="P207" s="19"/>
      <c r="Q207" s="19"/>
      <c r="R207" s="20"/>
    </row>
    <row r="208" spans="1:18" ht="15.75" thickBot="1" x14ac:dyDescent="0.3">
      <c r="A208" s="22" t="s">
        <v>483</v>
      </c>
      <c r="B208" s="80"/>
      <c r="C208" s="19"/>
      <c r="D208" s="19"/>
      <c r="E208" s="19"/>
      <c r="F208" s="19"/>
      <c r="G208" s="36">
        <f>SUMIF(C4:C205,"*Supp B*",G4:G205)</f>
        <v>36195.198455999998</v>
      </c>
      <c r="H208" s="80"/>
      <c r="I208" s="19"/>
      <c r="J208" s="19"/>
      <c r="K208" s="19"/>
      <c r="L208" s="19"/>
      <c r="M208" s="291" t="s">
        <v>90</v>
      </c>
      <c r="N208" s="19"/>
      <c r="O208" s="19"/>
      <c r="P208" s="19"/>
      <c r="Q208" s="19"/>
      <c r="R208" s="20"/>
    </row>
    <row r="209" spans="1:18" ht="15.75" thickBot="1" x14ac:dyDescent="0.3">
      <c r="A209" s="22" t="s">
        <v>484</v>
      </c>
      <c r="B209" s="80"/>
      <c r="C209" s="19"/>
      <c r="D209" s="19"/>
      <c r="E209" s="19"/>
      <c r="F209" s="19"/>
      <c r="G209" s="36">
        <f>SUMIF(C4:C205,"*Supp C*",G4:G205)</f>
        <v>3026.0891659999993</v>
      </c>
      <c r="H209" s="80"/>
      <c r="I209" s="19"/>
      <c r="J209" s="19"/>
      <c r="K209" s="19"/>
      <c r="L209" s="19"/>
      <c r="M209" s="291" t="s">
        <v>90</v>
      </c>
      <c r="N209" s="19"/>
      <c r="O209" s="19"/>
      <c r="P209" s="19"/>
      <c r="Q209" s="19"/>
      <c r="R209" s="20"/>
    </row>
    <row r="210" spans="1:18" ht="15.75" thickBot="1" x14ac:dyDescent="0.3">
      <c r="A210" s="64" t="s">
        <v>481</v>
      </c>
      <c r="B210" s="290"/>
      <c r="C210" s="65"/>
      <c r="D210" s="65"/>
      <c r="E210" s="65"/>
      <c r="F210" s="65"/>
      <c r="G210" s="291" t="s">
        <v>90</v>
      </c>
      <c r="H210" s="290"/>
      <c r="I210" s="65"/>
      <c r="J210" s="65"/>
      <c r="K210" s="65"/>
      <c r="L210" s="65"/>
      <c r="M210" s="66">
        <f>SUMIF(I4:I205,"*Budget principal*",M4:M205)</f>
        <v>9741.5127630000043</v>
      </c>
      <c r="N210" s="65"/>
      <c r="O210" s="65"/>
      <c r="P210" s="65"/>
      <c r="Q210" s="65"/>
      <c r="R210" s="67"/>
    </row>
    <row r="211" spans="1:18" ht="15.75" thickBot="1" x14ac:dyDescent="0.3">
      <c r="A211" s="22" t="s">
        <v>611</v>
      </c>
      <c r="B211" s="35"/>
      <c r="C211" s="19"/>
      <c r="D211" s="19"/>
      <c r="E211" s="19"/>
      <c r="F211" s="19"/>
      <c r="G211" s="306" t="s">
        <v>90</v>
      </c>
      <c r="H211" s="35"/>
      <c r="I211" s="19"/>
      <c r="J211" s="19"/>
      <c r="K211" s="19"/>
      <c r="L211" s="19"/>
      <c r="M211" s="36">
        <f>SUMIF(I4:I205,"*Supp A*",M4:M205)</f>
        <v>13467.927666</v>
      </c>
      <c r="N211" s="19"/>
      <c r="O211" s="19"/>
      <c r="P211" s="19"/>
      <c r="Q211" s="19"/>
      <c r="R211" s="20"/>
    </row>
    <row r="213" spans="1:18" ht="17.25" x14ac:dyDescent="0.25">
      <c r="A213" s="91" t="s">
        <v>629</v>
      </c>
    </row>
    <row r="214" spans="1:18" s="194" customFormat="1" x14ac:dyDescent="0.25">
      <c r="A214" s="91" t="s">
        <v>501</v>
      </c>
    </row>
    <row r="215" spans="1:18" x14ac:dyDescent="0.25">
      <c r="A215" t="s">
        <v>394</v>
      </c>
      <c r="M215" s="193"/>
    </row>
    <row r="216" spans="1:18" x14ac:dyDescent="0.25">
      <c r="A216" s="29" t="s">
        <v>630</v>
      </c>
    </row>
    <row r="217" spans="1:18" x14ac:dyDescent="0.25">
      <c r="A217" s="18"/>
    </row>
  </sheetData>
  <mergeCells count="663">
    <mergeCell ref="O203:O205"/>
    <mergeCell ref="P203:P205"/>
    <mergeCell ref="Q203:Q205"/>
    <mergeCell ref="R203:R205"/>
    <mergeCell ref="A203:A204"/>
    <mergeCell ref="B203:B204"/>
    <mergeCell ref="C203:C204"/>
    <mergeCell ref="D203:D204"/>
    <mergeCell ref="E203:E204"/>
    <mergeCell ref="F203:F204"/>
    <mergeCell ref="G203:G204"/>
    <mergeCell ref="H203:H204"/>
    <mergeCell ref="N203:N205"/>
    <mergeCell ref="N137:N138"/>
    <mergeCell ref="K126:K127"/>
    <mergeCell ref="L126:L127"/>
    <mergeCell ref="N169:N170"/>
    <mergeCell ref="O169:O170"/>
    <mergeCell ref="P169:P170"/>
    <mergeCell ref="Q169:Q170"/>
    <mergeCell ref="R169:R170"/>
    <mergeCell ref="N174:N175"/>
    <mergeCell ref="O174:O175"/>
    <mergeCell ref="P174:P175"/>
    <mergeCell ref="Q174:Q175"/>
    <mergeCell ref="R174:R175"/>
    <mergeCell ref="R157:R161"/>
    <mergeCell ref="R135:R136"/>
    <mergeCell ref="O140:O142"/>
    <mergeCell ref="P126:P129"/>
    <mergeCell ref="Q126:Q129"/>
    <mergeCell ref="O137:O138"/>
    <mergeCell ref="R130:R132"/>
    <mergeCell ref="R146:R151"/>
    <mergeCell ref="R137:R138"/>
    <mergeCell ref="Q140:Q142"/>
    <mergeCell ref="O126:O129"/>
    <mergeCell ref="I165:I166"/>
    <mergeCell ref="J165:J166"/>
    <mergeCell ref="K165:K166"/>
    <mergeCell ref="L165:L166"/>
    <mergeCell ref="M165:M166"/>
    <mergeCell ref="I146:I151"/>
    <mergeCell ref="J146:J151"/>
    <mergeCell ref="K146:K151"/>
    <mergeCell ref="L146:L151"/>
    <mergeCell ref="M157:M161"/>
    <mergeCell ref="I157:I161"/>
    <mergeCell ref="J157:J161"/>
    <mergeCell ref="K157:K161"/>
    <mergeCell ref="L157:L161"/>
    <mergeCell ref="M146:M151"/>
    <mergeCell ref="C83:C84"/>
    <mergeCell ref="D83:D84"/>
    <mergeCell ref="E83:E84"/>
    <mergeCell ref="F83:F84"/>
    <mergeCell ref="G83:G84"/>
    <mergeCell ref="H104:H109"/>
    <mergeCell ref="N107:N109"/>
    <mergeCell ref="O107:O109"/>
    <mergeCell ref="P107:P109"/>
    <mergeCell ref="G89:G90"/>
    <mergeCell ref="C87:C88"/>
    <mergeCell ref="D87:D88"/>
    <mergeCell ref="E87:E88"/>
    <mergeCell ref="F87:F88"/>
    <mergeCell ref="G87:G88"/>
    <mergeCell ref="C85:C86"/>
    <mergeCell ref="D85:D86"/>
    <mergeCell ref="E85:E86"/>
    <mergeCell ref="F85:F86"/>
    <mergeCell ref="G85:G86"/>
    <mergeCell ref="C101:C103"/>
    <mergeCell ref="D101:D103"/>
    <mergeCell ref="E101:E103"/>
    <mergeCell ref="C104:C106"/>
    <mergeCell ref="L184:L185"/>
    <mergeCell ref="M193:M195"/>
    <mergeCell ref="I193:I195"/>
    <mergeCell ref="J193:J195"/>
    <mergeCell ref="K193:K195"/>
    <mergeCell ref="L193:L195"/>
    <mergeCell ref="M176:M178"/>
    <mergeCell ref="I176:I178"/>
    <mergeCell ref="J176:J178"/>
    <mergeCell ref="K176:K178"/>
    <mergeCell ref="L176:L178"/>
    <mergeCell ref="M184:M185"/>
    <mergeCell ref="I184:I185"/>
    <mergeCell ref="J184:J185"/>
    <mergeCell ref="K184:K185"/>
    <mergeCell ref="I197:I199"/>
    <mergeCell ref="J197:J199"/>
    <mergeCell ref="K197:K199"/>
    <mergeCell ref="L197:L199"/>
    <mergeCell ref="M197:M199"/>
    <mergeCell ref="M186:M188"/>
    <mergeCell ref="I186:I188"/>
    <mergeCell ref="J186:J188"/>
    <mergeCell ref="K186:K188"/>
    <mergeCell ref="L186:L188"/>
    <mergeCell ref="I189:I191"/>
    <mergeCell ref="J189:J191"/>
    <mergeCell ref="K189:K191"/>
    <mergeCell ref="L189:L191"/>
    <mergeCell ref="M189:M191"/>
    <mergeCell ref="M124:M125"/>
    <mergeCell ref="I124:I125"/>
    <mergeCell ref="J124:J125"/>
    <mergeCell ref="K124:K125"/>
    <mergeCell ref="L124:L125"/>
    <mergeCell ref="M112:M113"/>
    <mergeCell ref="I112:I113"/>
    <mergeCell ref="J112:J113"/>
    <mergeCell ref="K112:K113"/>
    <mergeCell ref="M47:M50"/>
    <mergeCell ref="I47:I50"/>
    <mergeCell ref="J47:J50"/>
    <mergeCell ref="K47:K50"/>
    <mergeCell ref="L47:L50"/>
    <mergeCell ref="I59:I61"/>
    <mergeCell ref="J59:J61"/>
    <mergeCell ref="K59:K61"/>
    <mergeCell ref="L59:L61"/>
    <mergeCell ref="M41:M42"/>
    <mergeCell ref="I41:I42"/>
    <mergeCell ref="J41:J42"/>
    <mergeCell ref="K41:K42"/>
    <mergeCell ref="L41:L42"/>
    <mergeCell ref="M43:M46"/>
    <mergeCell ref="I43:I46"/>
    <mergeCell ref="J43:J46"/>
    <mergeCell ref="K43:K46"/>
    <mergeCell ref="L43:L46"/>
    <mergeCell ref="M28:M29"/>
    <mergeCell ref="I28:I29"/>
    <mergeCell ref="J28:J29"/>
    <mergeCell ref="K28:K29"/>
    <mergeCell ref="L28:L29"/>
    <mergeCell ref="J30:J33"/>
    <mergeCell ref="K30:K33"/>
    <mergeCell ref="L30:L33"/>
    <mergeCell ref="M36:M40"/>
    <mergeCell ref="I36:I40"/>
    <mergeCell ref="J36:J40"/>
    <mergeCell ref="K36:K40"/>
    <mergeCell ref="I30:I33"/>
    <mergeCell ref="J135:J136"/>
    <mergeCell ref="K135:K136"/>
    <mergeCell ref="L135:L136"/>
    <mergeCell ref="I137:I138"/>
    <mergeCell ref="N126:N129"/>
    <mergeCell ref="A174:A175"/>
    <mergeCell ref="B174:B175"/>
    <mergeCell ref="C174:C175"/>
    <mergeCell ref="D174:D175"/>
    <mergeCell ref="E174:E175"/>
    <mergeCell ref="F174:F175"/>
    <mergeCell ref="G174:G175"/>
    <mergeCell ref="A163:A170"/>
    <mergeCell ref="M130:M132"/>
    <mergeCell ref="I130:I132"/>
    <mergeCell ref="J130:J132"/>
    <mergeCell ref="K130:K132"/>
    <mergeCell ref="L130:L132"/>
    <mergeCell ref="M171:M173"/>
    <mergeCell ref="I171:I173"/>
    <mergeCell ref="J171:J173"/>
    <mergeCell ref="K171:K173"/>
    <mergeCell ref="L171:L173"/>
    <mergeCell ref="A157:A161"/>
    <mergeCell ref="R118:R119"/>
    <mergeCell ref="A110:A111"/>
    <mergeCell ref="B110:B111"/>
    <mergeCell ref="C110:C111"/>
    <mergeCell ref="D110:D111"/>
    <mergeCell ref="L112:L113"/>
    <mergeCell ref="M115:M116"/>
    <mergeCell ref="E110:E111"/>
    <mergeCell ref="F110:F111"/>
    <mergeCell ref="L115:L116"/>
    <mergeCell ref="C118:C119"/>
    <mergeCell ref="D118:D119"/>
    <mergeCell ref="E118:E119"/>
    <mergeCell ref="F118:F119"/>
    <mergeCell ref="G118:G119"/>
    <mergeCell ref="N118:N119"/>
    <mergeCell ref="O118:O119"/>
    <mergeCell ref="P118:P119"/>
    <mergeCell ref="Q118:Q119"/>
    <mergeCell ref="P115:P116"/>
    <mergeCell ref="H112:H114"/>
    <mergeCell ref="H115:H117"/>
    <mergeCell ref="O115:O116"/>
    <mergeCell ref="R112:R113"/>
    <mergeCell ref="H96:H99"/>
    <mergeCell ref="D104:D106"/>
    <mergeCell ref="E104:E106"/>
    <mergeCell ref="F104:F106"/>
    <mergeCell ref="G104:G106"/>
    <mergeCell ref="G110:G111"/>
    <mergeCell ref="C107:C109"/>
    <mergeCell ref="D107:D109"/>
    <mergeCell ref="E107:E109"/>
    <mergeCell ref="F107:F109"/>
    <mergeCell ref="G107:G109"/>
    <mergeCell ref="N101:N103"/>
    <mergeCell ref="O101:O103"/>
    <mergeCell ref="P101:P103"/>
    <mergeCell ref="Q101:Q103"/>
    <mergeCell ref="I96:I97"/>
    <mergeCell ref="J96:J97"/>
    <mergeCell ref="K96:K97"/>
    <mergeCell ref="L96:L97"/>
    <mergeCell ref="M96:M97"/>
    <mergeCell ref="I98:I99"/>
    <mergeCell ref="J98:J99"/>
    <mergeCell ref="K98:K99"/>
    <mergeCell ref="L98:L99"/>
    <mergeCell ref="M98:M99"/>
    <mergeCell ref="A53:A70"/>
    <mergeCell ref="B53:B70"/>
    <mergeCell ref="I71:I74"/>
    <mergeCell ref="J71:J74"/>
    <mergeCell ref="K71:K74"/>
    <mergeCell ref="L71:L74"/>
    <mergeCell ref="M71:M74"/>
    <mergeCell ref="I79:I80"/>
    <mergeCell ref="J79:J80"/>
    <mergeCell ref="K79:K80"/>
    <mergeCell ref="L79:L80"/>
    <mergeCell ref="M79:M80"/>
    <mergeCell ref="I62:I65"/>
    <mergeCell ref="J62:J65"/>
    <mergeCell ref="K62:K65"/>
    <mergeCell ref="L62:L65"/>
    <mergeCell ref="M62:M65"/>
    <mergeCell ref="I66:I68"/>
    <mergeCell ref="J66:J68"/>
    <mergeCell ref="K66:K68"/>
    <mergeCell ref="L66:L68"/>
    <mergeCell ref="M66:M68"/>
    <mergeCell ref="C53:C54"/>
    <mergeCell ref="D53:D54"/>
    <mergeCell ref="N53:N54"/>
    <mergeCell ref="O53:O54"/>
    <mergeCell ref="P53:P54"/>
    <mergeCell ref="Q53:Q54"/>
    <mergeCell ref="C56:C58"/>
    <mergeCell ref="D56:D58"/>
    <mergeCell ref="E56:E58"/>
    <mergeCell ref="F56:F58"/>
    <mergeCell ref="G56:G58"/>
    <mergeCell ref="N56:N58"/>
    <mergeCell ref="O56:O58"/>
    <mergeCell ref="P56:P58"/>
    <mergeCell ref="Q56:Q58"/>
    <mergeCell ref="A96:A99"/>
    <mergeCell ref="B115:B117"/>
    <mergeCell ref="A112:A114"/>
    <mergeCell ref="B112:B114"/>
    <mergeCell ref="B96:B99"/>
    <mergeCell ref="A130:A133"/>
    <mergeCell ref="A135:A138"/>
    <mergeCell ref="A140:A142"/>
    <mergeCell ref="A146:A151"/>
    <mergeCell ref="B146:B151"/>
    <mergeCell ref="B140:B142"/>
    <mergeCell ref="A104:A109"/>
    <mergeCell ref="B104:B109"/>
    <mergeCell ref="A143:A145"/>
    <mergeCell ref="B143:B145"/>
    <mergeCell ref="A118:A119"/>
    <mergeCell ref="B118:B119"/>
    <mergeCell ref="A180:A191"/>
    <mergeCell ref="B163:B170"/>
    <mergeCell ref="B180:B191"/>
    <mergeCell ref="A100:A103"/>
    <mergeCell ref="B100:B103"/>
    <mergeCell ref="A171:A173"/>
    <mergeCell ref="B171:B173"/>
    <mergeCell ref="A176:A178"/>
    <mergeCell ref="B176:B178"/>
    <mergeCell ref="B130:B133"/>
    <mergeCell ref="B135:B138"/>
    <mergeCell ref="B126:B129"/>
    <mergeCell ref="A126:A129"/>
    <mergeCell ref="A124:A125"/>
    <mergeCell ref="B124:B125"/>
    <mergeCell ref="A115:A117"/>
    <mergeCell ref="A154:A156"/>
    <mergeCell ref="B154:B156"/>
    <mergeCell ref="B157:B161"/>
    <mergeCell ref="A152:A153"/>
    <mergeCell ref="B152:B153"/>
    <mergeCell ref="B121:B123"/>
    <mergeCell ref="A121:A123"/>
    <mergeCell ref="N7:N8"/>
    <mergeCell ref="O7:O8"/>
    <mergeCell ref="P7:P8"/>
    <mergeCell ref="A36:A40"/>
    <mergeCell ref="B36:B40"/>
    <mergeCell ref="P30:P33"/>
    <mergeCell ref="Q30:Q33"/>
    <mergeCell ref="O30:O33"/>
    <mergeCell ref="Q9:Q16"/>
    <mergeCell ref="Q7:Q8"/>
    <mergeCell ref="G34:G35"/>
    <mergeCell ref="L9:L16"/>
    <mergeCell ref="M17:M20"/>
    <mergeCell ref="I17:I20"/>
    <mergeCell ref="J17:J20"/>
    <mergeCell ref="K17:K20"/>
    <mergeCell ref="L17:L20"/>
    <mergeCell ref="L36:L40"/>
    <mergeCell ref="P9:P16"/>
    <mergeCell ref="A28:A29"/>
    <mergeCell ref="N28:N29"/>
    <mergeCell ref="O28:O29"/>
    <mergeCell ref="N21:N24"/>
    <mergeCell ref="M25:M26"/>
    <mergeCell ref="N176:N178"/>
    <mergeCell ref="O176:O178"/>
    <mergeCell ref="N47:N50"/>
    <mergeCell ref="P43:P46"/>
    <mergeCell ref="Q43:Q46"/>
    <mergeCell ref="P47:P50"/>
    <mergeCell ref="O62:O69"/>
    <mergeCell ref="P62:P69"/>
    <mergeCell ref="A30:A33"/>
    <mergeCell ref="B30:B33"/>
    <mergeCell ref="N59:N61"/>
    <mergeCell ref="O59:O61"/>
    <mergeCell ref="P59:P61"/>
    <mergeCell ref="Q59:Q61"/>
    <mergeCell ref="A41:A51"/>
    <mergeCell ref="B41:B51"/>
    <mergeCell ref="A34:A35"/>
    <mergeCell ref="B34:B35"/>
    <mergeCell ref="C34:C35"/>
    <mergeCell ref="D34:D35"/>
    <mergeCell ref="E34:E35"/>
    <mergeCell ref="F34:F35"/>
    <mergeCell ref="N43:N46"/>
    <mergeCell ref="M30:M33"/>
    <mergeCell ref="P21:P24"/>
    <mergeCell ref="Q21:Q24"/>
    <mergeCell ref="N124:N125"/>
    <mergeCell ref="O124:O125"/>
    <mergeCell ref="P124:P125"/>
    <mergeCell ref="Q124:Q125"/>
    <mergeCell ref="N41:N42"/>
    <mergeCell ref="O41:O42"/>
    <mergeCell ref="N104:N106"/>
    <mergeCell ref="O104:O106"/>
    <mergeCell ref="P104:P106"/>
    <mergeCell ref="Q115:Q116"/>
    <mergeCell ref="Q112:Q113"/>
    <mergeCell ref="N112:N113"/>
    <mergeCell ref="O112:O113"/>
    <mergeCell ref="P112:P113"/>
    <mergeCell ref="N96:N99"/>
    <mergeCell ref="O96:O99"/>
    <mergeCell ref="P96:P99"/>
    <mergeCell ref="Q107:Q109"/>
    <mergeCell ref="N25:N26"/>
    <mergeCell ref="O25:O26"/>
    <mergeCell ref="P25:P26"/>
    <mergeCell ref="O43:O46"/>
    <mergeCell ref="Q197:Q199"/>
    <mergeCell ref="R197:R199"/>
    <mergeCell ref="A197:A199"/>
    <mergeCell ref="N197:N199"/>
    <mergeCell ref="O197:O199"/>
    <mergeCell ref="P197:P199"/>
    <mergeCell ref="Q184:Q185"/>
    <mergeCell ref="R184:R185"/>
    <mergeCell ref="N189:N191"/>
    <mergeCell ref="O189:O191"/>
    <mergeCell ref="P189:P191"/>
    <mergeCell ref="Q189:Q191"/>
    <mergeCell ref="R189:R191"/>
    <mergeCell ref="B197:B199"/>
    <mergeCell ref="P193:P195"/>
    <mergeCell ref="Q193:Q195"/>
    <mergeCell ref="R193:R195"/>
    <mergeCell ref="O193:O195"/>
    <mergeCell ref="A192:A195"/>
    <mergeCell ref="B192:B195"/>
    <mergeCell ref="N193:N195"/>
    <mergeCell ref="N186:N188"/>
    <mergeCell ref="Q186:Q188"/>
    <mergeCell ref="R186:R188"/>
    <mergeCell ref="O186:O188"/>
    <mergeCell ref="P186:P188"/>
    <mergeCell ref="O130:O132"/>
    <mergeCell ref="P130:P132"/>
    <mergeCell ref="N157:N161"/>
    <mergeCell ref="N171:N173"/>
    <mergeCell ref="O171:O173"/>
    <mergeCell ref="P171:P173"/>
    <mergeCell ref="N130:N132"/>
    <mergeCell ref="N163:N166"/>
    <mergeCell ref="N135:N136"/>
    <mergeCell ref="N146:N151"/>
    <mergeCell ref="N140:N142"/>
    <mergeCell ref="P140:P142"/>
    <mergeCell ref="N143:N145"/>
    <mergeCell ref="O143:O145"/>
    <mergeCell ref="P143:P145"/>
    <mergeCell ref="P184:P185"/>
    <mergeCell ref="N154:N156"/>
    <mergeCell ref="O154:O156"/>
    <mergeCell ref="P154:P156"/>
    <mergeCell ref="O184:O185"/>
    <mergeCell ref="P163:P166"/>
    <mergeCell ref="N184:N185"/>
    <mergeCell ref="R176:R178"/>
    <mergeCell ref="R143:R145"/>
    <mergeCell ref="O157:O161"/>
    <mergeCell ref="P157:P161"/>
    <mergeCell ref="P135:P136"/>
    <mergeCell ref="Q135:Q136"/>
    <mergeCell ref="Q176:Q178"/>
    <mergeCell ref="R140:R142"/>
    <mergeCell ref="Q171:Q173"/>
    <mergeCell ref="O135:O136"/>
    <mergeCell ref="Q157:Q161"/>
    <mergeCell ref="O146:O151"/>
    <mergeCell ref="P146:P151"/>
    <mergeCell ref="Q146:Q151"/>
    <mergeCell ref="P137:P138"/>
    <mergeCell ref="Q137:Q138"/>
    <mergeCell ref="Q154:Q156"/>
    <mergeCell ref="R171:R173"/>
    <mergeCell ref="R154:R156"/>
    <mergeCell ref="O163:O166"/>
    <mergeCell ref="P176:P178"/>
    <mergeCell ref="Q143:Q145"/>
    <mergeCell ref="Q163:Q166"/>
    <mergeCell ref="R163:R166"/>
    <mergeCell ref="R7:R8"/>
    <mergeCell ref="B28:B29"/>
    <mergeCell ref="N9:N16"/>
    <mergeCell ref="O9:O16"/>
    <mergeCell ref="R9:R16"/>
    <mergeCell ref="R4:R6"/>
    <mergeCell ref="J7:J8"/>
    <mergeCell ref="K7:K8"/>
    <mergeCell ref="L7:L8"/>
    <mergeCell ref="M9:M16"/>
    <mergeCell ref="I9:I16"/>
    <mergeCell ref="J9:J16"/>
    <mergeCell ref="K9:K16"/>
    <mergeCell ref="O17:O20"/>
    <mergeCell ref="P17:P20"/>
    <mergeCell ref="Q17:Q20"/>
    <mergeCell ref="R17:R20"/>
    <mergeCell ref="R21:R24"/>
    <mergeCell ref="R28:R29"/>
    <mergeCell ref="O4:O6"/>
    <mergeCell ref="P4:P6"/>
    <mergeCell ref="Q4:Q6"/>
    <mergeCell ref="N4:N6"/>
    <mergeCell ref="O21:O24"/>
    <mergeCell ref="Q25:Q26"/>
    <mergeCell ref="R25:R26"/>
    <mergeCell ref="P41:P42"/>
    <mergeCell ref="Q41:Q42"/>
    <mergeCell ref="R41:R42"/>
    <mergeCell ref="N36:N40"/>
    <mergeCell ref="N34:N35"/>
    <mergeCell ref="O34:O35"/>
    <mergeCell ref="P34:P35"/>
    <mergeCell ref="Q34:Q35"/>
    <mergeCell ref="R34:R35"/>
    <mergeCell ref="R30:R33"/>
    <mergeCell ref="N30:N33"/>
    <mergeCell ref="P28:P29"/>
    <mergeCell ref="Q28:Q29"/>
    <mergeCell ref="Q62:Q69"/>
    <mergeCell ref="R62:R69"/>
    <mergeCell ref="Q96:Q99"/>
    <mergeCell ref="O79:O82"/>
    <mergeCell ref="P79:P82"/>
    <mergeCell ref="Q79:Q82"/>
    <mergeCell ref="O110:O111"/>
    <mergeCell ref="O83:O90"/>
    <mergeCell ref="R79:R82"/>
    <mergeCell ref="O76:O78"/>
    <mergeCell ref="R107:R109"/>
    <mergeCell ref="R101:R103"/>
    <mergeCell ref="P76:P78"/>
    <mergeCell ref="Q76:Q78"/>
    <mergeCell ref="R76:R78"/>
    <mergeCell ref="O71:O75"/>
    <mergeCell ref="P71:P75"/>
    <mergeCell ref="P110:P111"/>
    <mergeCell ref="Q110:Q111"/>
    <mergeCell ref="R110:R111"/>
    <mergeCell ref="I135:I136"/>
    <mergeCell ref="R124:R125"/>
    <mergeCell ref="R126:R129"/>
    <mergeCell ref="Q130:Q132"/>
    <mergeCell ref="Q104:Q106"/>
    <mergeCell ref="K83:K84"/>
    <mergeCell ref="L83:L84"/>
    <mergeCell ref="M83:M84"/>
    <mergeCell ref="K85:K86"/>
    <mergeCell ref="L85:L86"/>
    <mergeCell ref="M85:M86"/>
    <mergeCell ref="K91:K94"/>
    <mergeCell ref="L91:L94"/>
    <mergeCell ref="M91:M94"/>
    <mergeCell ref="N83:N90"/>
    <mergeCell ref="P83:P90"/>
    <mergeCell ref="Q83:Q90"/>
    <mergeCell ref="P91:P95"/>
    <mergeCell ref="Q91:Q95"/>
    <mergeCell ref="R91:R95"/>
    <mergeCell ref="O91:O95"/>
    <mergeCell ref="R96:R99"/>
    <mergeCell ref="R115:R116"/>
    <mergeCell ref="R104:R106"/>
    <mergeCell ref="C74:C75"/>
    <mergeCell ref="L137:L138"/>
    <mergeCell ref="M137:M138"/>
    <mergeCell ref="N79:N82"/>
    <mergeCell ref="J137:J138"/>
    <mergeCell ref="K137:K138"/>
    <mergeCell ref="I115:I116"/>
    <mergeCell ref="J115:J116"/>
    <mergeCell ref="K115:K116"/>
    <mergeCell ref="I81:I82"/>
    <mergeCell ref="J81:J82"/>
    <mergeCell ref="K81:K82"/>
    <mergeCell ref="L81:L82"/>
    <mergeCell ref="M81:M82"/>
    <mergeCell ref="I83:I84"/>
    <mergeCell ref="J83:J84"/>
    <mergeCell ref="I85:I86"/>
    <mergeCell ref="J85:J86"/>
    <mergeCell ref="N110:N111"/>
    <mergeCell ref="I126:I127"/>
    <mergeCell ref="J126:J127"/>
    <mergeCell ref="I91:I94"/>
    <mergeCell ref="M126:M127"/>
    <mergeCell ref="M135:M136"/>
    <mergeCell ref="N17:N20"/>
    <mergeCell ref="H176:H178"/>
    <mergeCell ref="H180:H191"/>
    <mergeCell ref="H192:H195"/>
    <mergeCell ref="H197:H199"/>
    <mergeCell ref="H2:M2"/>
    <mergeCell ref="B2:G2"/>
    <mergeCell ref="H140:H142"/>
    <mergeCell ref="H143:H145"/>
    <mergeCell ref="H146:H151"/>
    <mergeCell ref="H152:H153"/>
    <mergeCell ref="H154:H156"/>
    <mergeCell ref="H157:H161"/>
    <mergeCell ref="H163:H170"/>
    <mergeCell ref="H174:H175"/>
    <mergeCell ref="H110:H111"/>
    <mergeCell ref="H118:H119"/>
    <mergeCell ref="H124:H125"/>
    <mergeCell ref="H126:H129"/>
    <mergeCell ref="H130:H133"/>
    <mergeCell ref="H135:H138"/>
    <mergeCell ref="H28:H29"/>
    <mergeCell ref="H30:H33"/>
    <mergeCell ref="B4:B27"/>
    <mergeCell ref="C68:C69"/>
    <mergeCell ref="D68:D69"/>
    <mergeCell ref="E68:E69"/>
    <mergeCell ref="F68:F69"/>
    <mergeCell ref="G68:G69"/>
    <mergeCell ref="J25:J26"/>
    <mergeCell ref="E53:E54"/>
    <mergeCell ref="F53:F54"/>
    <mergeCell ref="G53:G54"/>
    <mergeCell ref="M4:M6"/>
    <mergeCell ref="I4:I6"/>
    <mergeCell ref="J4:J6"/>
    <mergeCell ref="K4:K6"/>
    <mergeCell ref="L4:L6"/>
    <mergeCell ref="M7:M8"/>
    <mergeCell ref="I7:I8"/>
    <mergeCell ref="K25:K26"/>
    <mergeCell ref="L25:L26"/>
    <mergeCell ref="I21:I24"/>
    <mergeCell ref="J21:J24"/>
    <mergeCell ref="K21:K24"/>
    <mergeCell ref="L21:L24"/>
    <mergeCell ref="M21:M24"/>
    <mergeCell ref="N71:N75"/>
    <mergeCell ref="C76:C78"/>
    <mergeCell ref="D76:D78"/>
    <mergeCell ref="H34:H35"/>
    <mergeCell ref="H36:H40"/>
    <mergeCell ref="H41:H51"/>
    <mergeCell ref="H53:H70"/>
    <mergeCell ref="N115:N116"/>
    <mergeCell ref="M59:M61"/>
    <mergeCell ref="N76:N78"/>
    <mergeCell ref="E76:E78"/>
    <mergeCell ref="F76:F78"/>
    <mergeCell ref="G76:G78"/>
    <mergeCell ref="D74:D75"/>
    <mergeCell ref="E74:E75"/>
    <mergeCell ref="F74:F75"/>
    <mergeCell ref="G74:G75"/>
    <mergeCell ref="H71:H95"/>
    <mergeCell ref="J91:J94"/>
    <mergeCell ref="C89:C90"/>
    <mergeCell ref="D89:D90"/>
    <mergeCell ref="E89:E90"/>
    <mergeCell ref="F89:F90"/>
    <mergeCell ref="N62:N69"/>
    <mergeCell ref="A4:A27"/>
    <mergeCell ref="H4:H27"/>
    <mergeCell ref="R53:R54"/>
    <mergeCell ref="R56:R58"/>
    <mergeCell ref="Q71:Q75"/>
    <mergeCell ref="R71:R75"/>
    <mergeCell ref="R83:R90"/>
    <mergeCell ref="R47:R50"/>
    <mergeCell ref="O36:O40"/>
    <mergeCell ref="P36:P40"/>
    <mergeCell ref="Q36:Q40"/>
    <mergeCell ref="R36:R40"/>
    <mergeCell ref="Q47:Q50"/>
    <mergeCell ref="O47:O50"/>
    <mergeCell ref="R43:R46"/>
    <mergeCell ref="R59:R61"/>
    <mergeCell ref="A71:A95"/>
    <mergeCell ref="B71:B95"/>
    <mergeCell ref="C94:C95"/>
    <mergeCell ref="D94:D95"/>
    <mergeCell ref="E94:E95"/>
    <mergeCell ref="F94:F95"/>
    <mergeCell ref="G94:G95"/>
    <mergeCell ref="N91:N95"/>
    <mergeCell ref="H121:H123"/>
    <mergeCell ref="F101:F103"/>
    <mergeCell ref="G101:G103"/>
    <mergeCell ref="H100:H103"/>
    <mergeCell ref="H171:H173"/>
    <mergeCell ref="C140:C141"/>
    <mergeCell ref="D140:D141"/>
    <mergeCell ref="E140:E141"/>
    <mergeCell ref="F140:F141"/>
    <mergeCell ref="G140:G141"/>
    <mergeCell ref="C144:C145"/>
    <mergeCell ref="D144:D145"/>
    <mergeCell ref="E144:E145"/>
    <mergeCell ref="F144:F145"/>
    <mergeCell ref="G144:G145"/>
    <mergeCell ref="C154:C156"/>
    <mergeCell ref="D154:D156"/>
    <mergeCell ref="E154:E156"/>
    <mergeCell ref="F154:F156"/>
    <mergeCell ref="G154:G156"/>
  </mergeCells>
  <phoneticPr fontId="17" type="noConversion"/>
  <hyperlinks>
    <hyperlink ref="O9" r:id="rId1" display="https://www.pbo-dpb.gc.ca/web/default/files/Documents/Info%20Requests/2020/IR0528_PHAC_COVID19_update_request_e.pdf" xr:uid="{CA7E0551-6C09-4C0B-B928-AD4C8BAD4398}"/>
    <hyperlink ref="O9:O15" r:id="rId2" display="IR0528" xr:uid="{9B703FE6-9CB9-42A7-B271-86B47847DF01}"/>
    <hyperlink ref="O4" r:id="rId3" xr:uid="{60230957-29ED-408D-BF42-580AA0046E68}"/>
    <hyperlink ref="O7:O8" r:id="rId4" display="IR0550" xr:uid="{7428E0F2-E703-48E4-947E-AFF5AACCEE91}"/>
    <hyperlink ref="O17:O18" r:id="rId5" display="IR0551" xr:uid="{31C37137-AAB9-4133-B57C-8D3EEA08B648}"/>
    <hyperlink ref="O21:O24" r:id="rId6" display="IR0559" xr:uid="{520BBD59-889E-4CAA-BEAD-C1F10158E0CB}"/>
    <hyperlink ref="O28:O29" r:id="rId7" display="IR0550" xr:uid="{5E629453-E8A5-4369-8637-AB1FB48689C3}"/>
    <hyperlink ref="O30" r:id="rId8" display="https://www.pbo-dpb.gc.ca/web/default/files/Documents/Info%20Requests/2020/IR0462_CIRNAC_COVID-19_Measures_request_e_signed.pdf" xr:uid="{647DE3C0-353D-4D86-B377-46BFC9C5BBF8}"/>
    <hyperlink ref="O30:O32" r:id="rId9" display="IR0462" xr:uid="{8C44CA07-9CD9-4B67-BAA4-3DE19260F6B4}"/>
    <hyperlink ref="O34" r:id="rId10" xr:uid="{512766BD-C76F-4344-8013-E63F88ADF447}"/>
    <hyperlink ref="O36" r:id="rId11" display="https://www.pbo-dpb.gc.ca/web/default/files/Documents/Info%20Requests/2020/IR0470_ISC_COVID-19_Measures_request_e_signed.pdf" xr:uid="{2C580271-E7BE-44D8-B58E-9DB1DFF67857}"/>
    <hyperlink ref="O36:O37" r:id="rId12" display="IR0470" xr:uid="{5E9688F1-B4BA-4D86-B507-9F4F2503F968}"/>
    <hyperlink ref="O36:O38" r:id="rId13" display="IR0470" xr:uid="{8BC2ECE4-C46C-4601-A3B4-B465F4ABC73D}"/>
    <hyperlink ref="O43" r:id="rId14" xr:uid="{4620E562-4AB0-4DCF-B769-DFD6B9272137}"/>
    <hyperlink ref="O47" r:id="rId15" xr:uid="{5E7F0D65-9F59-44F5-A4B0-8D26FA0A468D}"/>
    <hyperlink ref="O43:O44" r:id="rId16" display="IR0523" xr:uid="{3CA026B5-E3F6-4C60-8398-7A3C8336DB40}"/>
    <hyperlink ref="O47:O48" r:id="rId17" display="IR0528" xr:uid="{8C6EA590-6960-48E6-8C55-CF0B466BAABB}"/>
    <hyperlink ref="O41" r:id="rId18" xr:uid="{F2D819BA-B687-4FD1-B0EA-1A0618D37594}"/>
    <hyperlink ref="O53" r:id="rId19" xr:uid="{870ACA58-488A-4601-9C9B-C9F1259D3F6A}"/>
    <hyperlink ref="O56" r:id="rId20" xr:uid="{A5D52470-DCD1-4C20-A898-0F896BB7EDE8}"/>
    <hyperlink ref="O59" r:id="rId21" display="https://www.pbo-dpb.gc.ca/web/default/files/Documents/Info%20Requests/2020/IR0478_CIHR_COVID-19_ltr_e.pdf" xr:uid="{014C5E9B-16C3-4514-B757-66EA5B41BB78}"/>
    <hyperlink ref="O59:O61" r:id="rId22" display="IR0478" xr:uid="{23543D20-8A33-4FB0-A509-59152D76232F}"/>
    <hyperlink ref="O62" r:id="rId23" display="https://www.pbo-dpb.gc.ca/web/default/files/Documents/Info%20Requests/2020/IR0528_PHAC_COVID19_update_request_e.pdf" xr:uid="{074AFA6C-843F-4B5D-B2FA-6D4E904226AB}"/>
    <hyperlink ref="O62:O68" r:id="rId24" display="IR0528" xr:uid="{73DE6E3B-9342-4BB0-B7A4-17768B79DD9D}"/>
    <hyperlink ref="O55" r:id="rId25" xr:uid="{16DE1FBB-A9FC-409C-8170-67A792561752}"/>
    <hyperlink ref="O96" r:id="rId26" xr:uid="{4F37040B-C659-4E5C-8A7E-B428E24977F1}"/>
    <hyperlink ref="O96:O99" r:id="rId27" display="IR0526" xr:uid="{814A0749-D342-4FF7-9FD2-95B8163EE5CA}"/>
    <hyperlink ref="O112" r:id="rId28" xr:uid="{D4C8D435-4B7F-4F5C-9279-329B566C96C6}"/>
    <hyperlink ref="O112:O113" r:id="rId29" display="IR0468" xr:uid="{C85C3B5F-91C1-4AA6-8416-597C34B21EC9}"/>
    <hyperlink ref="O115" r:id="rId30" xr:uid="{DF55FC85-CEEA-4920-A6AE-7BC71CAFD97A}"/>
    <hyperlink ref="O130" r:id="rId31" xr:uid="{6530ECA0-61FF-4966-A360-83D953739B64}"/>
    <hyperlink ref="O135" r:id="rId32" display="https://www.pbo-dpb.gc.ca/web/default/files/Documents/Info%20Requests/2020/IR0456_AAFC_COVID-19_Allocations_request_e_signed.pdf" xr:uid="{2F157B90-9258-44A6-A183-97A513DBE4B6}"/>
    <hyperlink ref="O135:O136" r:id="rId33" display="IR0456" xr:uid="{E76FE1B1-3642-4989-B1BF-8277769DF1EA}"/>
    <hyperlink ref="O137:O138" r:id="rId34" display="IR0549" xr:uid="{167AE3B7-1E6F-4701-B455-26414E0DD03A}"/>
    <hyperlink ref="O140:O142" r:id="rId35" display="IR0549" xr:uid="{61E7EB19-550D-40B0-ADE3-AE73731897B5}"/>
    <hyperlink ref="O146" r:id="rId36" xr:uid="{82B32398-6BA2-4881-89C4-B2E0E4F6EB9A}"/>
    <hyperlink ref="O146:O151" r:id="rId37" display="IR0486" xr:uid="{5D89B456-458D-4954-AFDD-BC704B7D618E}"/>
    <hyperlink ref="O157" r:id="rId38" display="https://www.pbo-dpb.gc.ca/web/default/files/Documents/Info%20Requests/2020/IR0529_PSEP_COVID19_update_request_e.pdf" xr:uid="{8A2E00BE-503F-4393-A49D-9E854BF1F781}"/>
    <hyperlink ref="O157:O161" r:id="rId39" display="IR0529" xr:uid="{239FB51F-B46E-435A-A4EB-0E528E17F700}"/>
    <hyperlink ref="O163" r:id="rId40" xr:uid="{C670F989-111D-4FEA-9027-46F41265474F}"/>
    <hyperlink ref="O167" r:id="rId41" xr:uid="{6B90C7B3-D49C-4D15-8238-4FB194D21DC9}"/>
    <hyperlink ref="O171" r:id="rId42" xr:uid="{93B68D8F-2B64-457A-8E83-BB9D03DE19DF}"/>
    <hyperlink ref="O176" r:id="rId43" xr:uid="{D812A2FD-628F-4421-88AE-8CCAB2ADEDC7}"/>
    <hyperlink ref="O179" r:id="rId44" xr:uid="{60B84070-848C-462D-A010-CE307A55300E}"/>
    <hyperlink ref="O181" r:id="rId45" xr:uid="{B50998DE-B148-4718-B7B2-807169C28F3C}"/>
    <hyperlink ref="O183" r:id="rId46" xr:uid="{0B8E8E5D-99EB-4916-9F90-1D7A1883639E}"/>
    <hyperlink ref="O186" r:id="rId47" xr:uid="{A88E7AEA-5126-429C-8A7F-E877304A47F9}"/>
    <hyperlink ref="O189" r:id="rId48" xr:uid="{5FAD3A2B-C35D-4D82-8972-2257344286FF}"/>
    <hyperlink ref="O180" r:id="rId49" xr:uid="{F45124C0-15FC-42CC-BEFA-9BDF6F4B4A54}"/>
    <hyperlink ref="O189:O191" r:id="rId50" display="IR0468" xr:uid="{6E07E1CF-CE3D-4242-BF26-D1063397D7BE}"/>
    <hyperlink ref="O182" r:id="rId51" xr:uid="{4036D1C6-5614-4346-883C-F1A47ADD6762}"/>
    <hyperlink ref="O196" r:id="rId52" xr:uid="{7FB11F5E-2464-4BF8-AAD3-2F807320B88A}"/>
    <hyperlink ref="O197:O199" r:id="rId53" display="IR0467" xr:uid="{188320F2-7C3F-4D91-90F7-8D282C6E0C25}"/>
    <hyperlink ref="O197" r:id="rId54" display="IR0477" xr:uid="{11A6252A-229B-4BFE-8F16-F81009BC0B4B}"/>
    <hyperlink ref="O83" r:id="rId55" xr:uid="{52EF3BC5-4B10-4BA4-9CEB-B34765D4336F}"/>
    <hyperlink ref="O126" r:id="rId56" xr:uid="{44A32F69-23B7-4EBB-AC5F-2371886F64D2}"/>
    <hyperlink ref="O71" r:id="rId57" xr:uid="{91E69CC6-AF82-4D76-9209-9BBCC60D2A50}"/>
    <hyperlink ref="O71:O72" r:id="rId58" display="IR0530" xr:uid="{341F8542-2415-4886-A708-0CA4472648ED}"/>
    <hyperlink ref="O79:O80" r:id="rId59" display="IR0551" xr:uid="{30A9BE50-020F-4C8A-962C-DCD77239E387}"/>
    <hyperlink ref="O76" r:id="rId60" xr:uid="{D6112CB6-B59A-4D84-B6A0-54248115EB7C}"/>
    <hyperlink ref="F196" r:id="rId61" xr:uid="{B24B26F8-E20C-4205-8A8E-7376280DC188}"/>
    <hyperlink ref="O104" r:id="rId62" xr:uid="{0ABC8F49-35DB-42C6-8EE7-DA56BA4F7E78}"/>
    <hyperlink ref="O134" r:id="rId63" xr:uid="{E53AED5B-5233-4753-8561-FA0FFF6DA56F}"/>
    <hyperlink ref="O120:O121" r:id="rId64" display="IR0550" xr:uid="{935BD636-65CD-4C97-BC0B-CF44DDF0C17A}"/>
    <hyperlink ref="O174" r:id="rId65" xr:uid="{BB82FF96-00EA-4AE1-B2B5-1E4B3D905A4F}"/>
    <hyperlink ref="O101" r:id="rId66" xr:uid="{82051895-D78C-4C2C-A7EE-24A2699EF2D6}"/>
    <hyperlink ref="O110" r:id="rId67" xr:uid="{3448CC01-B75A-4FA1-B573-8D16C078E1B9}"/>
    <hyperlink ref="O133" r:id="rId68" xr:uid="{8B51C8F8-D465-4DBF-A27C-C27BCAE1DF43}"/>
    <hyperlink ref="O193" r:id="rId69" xr:uid="{FF9DF300-C81F-4628-BBFD-9FAF829C346A}"/>
    <hyperlink ref="O193:O195" r:id="rId70" display="IR0468" xr:uid="{E3D8FDB0-B377-4E57-A805-D435404B9B6D}"/>
    <hyperlink ref="O184" r:id="rId71" xr:uid="{7456803E-2D46-4E1C-93F4-A9F50845C1CC}"/>
    <hyperlink ref="O153" r:id="rId72" xr:uid="{0B8C7C4B-9BD6-4BF5-982F-A723119D6089}"/>
    <hyperlink ref="O121" r:id="rId73" xr:uid="{4C85E74B-5ABB-4DB6-A66C-0EF57EB2C206}"/>
    <hyperlink ref="O91" r:id="rId74" xr:uid="{BC3A1B85-BB18-41A4-B724-F2A98C110497}"/>
    <hyperlink ref="O91:O94" r:id="rId75" display="IR0526" xr:uid="{E775A274-639A-4CFD-8CFC-4E21D0AF60E3}"/>
    <hyperlink ref="O168" r:id="rId76" xr:uid="{A2D1E5B4-A9BD-446D-B8CF-A217BFBAA368}"/>
    <hyperlink ref="P7:P8" r:id="rId77" display="Données du SCT: Estimation des dépenses du Plan d’intervention économique pour répondre à la COVID-19 " xr:uid="{8EECC93B-D860-45DE-BB2C-A15EE0533475}"/>
    <hyperlink ref="P25:P26" r:id="rId78" display="Données du SCT: Estimation des dépenses du Plan d’intervention économique pour répondre à la COVID-19 " xr:uid="{60034CCE-35E3-4AB1-B24C-56345D0DF45F}"/>
    <hyperlink ref="P17:P20" r:id="rId79" display="Données du SCT: Estimation des dépenses du Plan d’intervention économique pour répondre à la COVID-19 " xr:uid="{7038B279-7A13-4D2A-BDC9-48C02EF8DA79}"/>
    <hyperlink ref="P21:P24" r:id="rId80" display="Données du SCT: Estimation des dépenses du Plan d’intervention économique pour répondre à la COVID-19 " xr:uid="{EF255508-BB4A-461A-A338-1417D4520810}"/>
    <hyperlink ref="P30:P33" r:id="rId81" display="Données du SCT: Estimation des dépenses du Plan d’intervention économique pour répondre à la COVID-19 " xr:uid="{8820A726-79A6-4463-9FA1-54C09614032E}"/>
    <hyperlink ref="P36:P40" r:id="rId82" display="Données du SCT: Estimation des dépenses du Plan d’intervention économique pour répondre à la COVID-19 " xr:uid="{2F8DED3B-4AD4-454B-B119-4EF83E07DBF2}"/>
    <hyperlink ref="P41:P42" r:id="rId83" display="Données du SCT: Estimation des dépenses du Plan d’intervention économique pour répondre à la COVID-19 " xr:uid="{EC3E3164-BC02-4F68-9C9D-F4ECF0C93E9C}"/>
    <hyperlink ref="P43:P46" r:id="rId84" display="Données du SCT: Estimation des dépenses du Plan d’intervention économique pour répondre à la COVID-19 " xr:uid="{116A93F5-C446-4B07-AE64-52C8A5A7B4E6}"/>
    <hyperlink ref="P56" r:id="rId85" xr:uid="{324C64D2-DB18-496E-8DBC-0BBD6B5C3A09}"/>
    <hyperlink ref="P79:P82" r:id="rId86" display="Données du SCT: Estimation des dépenses du Plan d’intervention économique pour répondre à la COVID-19 " xr:uid="{27F1FB88-40FC-4C50-BBFD-A664FDABD8BB}"/>
    <hyperlink ref="P91:P94" r:id="rId87" display="Données du SCT: Estimation des dépenses du Plan d’intervention économique pour répondre à la COVID-19 " xr:uid="{16F6E67C-2B2A-4856-BCDA-BB56D07947D6}"/>
    <hyperlink ref="P96:P99" r:id="rId88" display="Données du SCT: Estimation des dépenses du Plan d’intervention économique pour répondre à la COVID-19 " xr:uid="{1BC52D46-06CF-4E90-AAAF-8AC7B8D7B718}"/>
    <hyperlink ref="P53" r:id="rId89" xr:uid="{72D7233D-485A-48EC-B6E3-6CAC4FF8CD79}"/>
    <hyperlink ref="P115:P116" r:id="rId90" display="Données du SCT: Estimation des dépenses du Plan d’intervention économique pour répondre à la COVID-19 " xr:uid="{A3F3DC21-240C-4AC4-8D8C-5940116BD776}"/>
    <hyperlink ref="P124:P125" r:id="rId91" display="Données du SCT: Estimation des dépenses du Plan d’intervention économique pour répondre à la COVID-19 " xr:uid="{A5A13B13-8036-4AD8-9A2F-F9D82D3EFC7F}"/>
    <hyperlink ref="P133" r:id="rId92" xr:uid="{3494C802-DB31-475C-AACB-82DEA13854F8}"/>
    <hyperlink ref="P137:P138" r:id="rId93" display="Données du SCT: Estimation des dépenses du Plan d’intervention économique pour répondre à la COVID-19 " xr:uid="{F4249EA1-9EB2-4AB7-B67D-44CE34E39E18}"/>
    <hyperlink ref="P140:P142" r:id="rId94" display="Données du SCT: Estimation des dépenses du Plan d’intervention économique pour répondre à la COVID-19 " xr:uid="{512D8A5C-3BF7-4D89-9B77-2064AD848B0D}"/>
    <hyperlink ref="P163:P166" r:id="rId95" display="Données du SCT: Estimation des dépenses du Plan d’intervention économique pour répondre à la COVID-19 " xr:uid="{CCB85E55-B6E7-468E-8D92-6F4ABFA1D3ED}"/>
    <hyperlink ref="P146:P151" r:id="rId96" display="Données du SCT: Estimation des dépenses du Plan d’intervention économique pour répondre à la COVID-19 " xr:uid="{0629CBAD-C478-4556-AD5B-D159099BAF13}"/>
    <hyperlink ref="P157:P161" r:id="rId97" display="Données du SCT: Estimation des dépenses du Plan d’intervention économique pour répondre à la COVID-19 " xr:uid="{9B31B2CC-827D-4C28-8110-00B48B43C2E3}"/>
    <hyperlink ref="P171:P173" r:id="rId98" display="Données du SCT: Estimation des dépenses du Plan d’intervention économique pour répondre à la COVID-19 " xr:uid="{2261FC81-B154-4824-A986-7E294CD42426}"/>
    <hyperlink ref="P182" r:id="rId99" xr:uid="{36E7F9DC-6744-4391-BED5-D86D554CE3E3}"/>
    <hyperlink ref="P183" r:id="rId100" xr:uid="{AC513720-47CA-4029-93E9-B6437F2AF614}"/>
    <hyperlink ref="P184:P185" r:id="rId101" display="Données du SCT: Estimation des dépenses du Plan d’intervention économique pour répondre à la COVID-19 " xr:uid="{D33A6DE6-C6C9-439B-80F0-3A94E2B295E4}"/>
    <hyperlink ref="P186:P188" r:id="rId102" display="Données du SCT: Estimation des dépenses du Plan d’intervention économique pour répondre à la COVID-19 " xr:uid="{6A19CFB8-5931-4A21-B9F7-7E045F2C6B97}"/>
    <hyperlink ref="P197:P199" r:id="rId103" display="Données du SCT: Estimation des dépenses du Plan d’intervention économique pour répondre à la COVID-19 " xr:uid="{943BBFB4-3669-4CA2-8DAE-77D3CC7D93ED}"/>
    <hyperlink ref="P71:P74" r:id="rId104" display="Données du SCT: Estimation des dépenses du Plan d’intervention économique pour répondre à la COVID-19 " xr:uid="{5587DB68-D614-49D5-8D8E-3A665FA3C95B}"/>
    <hyperlink ref="P192" r:id="rId105" xr:uid="{1C0B014E-87F4-4D82-AD8C-532733FEDB19}"/>
    <hyperlink ref="O70" r:id="rId106" xr:uid="{F550DD8B-0AD1-4513-BF8B-CFD9F0EBF2D3}"/>
    <hyperlink ref="O118" r:id="rId107" xr:uid="{FE5B7AE9-8DAB-47DA-9A01-4A0E2A9EEF52}"/>
    <hyperlink ref="P53:P54" r:id="rId108" display="Données du SCT: Estimation des dépenses du Plan d’intervention économique pour répondre à la COVID-19 " xr:uid="{CCA72315-7029-4E42-AE36-E0920D0F3F98}"/>
    <hyperlink ref="P56:P58" r:id="rId109" display="Données du SCT: Estimation des dépenses du Plan d’intervention économique pour répondre à la COVID-19 " xr:uid="{E1F83D05-7C3C-4549-BD79-80C3B2995385}"/>
    <hyperlink ref="P135:P136" r:id="rId110" display="Données du SCT: Estimation des dépenses du Plan d’intervention économique pour répondre à la COVID-19 " xr:uid="{F8C40F8D-159D-496E-83CD-6DFFB8E43EAE}"/>
    <hyperlink ref="P130:P132" r:id="rId111" display="Données du SCT: Estimation des dépenses du Plan d’intervention économique pour répondre à la COVID-19 " xr:uid="{E1388C10-6A82-445D-8982-757F3F6B5588}"/>
    <hyperlink ref="P28:P29" r:id="rId112" display="Données du SCT: Estimation des dépenses du Plan d’intervention économique pour répondre à la COVID-19 " xr:uid="{FDBF98F7-312B-47BB-BE22-4BE4D8159224}"/>
    <hyperlink ref="P152" r:id="rId113" xr:uid="{92AABD5A-4438-4886-8791-A881DD1E4535}"/>
    <hyperlink ref="P107:P108" r:id="rId114" display="Données du SCT: Estimation des dépenses du Plan d’intervention économique pour répondre à la COVID-19 " xr:uid="{B063611F-AB71-4ED9-8CB6-4260F512A759}"/>
    <hyperlink ref="P181" r:id="rId115" xr:uid="{853D4316-D595-4D61-860B-4CDAC341C568}"/>
    <hyperlink ref="P34:P35" r:id="rId116" display="Données du SCT: Estimation des dépenses du Plan d’intervention économique pour répondre à la COVID-19 " xr:uid="{4865E506-5FC4-4EC1-98BC-6E8ED4796554}"/>
    <hyperlink ref="P110:P111" r:id="rId117" display="Données du SCT: Estimation des dépenses du Plan d’intervention économique pour répondre à la COVID-19 " xr:uid="{6EB17113-8DBA-405C-AD1C-AF790AE8FC60}"/>
    <hyperlink ref="P139" r:id="rId118" xr:uid="{D8C10250-9450-426D-8F65-F11508E09C53}"/>
    <hyperlink ref="P76" r:id="rId119" xr:uid="{8BAC7565-3A20-4823-80EA-F5AE39EE600B}"/>
    <hyperlink ref="P117" r:id="rId120" xr:uid="{8A5E63EA-6BB3-4B5D-8B50-F795D475779A}"/>
    <hyperlink ref="P114" r:id="rId121" xr:uid="{1B8ADB38-C38A-40F1-B175-B29BE177C8F6}"/>
    <hyperlink ref="P169" r:id="rId122" xr:uid="{23291FC6-BB88-436F-A3B8-55B303CF44CB}"/>
    <hyperlink ref="O123" r:id="rId123" xr:uid="{FE6723BB-3C5F-4AE7-A2CF-97721669A416}"/>
    <hyperlink ref="O201" r:id="rId124" xr:uid="{112BC49E-9553-461F-9BD6-269DEF8BBEC8}"/>
    <hyperlink ref="O203" r:id="rId125" xr:uid="{E961945B-1F19-423F-8646-C484DEEDC1B4}"/>
    <hyperlink ref="P4" r:id="rId126" xr:uid="{0E4D5E4E-5907-483B-A599-209F974033DC}"/>
    <hyperlink ref="P4:P6" r:id="rId127" display="Données du SCT: Estimation des dépenses du Plan d’intervention économique pour répondre à la COVID-19 " xr:uid="{8AEA362D-7495-4756-8166-483FB236F6F4}"/>
    <hyperlink ref="P59" r:id="rId128" xr:uid="{D99BA335-2E17-4AB0-9532-6D3D596F1A40}"/>
    <hyperlink ref="P59:P61" r:id="rId129" display="Données du SCT: Estimation des dépenses du Plan d’intervention économique pour répondre à la COVID-19 " xr:uid="{D0D30251-98F7-4630-A09A-AAD939D00105}"/>
    <hyperlink ref="P180" r:id="rId130" xr:uid="{BF3095BF-0A45-483E-8ADA-F0B3B39AC0B0}"/>
    <hyperlink ref="P179" r:id="rId131" xr:uid="{5F134CD4-4B94-47AD-9D53-63B4A8477ED9}"/>
  </hyperlinks>
  <pageMargins left="0.7" right="0.7" top="0.75" bottom="0.75" header="0.3" footer="0.3"/>
  <pageSetup orientation="portrait" r:id="rId1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92A6-9CA6-4C91-8D4F-C56CF7D6786B}">
  <sheetPr>
    <tabColor theme="4"/>
  </sheetPr>
  <dimension ref="A1:R338"/>
  <sheetViews>
    <sheetView showGridLines="0" zoomScale="70" zoomScaleNormal="70" workbookViewId="0"/>
  </sheetViews>
  <sheetFormatPr defaultRowHeight="15" x14ac:dyDescent="0.25"/>
  <cols>
    <col min="1" max="1" width="68.28515625" bestFit="1" customWidth="1"/>
    <col min="2" max="2" width="63.42578125" bestFit="1" customWidth="1"/>
    <col min="3" max="3" width="24.42578125" bestFit="1" customWidth="1"/>
    <col min="4" max="4" width="35.140625" customWidth="1"/>
    <col min="5" max="5" width="25" customWidth="1"/>
    <col min="6" max="6" width="56.5703125" customWidth="1"/>
    <col min="7" max="7" width="32.42578125" bestFit="1" customWidth="1"/>
    <col min="8" max="8" width="54.85546875" bestFit="1" customWidth="1"/>
    <col min="9" max="9" width="24.42578125" bestFit="1" customWidth="1"/>
    <col min="10" max="10" width="35.140625" customWidth="1"/>
    <col min="11" max="11" width="25" customWidth="1"/>
    <col min="12" max="12" width="56.5703125" customWidth="1"/>
    <col min="13" max="13" width="32.42578125" bestFit="1" customWidth="1"/>
    <col min="14" max="14" width="39.140625" bestFit="1" customWidth="1"/>
    <col min="15" max="15" width="39.42578125" bestFit="1" customWidth="1"/>
    <col min="16" max="16" width="36.42578125" customWidth="1"/>
    <col min="17" max="17" width="68.28515625" customWidth="1"/>
    <col min="18" max="18" width="26.85546875" customWidth="1"/>
  </cols>
  <sheetData>
    <row r="1" spans="1:18" ht="15.75" thickBot="1" x14ac:dyDescent="0.3">
      <c r="A1" s="23" t="s">
        <v>64</v>
      </c>
      <c r="B1" s="23"/>
      <c r="D1" s="1"/>
      <c r="H1" s="23"/>
      <c r="J1" s="1"/>
    </row>
    <row r="2" spans="1:18" ht="15.75" thickBot="1" x14ac:dyDescent="0.3">
      <c r="A2" s="1"/>
      <c r="B2" s="509" t="s">
        <v>476</v>
      </c>
      <c r="C2" s="510"/>
      <c r="D2" s="510"/>
      <c r="E2" s="510"/>
      <c r="F2" s="510"/>
      <c r="G2" s="511"/>
      <c r="H2" s="509" t="s">
        <v>477</v>
      </c>
      <c r="I2" s="510"/>
      <c r="J2" s="510"/>
      <c r="K2" s="510"/>
      <c r="L2" s="510"/>
      <c r="M2" s="511"/>
    </row>
    <row r="3" spans="1:18" ht="17.25" x14ac:dyDescent="0.25">
      <c r="A3" s="24" t="s">
        <v>330</v>
      </c>
      <c r="B3" s="92" t="s">
        <v>360</v>
      </c>
      <c r="C3" s="25" t="s">
        <v>473</v>
      </c>
      <c r="D3" s="25" t="s">
        <v>80</v>
      </c>
      <c r="E3" s="25" t="s">
        <v>471</v>
      </c>
      <c r="F3" s="25" t="s">
        <v>326</v>
      </c>
      <c r="G3" s="25" t="s">
        <v>472</v>
      </c>
      <c r="H3" s="92" t="s">
        <v>510</v>
      </c>
      <c r="I3" s="25" t="s">
        <v>474</v>
      </c>
      <c r="J3" s="25" t="s">
        <v>80</v>
      </c>
      <c r="K3" s="25" t="s">
        <v>471</v>
      </c>
      <c r="L3" s="25" t="s">
        <v>326</v>
      </c>
      <c r="M3" s="25" t="s">
        <v>475</v>
      </c>
      <c r="N3" s="26" t="s">
        <v>81</v>
      </c>
      <c r="O3" s="26" t="s">
        <v>82</v>
      </c>
      <c r="P3" s="26" t="s">
        <v>83</v>
      </c>
      <c r="Q3" s="26" t="s">
        <v>84</v>
      </c>
      <c r="R3" s="27" t="s">
        <v>85</v>
      </c>
    </row>
    <row r="4" spans="1:18" ht="133.5" customHeight="1" x14ac:dyDescent="0.25">
      <c r="A4" s="229" t="s">
        <v>216</v>
      </c>
      <c r="B4" s="101">
        <v>84590</v>
      </c>
      <c r="C4" s="206" t="s">
        <v>88</v>
      </c>
      <c r="D4" s="235" t="s">
        <v>89</v>
      </c>
      <c r="E4" s="206" t="s">
        <v>90</v>
      </c>
      <c r="F4" s="235" t="s">
        <v>344</v>
      </c>
      <c r="G4" s="241" t="s">
        <v>90</v>
      </c>
      <c r="H4" s="311">
        <v>25955</v>
      </c>
      <c r="I4" s="283"/>
      <c r="J4" s="283"/>
      <c r="K4" s="283"/>
      <c r="L4" s="283"/>
      <c r="M4" s="283"/>
      <c r="N4" s="262" t="s">
        <v>91</v>
      </c>
      <c r="O4" s="261" t="s">
        <v>27</v>
      </c>
      <c r="P4" s="266" t="s">
        <v>217</v>
      </c>
      <c r="Q4" s="267" t="s">
        <v>613</v>
      </c>
      <c r="R4" s="252" t="s">
        <v>614</v>
      </c>
    </row>
    <row r="5" spans="1:18" s="29" customFormat="1" ht="29.25" customHeight="1" x14ac:dyDescent="0.25">
      <c r="A5" s="229" t="s">
        <v>336</v>
      </c>
      <c r="B5" s="202">
        <v>3240</v>
      </c>
      <c r="C5" s="102" t="s">
        <v>88</v>
      </c>
      <c r="D5" s="235" t="s">
        <v>158</v>
      </c>
      <c r="E5" s="206" t="s">
        <v>90</v>
      </c>
      <c r="F5" s="213"/>
      <c r="G5" s="241" t="s">
        <v>90</v>
      </c>
      <c r="H5" s="202">
        <v>9806</v>
      </c>
      <c r="I5" s="102"/>
      <c r="J5" s="235"/>
      <c r="K5" s="206"/>
      <c r="L5" s="213"/>
      <c r="M5" s="241"/>
      <c r="N5" s="206" t="s">
        <v>91</v>
      </c>
      <c r="O5" s="207" t="s">
        <v>386</v>
      </c>
      <c r="P5" s="412" t="s">
        <v>688</v>
      </c>
      <c r="Q5" s="427" t="s">
        <v>689</v>
      </c>
      <c r="R5" s="110" t="s">
        <v>614</v>
      </c>
    </row>
    <row r="6" spans="1:18" s="29" customFormat="1" ht="30" x14ac:dyDescent="0.25">
      <c r="A6" s="229" t="s">
        <v>218</v>
      </c>
      <c r="B6" s="96">
        <v>5</v>
      </c>
      <c r="C6" s="206" t="s">
        <v>88</v>
      </c>
      <c r="D6" s="235" t="s">
        <v>158</v>
      </c>
      <c r="E6" s="206" t="s">
        <v>90</v>
      </c>
      <c r="F6" s="225" t="s">
        <v>346</v>
      </c>
      <c r="G6" s="241" t="s">
        <v>90</v>
      </c>
      <c r="H6" s="312">
        <v>-1</v>
      </c>
      <c r="I6" s="206"/>
      <c r="J6" s="235"/>
      <c r="K6" s="206"/>
      <c r="L6" s="225"/>
      <c r="M6" s="241"/>
      <c r="N6" s="206" t="s">
        <v>91</v>
      </c>
      <c r="O6" s="207" t="s">
        <v>8</v>
      </c>
      <c r="P6" s="235" t="s">
        <v>92</v>
      </c>
      <c r="Q6" s="226" t="s">
        <v>179</v>
      </c>
      <c r="R6" s="205" t="s">
        <v>347</v>
      </c>
    </row>
    <row r="7" spans="1:18" s="29" customFormat="1" ht="105" x14ac:dyDescent="0.25">
      <c r="A7" s="450" t="s">
        <v>219</v>
      </c>
      <c r="B7" s="626">
        <v>14462</v>
      </c>
      <c r="C7" s="206" t="s">
        <v>398</v>
      </c>
      <c r="D7" s="235" t="s">
        <v>158</v>
      </c>
      <c r="E7" s="206" t="s">
        <v>170</v>
      </c>
      <c r="F7" s="235" t="s">
        <v>467</v>
      </c>
      <c r="G7" s="241">
        <v>10095</v>
      </c>
      <c r="H7" s="626">
        <v>12332</v>
      </c>
      <c r="I7" s="212" t="s">
        <v>478</v>
      </c>
      <c r="J7" s="235" t="s">
        <v>158</v>
      </c>
      <c r="K7" s="206" t="s">
        <v>170</v>
      </c>
      <c r="L7" s="235" t="s">
        <v>500</v>
      </c>
      <c r="M7" s="241">
        <v>3430</v>
      </c>
      <c r="N7" s="177" t="s">
        <v>426</v>
      </c>
      <c r="O7" s="206" t="s">
        <v>90</v>
      </c>
      <c r="P7" s="207" t="s">
        <v>376</v>
      </c>
      <c r="Q7" s="227" t="s">
        <v>615</v>
      </c>
      <c r="R7" s="210" t="s">
        <v>616</v>
      </c>
    </row>
    <row r="8" spans="1:18" s="29" customFormat="1" ht="60" x14ac:dyDescent="0.25">
      <c r="A8" s="452"/>
      <c r="B8" s="627"/>
      <c r="C8" s="206" t="s">
        <v>88</v>
      </c>
      <c r="D8" s="235" t="s">
        <v>172</v>
      </c>
      <c r="E8" s="206" t="s">
        <v>90</v>
      </c>
      <c r="F8" s="235" t="s">
        <v>90</v>
      </c>
      <c r="G8" s="241" t="s">
        <v>90</v>
      </c>
      <c r="H8" s="627"/>
      <c r="I8" s="212" t="s">
        <v>130</v>
      </c>
      <c r="J8" s="135" t="s">
        <v>158</v>
      </c>
      <c r="K8" s="177" t="s">
        <v>170</v>
      </c>
      <c r="L8" s="336" t="s">
        <v>655</v>
      </c>
      <c r="M8" s="357">
        <v>8902</v>
      </c>
      <c r="N8" s="177" t="s">
        <v>426</v>
      </c>
      <c r="O8" s="206" t="s">
        <v>90</v>
      </c>
      <c r="P8" s="216" t="s">
        <v>454</v>
      </c>
      <c r="Q8" s="227" t="s">
        <v>604</v>
      </c>
      <c r="R8" s="210" t="s">
        <v>513</v>
      </c>
    </row>
    <row r="9" spans="1:18" ht="75" x14ac:dyDescent="0.25">
      <c r="A9" s="450" t="s">
        <v>220</v>
      </c>
      <c r="B9" s="493">
        <f>456</f>
        <v>456</v>
      </c>
      <c r="C9" s="437" t="s">
        <v>398</v>
      </c>
      <c r="D9" s="431" t="s">
        <v>158</v>
      </c>
      <c r="E9" s="431" t="s">
        <v>170</v>
      </c>
      <c r="F9" s="431" t="s">
        <v>467</v>
      </c>
      <c r="G9" s="434">
        <v>780</v>
      </c>
      <c r="H9" s="628">
        <f>282</f>
        <v>282</v>
      </c>
      <c r="I9" s="212" t="s">
        <v>478</v>
      </c>
      <c r="J9" s="235" t="s">
        <v>158</v>
      </c>
      <c r="K9" s="206" t="s">
        <v>170</v>
      </c>
      <c r="L9" s="235" t="s">
        <v>500</v>
      </c>
      <c r="M9" s="241">
        <v>2380</v>
      </c>
      <c r="N9" s="624" t="s">
        <v>426</v>
      </c>
      <c r="O9" s="624" t="s">
        <v>90</v>
      </c>
      <c r="P9" s="467" t="s">
        <v>377</v>
      </c>
      <c r="Q9" s="473" t="s">
        <v>617</v>
      </c>
      <c r="R9" s="455" t="s">
        <v>616</v>
      </c>
    </row>
    <row r="10" spans="1:18" ht="30" x14ac:dyDescent="0.25">
      <c r="A10" s="452"/>
      <c r="B10" s="495"/>
      <c r="C10" s="438"/>
      <c r="D10" s="433"/>
      <c r="E10" s="433"/>
      <c r="F10" s="433"/>
      <c r="G10" s="436"/>
      <c r="H10" s="629"/>
      <c r="I10" s="323" t="s">
        <v>130</v>
      </c>
      <c r="J10" s="135" t="s">
        <v>158</v>
      </c>
      <c r="K10" s="177" t="s">
        <v>170</v>
      </c>
      <c r="L10" s="336" t="s">
        <v>655</v>
      </c>
      <c r="M10" s="357">
        <v>-2098</v>
      </c>
      <c r="N10" s="625"/>
      <c r="O10" s="625"/>
      <c r="P10" s="469"/>
      <c r="Q10" s="475"/>
      <c r="R10" s="457"/>
    </row>
    <row r="11" spans="1:18" ht="75" x14ac:dyDescent="0.25">
      <c r="A11" s="450" t="s">
        <v>221</v>
      </c>
      <c r="B11" s="493">
        <v>1953</v>
      </c>
      <c r="C11" s="437" t="s">
        <v>398</v>
      </c>
      <c r="D11" s="431" t="s">
        <v>158</v>
      </c>
      <c r="E11" s="431" t="s">
        <v>170</v>
      </c>
      <c r="F11" s="431" t="s">
        <v>467</v>
      </c>
      <c r="G11" s="434">
        <v>2897</v>
      </c>
      <c r="H11" s="628">
        <v>1593</v>
      </c>
      <c r="I11" s="212" t="s">
        <v>478</v>
      </c>
      <c r="J11" s="235" t="s">
        <v>158</v>
      </c>
      <c r="K11" s="206" t="s">
        <v>170</v>
      </c>
      <c r="L11" s="235" t="s">
        <v>500</v>
      </c>
      <c r="M11" s="241">
        <v>4525</v>
      </c>
      <c r="N11" s="624" t="s">
        <v>426</v>
      </c>
      <c r="O11" s="624" t="s">
        <v>90</v>
      </c>
      <c r="P11" s="467" t="s">
        <v>378</v>
      </c>
      <c r="Q11" s="473" t="s">
        <v>618</v>
      </c>
      <c r="R11" s="455" t="s">
        <v>616</v>
      </c>
    </row>
    <row r="12" spans="1:18" ht="30" x14ac:dyDescent="0.25">
      <c r="A12" s="452"/>
      <c r="B12" s="495"/>
      <c r="C12" s="438"/>
      <c r="D12" s="433"/>
      <c r="E12" s="433"/>
      <c r="F12" s="433"/>
      <c r="G12" s="436"/>
      <c r="H12" s="629"/>
      <c r="I12" s="323" t="s">
        <v>130</v>
      </c>
      <c r="J12" s="135" t="s">
        <v>158</v>
      </c>
      <c r="K12" s="177" t="s">
        <v>170</v>
      </c>
      <c r="L12" s="336" t="s">
        <v>655</v>
      </c>
      <c r="M12" s="354">
        <v>-2932</v>
      </c>
      <c r="N12" s="625"/>
      <c r="O12" s="625"/>
      <c r="P12" s="469"/>
      <c r="Q12" s="475"/>
      <c r="R12" s="457"/>
    </row>
    <row r="13" spans="1:18" ht="60" customHeight="1" x14ac:dyDescent="0.25">
      <c r="A13" s="229" t="s">
        <v>637</v>
      </c>
      <c r="B13" s="201">
        <v>4065</v>
      </c>
      <c r="C13" s="206" t="s">
        <v>88</v>
      </c>
      <c r="D13" s="235" t="s">
        <v>89</v>
      </c>
      <c r="E13" s="206" t="s">
        <v>90</v>
      </c>
      <c r="F13" s="235" t="s">
        <v>343</v>
      </c>
      <c r="G13" s="241" t="s">
        <v>90</v>
      </c>
      <c r="H13" s="311">
        <v>4340</v>
      </c>
      <c r="I13" s="283"/>
      <c r="J13" s="283"/>
      <c r="K13" s="283"/>
      <c r="L13" s="283"/>
      <c r="M13" s="283"/>
      <c r="N13" s="262" t="s">
        <v>426</v>
      </c>
      <c r="O13" s="262" t="s">
        <v>90</v>
      </c>
      <c r="P13" s="266" t="s">
        <v>420</v>
      </c>
      <c r="Q13" s="267" t="s">
        <v>619</v>
      </c>
      <c r="R13" s="252" t="s">
        <v>614</v>
      </c>
    </row>
    <row r="14" spans="1:18" ht="60" x14ac:dyDescent="0.25">
      <c r="A14" s="229" t="s">
        <v>222</v>
      </c>
      <c r="B14" s="101">
        <v>12618</v>
      </c>
      <c r="C14" s="206" t="s">
        <v>88</v>
      </c>
      <c r="D14" s="235" t="s">
        <v>223</v>
      </c>
      <c r="E14" s="206" t="s">
        <v>90</v>
      </c>
      <c r="F14" s="235" t="s">
        <v>341</v>
      </c>
      <c r="G14" s="241" t="s">
        <v>90</v>
      </c>
      <c r="H14" s="359">
        <f>1205+2</f>
        <v>1207</v>
      </c>
      <c r="I14" s="206" t="s">
        <v>130</v>
      </c>
      <c r="J14" s="400" t="s">
        <v>133</v>
      </c>
      <c r="K14" s="400" t="s">
        <v>131</v>
      </c>
      <c r="L14" s="400" t="s">
        <v>90</v>
      </c>
      <c r="M14" s="374">
        <f>186.50456-117</f>
        <v>69.504559999999998</v>
      </c>
      <c r="N14" s="206" t="s">
        <v>91</v>
      </c>
      <c r="O14" s="207" t="s">
        <v>53</v>
      </c>
      <c r="P14" s="225" t="s">
        <v>111</v>
      </c>
      <c r="Q14" s="227" t="s">
        <v>620</v>
      </c>
      <c r="R14" s="210" t="s">
        <v>621</v>
      </c>
    </row>
    <row r="15" spans="1:18" ht="30" customHeight="1" x14ac:dyDescent="0.25">
      <c r="A15" s="450" t="s">
        <v>419</v>
      </c>
      <c r="B15" s="484">
        <f>666+455.7+287+144.3+165</f>
        <v>1718</v>
      </c>
      <c r="C15" s="206" t="s">
        <v>130</v>
      </c>
      <c r="D15" s="235" t="s">
        <v>224</v>
      </c>
      <c r="E15" s="206" t="s">
        <v>170</v>
      </c>
      <c r="F15" s="235" t="s">
        <v>341</v>
      </c>
      <c r="G15" s="241">
        <v>31</v>
      </c>
      <c r="H15" s="628">
        <f>88</f>
        <v>88</v>
      </c>
      <c r="I15" s="552" t="s">
        <v>130</v>
      </c>
      <c r="J15" s="521" t="s">
        <v>224</v>
      </c>
      <c r="K15" s="552" t="s">
        <v>131</v>
      </c>
      <c r="L15" s="552" t="s">
        <v>90</v>
      </c>
      <c r="M15" s="590">
        <f>0.793805+28.532</f>
        <v>29.325804999999999</v>
      </c>
      <c r="N15" s="437" t="s">
        <v>91</v>
      </c>
      <c r="O15" s="467" t="s">
        <v>20</v>
      </c>
      <c r="P15" s="470" t="s">
        <v>454</v>
      </c>
      <c r="Q15" s="531" t="s">
        <v>554</v>
      </c>
      <c r="R15" s="483" t="s">
        <v>513</v>
      </c>
    </row>
    <row r="16" spans="1:18" ht="30" x14ac:dyDescent="0.25">
      <c r="A16" s="451"/>
      <c r="B16" s="485"/>
      <c r="C16" s="206" t="s">
        <v>130</v>
      </c>
      <c r="D16" s="235" t="s">
        <v>224</v>
      </c>
      <c r="E16" s="206" t="s">
        <v>131</v>
      </c>
      <c r="F16" s="235" t="s">
        <v>90</v>
      </c>
      <c r="G16" s="241">
        <v>35.580812000000002</v>
      </c>
      <c r="H16" s="640"/>
      <c r="I16" s="552"/>
      <c r="J16" s="521"/>
      <c r="K16" s="552"/>
      <c r="L16" s="552"/>
      <c r="M16" s="590"/>
      <c r="N16" s="446"/>
      <c r="O16" s="468"/>
      <c r="P16" s="471"/>
      <c r="Q16" s="531"/>
      <c r="R16" s="483"/>
    </row>
    <row r="17" spans="1:18" ht="30" x14ac:dyDescent="0.25">
      <c r="A17" s="451"/>
      <c r="B17" s="485"/>
      <c r="C17" s="206" t="s">
        <v>136</v>
      </c>
      <c r="D17" s="235" t="s">
        <v>224</v>
      </c>
      <c r="E17" s="206" t="s">
        <v>131</v>
      </c>
      <c r="F17" s="235" t="s">
        <v>90</v>
      </c>
      <c r="G17" s="241">
        <f>0.354884+41.778</f>
        <v>42.132883999999997</v>
      </c>
      <c r="H17" s="640"/>
      <c r="I17" s="552"/>
      <c r="J17" s="521"/>
      <c r="K17" s="552"/>
      <c r="L17" s="552"/>
      <c r="M17" s="590"/>
      <c r="N17" s="446"/>
      <c r="O17" s="468"/>
      <c r="P17" s="471"/>
      <c r="Q17" s="531"/>
      <c r="R17" s="483"/>
    </row>
    <row r="18" spans="1:18" ht="30" customHeight="1" x14ac:dyDescent="0.25">
      <c r="A18" s="451"/>
      <c r="B18" s="485"/>
      <c r="C18" s="206" t="s">
        <v>398</v>
      </c>
      <c r="D18" s="235" t="s">
        <v>224</v>
      </c>
      <c r="E18" s="206" t="s">
        <v>170</v>
      </c>
      <c r="F18" s="235" t="s">
        <v>502</v>
      </c>
      <c r="G18" s="241">
        <v>10.5</v>
      </c>
      <c r="H18" s="640"/>
      <c r="I18" s="552" t="s">
        <v>130</v>
      </c>
      <c r="J18" s="521" t="s">
        <v>224</v>
      </c>
      <c r="K18" s="552" t="s">
        <v>131</v>
      </c>
      <c r="L18" s="552" t="s">
        <v>90</v>
      </c>
      <c r="M18" s="590">
        <v>5</v>
      </c>
      <c r="N18" s="446"/>
      <c r="O18" s="468"/>
      <c r="P18" s="471"/>
      <c r="Q18" s="531"/>
      <c r="R18" s="483"/>
    </row>
    <row r="19" spans="1:18" ht="30" x14ac:dyDescent="0.25">
      <c r="A19" s="451"/>
      <c r="B19" s="485"/>
      <c r="C19" s="206" t="s">
        <v>130</v>
      </c>
      <c r="D19" s="235" t="s">
        <v>224</v>
      </c>
      <c r="E19" s="206" t="s">
        <v>170</v>
      </c>
      <c r="F19" s="235" t="s">
        <v>341</v>
      </c>
      <c r="G19" s="241">
        <v>9</v>
      </c>
      <c r="H19" s="640"/>
      <c r="I19" s="552"/>
      <c r="J19" s="521"/>
      <c r="K19" s="552"/>
      <c r="L19" s="552"/>
      <c r="M19" s="590"/>
      <c r="N19" s="446"/>
      <c r="O19" s="468"/>
      <c r="P19" s="471"/>
      <c r="Q19" s="531"/>
      <c r="R19" s="483"/>
    </row>
    <row r="20" spans="1:18" ht="30" x14ac:dyDescent="0.25">
      <c r="A20" s="451"/>
      <c r="B20" s="485"/>
      <c r="C20" s="206" t="s">
        <v>130</v>
      </c>
      <c r="D20" s="235" t="s">
        <v>224</v>
      </c>
      <c r="E20" s="206" t="s">
        <v>131</v>
      </c>
      <c r="F20" s="235" t="s">
        <v>90</v>
      </c>
      <c r="G20" s="241">
        <v>34.299999999999997</v>
      </c>
      <c r="H20" s="640"/>
      <c r="I20" s="552"/>
      <c r="J20" s="521"/>
      <c r="K20" s="552"/>
      <c r="L20" s="552"/>
      <c r="M20" s="590"/>
      <c r="N20" s="446"/>
      <c r="O20" s="468"/>
      <c r="P20" s="471"/>
      <c r="Q20" s="531"/>
      <c r="R20" s="483"/>
    </row>
    <row r="21" spans="1:18" ht="30" customHeight="1" x14ac:dyDescent="0.25">
      <c r="A21" s="451"/>
      <c r="B21" s="485"/>
      <c r="C21" s="206" t="s">
        <v>136</v>
      </c>
      <c r="D21" s="235" t="s">
        <v>224</v>
      </c>
      <c r="E21" s="206" t="s">
        <v>131</v>
      </c>
      <c r="F21" s="235" t="s">
        <v>90</v>
      </c>
      <c r="G21" s="241">
        <v>18</v>
      </c>
      <c r="H21" s="640"/>
      <c r="I21" s="552" t="s">
        <v>130</v>
      </c>
      <c r="J21" s="521" t="s">
        <v>224</v>
      </c>
      <c r="K21" s="552" t="s">
        <v>131</v>
      </c>
      <c r="L21" s="552" t="s">
        <v>90</v>
      </c>
      <c r="M21" s="590">
        <v>18</v>
      </c>
      <c r="N21" s="446"/>
      <c r="O21" s="468"/>
      <c r="P21" s="471"/>
      <c r="Q21" s="531"/>
      <c r="R21" s="483"/>
    </row>
    <row r="22" spans="1:18" ht="30" x14ac:dyDescent="0.25">
      <c r="A22" s="451"/>
      <c r="B22" s="485"/>
      <c r="C22" s="220" t="s">
        <v>398</v>
      </c>
      <c r="D22" s="235" t="s">
        <v>224</v>
      </c>
      <c r="E22" s="220" t="s">
        <v>170</v>
      </c>
      <c r="F22" s="235" t="s">
        <v>502</v>
      </c>
      <c r="G22" s="241">
        <v>20.3</v>
      </c>
      <c r="H22" s="640"/>
      <c r="I22" s="552"/>
      <c r="J22" s="521"/>
      <c r="K22" s="552"/>
      <c r="L22" s="552"/>
      <c r="M22" s="590"/>
      <c r="N22" s="446"/>
      <c r="O22" s="468"/>
      <c r="P22" s="471"/>
      <c r="Q22" s="531"/>
      <c r="R22" s="483"/>
    </row>
    <row r="23" spans="1:18" ht="45" x14ac:dyDescent="0.25">
      <c r="A23" s="451"/>
      <c r="B23" s="485"/>
      <c r="C23" s="206" t="s">
        <v>130</v>
      </c>
      <c r="D23" s="235" t="s">
        <v>225</v>
      </c>
      <c r="E23" s="206" t="s">
        <v>170</v>
      </c>
      <c r="F23" s="235" t="s">
        <v>341</v>
      </c>
      <c r="G23" s="241">
        <v>2.5</v>
      </c>
      <c r="H23" s="640"/>
      <c r="I23" s="434" t="s">
        <v>130</v>
      </c>
      <c r="J23" s="617" t="s">
        <v>225</v>
      </c>
      <c r="K23" s="517" t="s">
        <v>131</v>
      </c>
      <c r="L23" s="517" t="s">
        <v>90</v>
      </c>
      <c r="M23" s="517">
        <v>4</v>
      </c>
      <c r="N23" s="446"/>
      <c r="O23" s="468"/>
      <c r="P23" s="471"/>
      <c r="Q23" s="531" t="s">
        <v>555</v>
      </c>
      <c r="R23" s="483" t="s">
        <v>429</v>
      </c>
    </row>
    <row r="24" spans="1:18" ht="45" customHeight="1" x14ac:dyDescent="0.25">
      <c r="A24" s="451"/>
      <c r="B24" s="485"/>
      <c r="C24" s="206" t="s">
        <v>130</v>
      </c>
      <c r="D24" s="235" t="s">
        <v>225</v>
      </c>
      <c r="E24" s="206" t="s">
        <v>131</v>
      </c>
      <c r="F24" s="235" t="s">
        <v>90</v>
      </c>
      <c r="G24" s="241">
        <v>20</v>
      </c>
      <c r="H24" s="640"/>
      <c r="I24" s="435"/>
      <c r="J24" s="617"/>
      <c r="K24" s="517"/>
      <c r="L24" s="517"/>
      <c r="M24" s="517"/>
      <c r="N24" s="446"/>
      <c r="O24" s="468"/>
      <c r="P24" s="471"/>
      <c r="Q24" s="531"/>
      <c r="R24" s="483"/>
    </row>
    <row r="25" spans="1:18" ht="45" x14ac:dyDescent="0.25">
      <c r="A25" s="451"/>
      <c r="B25" s="485"/>
      <c r="C25" s="206" t="s">
        <v>130</v>
      </c>
      <c r="D25" s="235" t="s">
        <v>225</v>
      </c>
      <c r="E25" s="206" t="s">
        <v>170</v>
      </c>
      <c r="F25" s="235" t="s">
        <v>341</v>
      </c>
      <c r="G25" s="241">
        <v>2.5</v>
      </c>
      <c r="H25" s="640"/>
      <c r="I25" s="435"/>
      <c r="J25" s="617"/>
      <c r="K25" s="517"/>
      <c r="L25" s="517"/>
      <c r="M25" s="517"/>
      <c r="N25" s="446"/>
      <c r="O25" s="468"/>
      <c r="P25" s="471"/>
      <c r="Q25" s="531"/>
      <c r="R25" s="483"/>
    </row>
    <row r="26" spans="1:18" ht="45" x14ac:dyDescent="0.25">
      <c r="A26" s="451"/>
      <c r="B26" s="485"/>
      <c r="C26" s="206" t="s">
        <v>130</v>
      </c>
      <c r="D26" s="235" t="s">
        <v>225</v>
      </c>
      <c r="E26" s="206" t="s">
        <v>131</v>
      </c>
      <c r="F26" s="235" t="s">
        <v>90</v>
      </c>
      <c r="G26" s="241">
        <v>9.3000000000000007</v>
      </c>
      <c r="H26" s="640"/>
      <c r="I26" s="436"/>
      <c r="J26" s="617"/>
      <c r="K26" s="517"/>
      <c r="L26" s="517"/>
      <c r="M26" s="517"/>
      <c r="N26" s="446"/>
      <c r="O26" s="468"/>
      <c r="P26" s="471"/>
      <c r="Q26" s="531"/>
      <c r="R26" s="483"/>
    </row>
    <row r="27" spans="1:18" ht="15" customHeight="1" x14ac:dyDescent="0.25">
      <c r="A27" s="451"/>
      <c r="B27" s="485"/>
      <c r="C27" s="206" t="s">
        <v>130</v>
      </c>
      <c r="D27" s="235" t="s">
        <v>152</v>
      </c>
      <c r="E27" s="206" t="s">
        <v>131</v>
      </c>
      <c r="F27" s="235" t="s">
        <v>90</v>
      </c>
      <c r="G27" s="241">
        <v>23.826981</v>
      </c>
      <c r="H27" s="640"/>
      <c r="I27" s="621" t="s">
        <v>130</v>
      </c>
      <c r="J27" s="517" t="s">
        <v>152</v>
      </c>
      <c r="K27" s="517" t="s">
        <v>131</v>
      </c>
      <c r="L27" s="517" t="s">
        <v>90</v>
      </c>
      <c r="M27" s="517">
        <v>16.059999999999999</v>
      </c>
      <c r="N27" s="446"/>
      <c r="O27" s="468"/>
      <c r="P27" s="471"/>
      <c r="Q27" s="531" t="s">
        <v>556</v>
      </c>
      <c r="R27" s="483" t="s">
        <v>513</v>
      </c>
    </row>
    <row r="28" spans="1:18" ht="60" x14ac:dyDescent="0.25">
      <c r="A28" s="451"/>
      <c r="B28" s="485"/>
      <c r="C28" s="206" t="s">
        <v>136</v>
      </c>
      <c r="D28" s="235" t="s">
        <v>152</v>
      </c>
      <c r="E28" s="206" t="s">
        <v>170</v>
      </c>
      <c r="F28" s="235" t="s">
        <v>342</v>
      </c>
      <c r="G28" s="241">
        <v>8</v>
      </c>
      <c r="H28" s="640"/>
      <c r="I28" s="622"/>
      <c r="J28" s="517"/>
      <c r="K28" s="517"/>
      <c r="L28" s="517"/>
      <c r="M28" s="517"/>
      <c r="N28" s="446"/>
      <c r="O28" s="468"/>
      <c r="P28" s="471"/>
      <c r="Q28" s="531"/>
      <c r="R28" s="483"/>
    </row>
    <row r="29" spans="1:18" x14ac:dyDescent="0.25">
      <c r="A29" s="451"/>
      <c r="B29" s="485"/>
      <c r="C29" s="206" t="s">
        <v>136</v>
      </c>
      <c r="D29" s="235" t="s">
        <v>152</v>
      </c>
      <c r="E29" s="206" t="s">
        <v>131</v>
      </c>
      <c r="F29" s="235" t="s">
        <v>90</v>
      </c>
      <c r="G29" s="241">
        <v>8.3000000000000007</v>
      </c>
      <c r="H29" s="640"/>
      <c r="I29" s="622"/>
      <c r="J29" s="517"/>
      <c r="K29" s="517"/>
      <c r="L29" s="517"/>
      <c r="M29" s="517"/>
      <c r="N29" s="446"/>
      <c r="O29" s="468"/>
      <c r="P29" s="471"/>
      <c r="Q29" s="531"/>
      <c r="R29" s="483"/>
    </row>
    <row r="30" spans="1:18" ht="30" customHeight="1" x14ac:dyDescent="0.25">
      <c r="A30" s="451"/>
      <c r="B30" s="485"/>
      <c r="C30" s="206" t="s">
        <v>398</v>
      </c>
      <c r="D30" s="235" t="s">
        <v>152</v>
      </c>
      <c r="E30" s="206" t="s">
        <v>170</v>
      </c>
      <c r="F30" s="235" t="s">
        <v>502</v>
      </c>
      <c r="G30" s="241">
        <v>8.4600000000000009</v>
      </c>
      <c r="H30" s="640"/>
      <c r="I30" s="623"/>
      <c r="J30" s="517"/>
      <c r="K30" s="517"/>
      <c r="L30" s="517"/>
      <c r="M30" s="517"/>
      <c r="N30" s="446"/>
      <c r="O30" s="468"/>
      <c r="P30" s="471"/>
      <c r="Q30" s="531"/>
      <c r="R30" s="483"/>
    </row>
    <row r="31" spans="1:18" ht="60" x14ac:dyDescent="0.25">
      <c r="A31" s="451"/>
      <c r="B31" s="485"/>
      <c r="C31" s="206" t="s">
        <v>398</v>
      </c>
      <c r="D31" s="235" t="s">
        <v>152</v>
      </c>
      <c r="E31" s="206" t="s">
        <v>170</v>
      </c>
      <c r="F31" s="235" t="s">
        <v>342</v>
      </c>
      <c r="G31" s="241">
        <v>-5.3229490000000004</v>
      </c>
      <c r="H31" s="640"/>
      <c r="I31" s="434" t="s">
        <v>130</v>
      </c>
      <c r="J31" s="517" t="s">
        <v>152</v>
      </c>
      <c r="K31" s="517" t="s">
        <v>131</v>
      </c>
      <c r="L31" s="517" t="s">
        <v>90</v>
      </c>
      <c r="M31" s="590">
        <v>17.899999999999999</v>
      </c>
      <c r="N31" s="446"/>
      <c r="O31" s="468"/>
      <c r="P31" s="471"/>
      <c r="Q31" s="531"/>
      <c r="R31" s="483"/>
    </row>
    <row r="32" spans="1:18" x14ac:dyDescent="0.25">
      <c r="A32" s="451"/>
      <c r="B32" s="485"/>
      <c r="C32" s="206" t="s">
        <v>398</v>
      </c>
      <c r="D32" s="235" t="s">
        <v>152</v>
      </c>
      <c r="E32" s="206" t="s">
        <v>131</v>
      </c>
      <c r="F32" s="235" t="s">
        <v>90</v>
      </c>
      <c r="G32" s="147">
        <v>5.3229490000000004</v>
      </c>
      <c r="H32" s="640"/>
      <c r="I32" s="435"/>
      <c r="J32" s="517"/>
      <c r="K32" s="517"/>
      <c r="L32" s="517"/>
      <c r="M32" s="590"/>
      <c r="N32" s="446"/>
      <c r="O32" s="468"/>
      <c r="P32" s="471"/>
      <c r="Q32" s="531"/>
      <c r="R32" s="483"/>
    </row>
    <row r="33" spans="1:18" ht="15" customHeight="1" x14ac:dyDescent="0.25">
      <c r="A33" s="451"/>
      <c r="B33" s="485"/>
      <c r="C33" s="206" t="s">
        <v>130</v>
      </c>
      <c r="D33" s="235" t="s">
        <v>152</v>
      </c>
      <c r="E33" s="206" t="s">
        <v>131</v>
      </c>
      <c r="F33" s="235" t="s">
        <v>90</v>
      </c>
      <c r="G33" s="241">
        <v>25.5</v>
      </c>
      <c r="H33" s="640"/>
      <c r="I33" s="435"/>
      <c r="J33" s="517"/>
      <c r="K33" s="517"/>
      <c r="L33" s="517"/>
      <c r="M33" s="590"/>
      <c r="N33" s="446"/>
      <c r="O33" s="468"/>
      <c r="P33" s="471"/>
      <c r="Q33" s="531"/>
      <c r="R33" s="483"/>
    </row>
    <row r="34" spans="1:18" ht="60" x14ac:dyDescent="0.25">
      <c r="A34" s="451"/>
      <c r="B34" s="485"/>
      <c r="C34" s="206" t="s">
        <v>136</v>
      </c>
      <c r="D34" s="235" t="s">
        <v>152</v>
      </c>
      <c r="E34" s="206" t="s">
        <v>170</v>
      </c>
      <c r="F34" s="235" t="s">
        <v>342</v>
      </c>
      <c r="G34" s="241">
        <v>6</v>
      </c>
      <c r="H34" s="640"/>
      <c r="I34" s="436"/>
      <c r="J34" s="517"/>
      <c r="K34" s="517"/>
      <c r="L34" s="517"/>
      <c r="M34" s="590"/>
      <c r="N34" s="446"/>
      <c r="O34" s="468"/>
      <c r="P34" s="471"/>
      <c r="Q34" s="531"/>
      <c r="R34" s="483"/>
    </row>
    <row r="35" spans="1:18" x14ac:dyDescent="0.25">
      <c r="A35" s="451"/>
      <c r="B35" s="485"/>
      <c r="C35" s="206" t="s">
        <v>398</v>
      </c>
      <c r="D35" s="235" t="s">
        <v>152</v>
      </c>
      <c r="E35" s="206" t="s">
        <v>131</v>
      </c>
      <c r="F35" s="235" t="s">
        <v>90</v>
      </c>
      <c r="G35" s="241">
        <v>6</v>
      </c>
      <c r="H35" s="640"/>
      <c r="I35" s="434" t="s">
        <v>130</v>
      </c>
      <c r="J35" s="517" t="s">
        <v>152</v>
      </c>
      <c r="K35" s="517" t="s">
        <v>131</v>
      </c>
      <c r="L35" s="517" t="s">
        <v>90</v>
      </c>
      <c r="M35" s="590">
        <v>6</v>
      </c>
      <c r="N35" s="446"/>
      <c r="O35" s="468"/>
      <c r="P35" s="471"/>
      <c r="Q35" s="531"/>
      <c r="R35" s="483"/>
    </row>
    <row r="36" spans="1:18" ht="60" x14ac:dyDescent="0.25">
      <c r="A36" s="451"/>
      <c r="B36" s="485"/>
      <c r="C36" s="206" t="s">
        <v>398</v>
      </c>
      <c r="D36" s="235" t="s">
        <v>152</v>
      </c>
      <c r="E36" s="206" t="s">
        <v>170</v>
      </c>
      <c r="F36" s="235" t="s">
        <v>342</v>
      </c>
      <c r="G36" s="241">
        <v>-6</v>
      </c>
      <c r="H36" s="640"/>
      <c r="I36" s="435"/>
      <c r="J36" s="517"/>
      <c r="K36" s="517"/>
      <c r="L36" s="517"/>
      <c r="M36" s="590"/>
      <c r="N36" s="446"/>
      <c r="O36" s="468"/>
      <c r="P36" s="471"/>
      <c r="Q36" s="531"/>
      <c r="R36" s="483"/>
    </row>
    <row r="37" spans="1:18" ht="30" x14ac:dyDescent="0.25">
      <c r="A37" s="451"/>
      <c r="B37" s="485"/>
      <c r="C37" s="206" t="s">
        <v>398</v>
      </c>
      <c r="D37" s="235" t="s">
        <v>152</v>
      </c>
      <c r="E37" s="206" t="s">
        <v>170</v>
      </c>
      <c r="F37" s="235" t="s">
        <v>502</v>
      </c>
      <c r="G37" s="241">
        <v>17.899999999999999</v>
      </c>
      <c r="H37" s="640"/>
      <c r="I37" s="436"/>
      <c r="J37" s="517"/>
      <c r="K37" s="517"/>
      <c r="L37" s="517"/>
      <c r="M37" s="590"/>
      <c r="N37" s="446"/>
      <c r="O37" s="468"/>
      <c r="P37" s="471"/>
      <c r="Q37" s="531"/>
      <c r="R37" s="483"/>
    </row>
    <row r="38" spans="1:18" ht="30" x14ac:dyDescent="0.25">
      <c r="A38" s="451"/>
      <c r="B38" s="485"/>
      <c r="C38" s="206" t="s">
        <v>130</v>
      </c>
      <c r="D38" s="235" t="s">
        <v>182</v>
      </c>
      <c r="E38" s="206" t="s">
        <v>170</v>
      </c>
      <c r="F38" s="235" t="s">
        <v>341</v>
      </c>
      <c r="G38" s="241">
        <v>202.755</v>
      </c>
      <c r="H38" s="640"/>
      <c r="I38" s="617" t="s">
        <v>130</v>
      </c>
      <c r="J38" s="617" t="s">
        <v>182</v>
      </c>
      <c r="K38" s="617" t="s">
        <v>131</v>
      </c>
      <c r="L38" s="617" t="s">
        <v>90</v>
      </c>
      <c r="M38" s="617">
        <f>3.78+166.364</f>
        <v>170.14400000000001</v>
      </c>
      <c r="N38" s="446"/>
      <c r="O38" s="468"/>
      <c r="P38" s="471"/>
      <c r="Q38" s="531" t="s">
        <v>557</v>
      </c>
      <c r="R38" s="483" t="s">
        <v>513</v>
      </c>
    </row>
    <row r="39" spans="1:18" ht="30" customHeight="1" x14ac:dyDescent="0.25">
      <c r="A39" s="451"/>
      <c r="B39" s="485"/>
      <c r="C39" s="206" t="s">
        <v>130</v>
      </c>
      <c r="D39" s="235" t="s">
        <v>182</v>
      </c>
      <c r="E39" s="206" t="s">
        <v>131</v>
      </c>
      <c r="F39" s="235" t="s">
        <v>90</v>
      </c>
      <c r="G39" s="241">
        <v>5.1315189999999999</v>
      </c>
      <c r="H39" s="640"/>
      <c r="I39" s="617"/>
      <c r="J39" s="617"/>
      <c r="K39" s="617"/>
      <c r="L39" s="617"/>
      <c r="M39" s="617"/>
      <c r="N39" s="446"/>
      <c r="O39" s="468"/>
      <c r="P39" s="471"/>
      <c r="Q39" s="531"/>
      <c r="R39" s="483"/>
    </row>
    <row r="40" spans="1:18" ht="60" x14ac:dyDescent="0.25">
      <c r="A40" s="451"/>
      <c r="B40" s="485"/>
      <c r="C40" s="206" t="s">
        <v>136</v>
      </c>
      <c r="D40" s="235" t="s">
        <v>182</v>
      </c>
      <c r="E40" s="206" t="s">
        <v>170</v>
      </c>
      <c r="F40" s="235" t="s">
        <v>342</v>
      </c>
      <c r="G40" s="241">
        <v>131.19999999999999</v>
      </c>
      <c r="H40" s="640"/>
      <c r="I40" s="617"/>
      <c r="J40" s="617"/>
      <c r="K40" s="617"/>
      <c r="L40" s="617"/>
      <c r="M40" s="617"/>
      <c r="N40" s="446"/>
      <c r="O40" s="468"/>
      <c r="P40" s="471"/>
      <c r="Q40" s="531"/>
      <c r="R40" s="483"/>
    </row>
    <row r="41" spans="1:18" ht="30" x14ac:dyDescent="0.25">
      <c r="A41" s="451"/>
      <c r="B41" s="485"/>
      <c r="C41" s="206" t="s">
        <v>136</v>
      </c>
      <c r="D41" s="235" t="s">
        <v>182</v>
      </c>
      <c r="E41" s="206" t="s">
        <v>131</v>
      </c>
      <c r="F41" s="235" t="s">
        <v>90</v>
      </c>
      <c r="G41" s="241">
        <f>3.594906+61.566</f>
        <v>65.160905999999997</v>
      </c>
      <c r="H41" s="640"/>
      <c r="I41" s="617"/>
      <c r="J41" s="617"/>
      <c r="K41" s="617"/>
      <c r="L41" s="617"/>
      <c r="M41" s="617"/>
      <c r="N41" s="446"/>
      <c r="O41" s="468"/>
      <c r="P41" s="471"/>
      <c r="Q41" s="531"/>
      <c r="R41" s="483"/>
    </row>
    <row r="42" spans="1:18" ht="60" x14ac:dyDescent="0.25">
      <c r="A42" s="451"/>
      <c r="B42" s="485"/>
      <c r="C42" s="206" t="s">
        <v>398</v>
      </c>
      <c r="D42" s="235" t="s">
        <v>182</v>
      </c>
      <c r="E42" s="206" t="s">
        <v>170</v>
      </c>
      <c r="F42" s="235" t="s">
        <v>342</v>
      </c>
      <c r="G42" s="241">
        <v>-125</v>
      </c>
      <c r="H42" s="640"/>
      <c r="I42" s="617"/>
      <c r="J42" s="617"/>
      <c r="K42" s="617"/>
      <c r="L42" s="617"/>
      <c r="M42" s="617"/>
      <c r="N42" s="446"/>
      <c r="O42" s="468"/>
      <c r="P42" s="471"/>
      <c r="Q42" s="531"/>
      <c r="R42" s="483"/>
    </row>
    <row r="43" spans="1:18" ht="30" x14ac:dyDescent="0.25">
      <c r="A43" s="451"/>
      <c r="B43" s="485"/>
      <c r="C43" s="206" t="s">
        <v>398</v>
      </c>
      <c r="D43" s="235" t="s">
        <v>182</v>
      </c>
      <c r="E43" s="206" t="s">
        <v>131</v>
      </c>
      <c r="F43" s="235" t="s">
        <v>90</v>
      </c>
      <c r="G43" s="241">
        <v>125</v>
      </c>
      <c r="H43" s="640"/>
      <c r="I43" s="617" t="s">
        <v>130</v>
      </c>
      <c r="J43" s="617" t="s">
        <v>182</v>
      </c>
      <c r="K43" s="617" t="s">
        <v>131</v>
      </c>
      <c r="L43" s="617" t="s">
        <v>90</v>
      </c>
      <c r="M43" s="617">
        <v>45</v>
      </c>
      <c r="N43" s="446"/>
      <c r="O43" s="468"/>
      <c r="P43" s="471"/>
      <c r="Q43" s="531"/>
      <c r="R43" s="483"/>
    </row>
    <row r="44" spans="1:18" ht="30" x14ac:dyDescent="0.25">
      <c r="A44" s="451"/>
      <c r="B44" s="485"/>
      <c r="C44" s="206" t="s">
        <v>398</v>
      </c>
      <c r="D44" s="235" t="s">
        <v>182</v>
      </c>
      <c r="E44" s="206" t="s">
        <v>170</v>
      </c>
      <c r="F44" s="235" t="s">
        <v>502</v>
      </c>
      <c r="G44" s="241">
        <v>85.7</v>
      </c>
      <c r="H44" s="640"/>
      <c r="I44" s="617"/>
      <c r="J44" s="617"/>
      <c r="K44" s="617"/>
      <c r="L44" s="617"/>
      <c r="M44" s="617"/>
      <c r="N44" s="446"/>
      <c r="O44" s="468"/>
      <c r="P44" s="471"/>
      <c r="Q44" s="531"/>
      <c r="R44" s="483"/>
    </row>
    <row r="45" spans="1:18" ht="30" customHeight="1" x14ac:dyDescent="0.25">
      <c r="A45" s="451"/>
      <c r="B45" s="485"/>
      <c r="C45" s="206" t="s">
        <v>130</v>
      </c>
      <c r="D45" s="235" t="s">
        <v>182</v>
      </c>
      <c r="E45" s="206" t="s">
        <v>170</v>
      </c>
      <c r="F45" s="235" t="s">
        <v>341</v>
      </c>
      <c r="G45" s="241">
        <v>95.7</v>
      </c>
      <c r="H45" s="640"/>
      <c r="I45" s="617"/>
      <c r="J45" s="617"/>
      <c r="K45" s="617"/>
      <c r="L45" s="617"/>
      <c r="M45" s="617"/>
      <c r="N45" s="446"/>
      <c r="O45" s="468"/>
      <c r="P45" s="471"/>
      <c r="Q45" s="531"/>
      <c r="R45" s="483"/>
    </row>
    <row r="46" spans="1:18" ht="60" x14ac:dyDescent="0.25">
      <c r="A46" s="451"/>
      <c r="B46" s="485"/>
      <c r="C46" s="206" t="s">
        <v>136</v>
      </c>
      <c r="D46" s="235" t="s">
        <v>182</v>
      </c>
      <c r="E46" s="206" t="s">
        <v>170</v>
      </c>
      <c r="F46" s="235" t="s">
        <v>342</v>
      </c>
      <c r="G46" s="241">
        <v>67</v>
      </c>
      <c r="H46" s="640"/>
      <c r="I46" s="617"/>
      <c r="J46" s="617"/>
      <c r="K46" s="617"/>
      <c r="L46" s="617"/>
      <c r="M46" s="617"/>
      <c r="N46" s="446"/>
      <c r="O46" s="468"/>
      <c r="P46" s="471"/>
      <c r="Q46" s="531"/>
      <c r="R46" s="483"/>
    </row>
    <row r="47" spans="1:18" ht="30" x14ac:dyDescent="0.25">
      <c r="A47" s="451"/>
      <c r="B47" s="485"/>
      <c r="C47" s="206" t="s">
        <v>398</v>
      </c>
      <c r="D47" s="235" t="s">
        <v>182</v>
      </c>
      <c r="E47" s="206" t="s">
        <v>170</v>
      </c>
      <c r="F47" s="235" t="s">
        <v>502</v>
      </c>
      <c r="G47" s="241">
        <v>63.8</v>
      </c>
      <c r="H47" s="640"/>
      <c r="I47" s="617"/>
      <c r="J47" s="617"/>
      <c r="K47" s="617"/>
      <c r="L47" s="617"/>
      <c r="M47" s="617"/>
      <c r="N47" s="446"/>
      <c r="O47" s="468"/>
      <c r="P47" s="471"/>
      <c r="Q47" s="531"/>
      <c r="R47" s="483"/>
    </row>
    <row r="48" spans="1:18" ht="45" customHeight="1" x14ac:dyDescent="0.25">
      <c r="A48" s="451"/>
      <c r="B48" s="485"/>
      <c r="C48" s="206" t="s">
        <v>130</v>
      </c>
      <c r="D48" s="235" t="s">
        <v>226</v>
      </c>
      <c r="E48" s="206" t="s">
        <v>170</v>
      </c>
      <c r="F48" s="235" t="s">
        <v>341</v>
      </c>
      <c r="G48" s="241">
        <v>25</v>
      </c>
      <c r="H48" s="640"/>
      <c r="I48" s="618" t="s">
        <v>130</v>
      </c>
      <c r="J48" s="617" t="s">
        <v>226</v>
      </c>
      <c r="K48" s="617" t="s">
        <v>131</v>
      </c>
      <c r="L48" s="617" t="s">
        <v>90</v>
      </c>
      <c r="M48" s="617">
        <f>0.848+61.7</f>
        <v>62.548000000000002</v>
      </c>
      <c r="N48" s="446"/>
      <c r="O48" s="468"/>
      <c r="P48" s="471"/>
      <c r="Q48" s="531" t="s">
        <v>558</v>
      </c>
      <c r="R48" s="483" t="s">
        <v>513</v>
      </c>
    </row>
    <row r="49" spans="1:18" ht="45" x14ac:dyDescent="0.25">
      <c r="A49" s="451"/>
      <c r="B49" s="485"/>
      <c r="C49" s="206" t="s">
        <v>130</v>
      </c>
      <c r="D49" s="235" t="s">
        <v>226</v>
      </c>
      <c r="E49" s="206" t="s">
        <v>131</v>
      </c>
      <c r="F49" s="235" t="s">
        <v>90</v>
      </c>
      <c r="G49" s="241">
        <v>114.82145800000001</v>
      </c>
      <c r="H49" s="640"/>
      <c r="I49" s="619"/>
      <c r="J49" s="617"/>
      <c r="K49" s="617"/>
      <c r="L49" s="617"/>
      <c r="M49" s="617"/>
      <c r="N49" s="446"/>
      <c r="O49" s="468"/>
      <c r="P49" s="471"/>
      <c r="Q49" s="531"/>
      <c r="R49" s="483"/>
    </row>
    <row r="50" spans="1:18" ht="45" x14ac:dyDescent="0.25">
      <c r="A50" s="451"/>
      <c r="B50" s="485"/>
      <c r="C50" s="206" t="s">
        <v>136</v>
      </c>
      <c r="D50" s="235" t="s">
        <v>226</v>
      </c>
      <c r="E50" s="206" t="s">
        <v>131</v>
      </c>
      <c r="F50" s="235" t="s">
        <v>90</v>
      </c>
      <c r="G50" s="241">
        <v>46.5</v>
      </c>
      <c r="H50" s="640"/>
      <c r="I50" s="620"/>
      <c r="J50" s="617"/>
      <c r="K50" s="617"/>
      <c r="L50" s="617"/>
      <c r="M50" s="617"/>
      <c r="N50" s="446"/>
      <c r="O50" s="468"/>
      <c r="P50" s="471"/>
      <c r="Q50" s="531"/>
      <c r="R50" s="483"/>
    </row>
    <row r="51" spans="1:18" ht="45" customHeight="1" x14ac:dyDescent="0.25">
      <c r="A51" s="451"/>
      <c r="B51" s="485"/>
      <c r="C51" s="206" t="s">
        <v>130</v>
      </c>
      <c r="D51" s="235" t="s">
        <v>226</v>
      </c>
      <c r="E51" s="206" t="s">
        <v>170</v>
      </c>
      <c r="F51" s="235" t="s">
        <v>341</v>
      </c>
      <c r="G51" s="241">
        <v>53</v>
      </c>
      <c r="H51" s="640"/>
      <c r="I51" s="434" t="s">
        <v>130</v>
      </c>
      <c r="J51" s="617" t="s">
        <v>226</v>
      </c>
      <c r="K51" s="517" t="s">
        <v>131</v>
      </c>
      <c r="L51" s="517" t="s">
        <v>90</v>
      </c>
      <c r="M51" s="517">
        <v>3</v>
      </c>
      <c r="N51" s="446"/>
      <c r="O51" s="468"/>
      <c r="P51" s="471"/>
      <c r="Q51" s="531"/>
      <c r="R51" s="483"/>
    </row>
    <row r="52" spans="1:18" ht="45" x14ac:dyDescent="0.25">
      <c r="A52" s="451"/>
      <c r="B52" s="485"/>
      <c r="C52" s="206" t="s">
        <v>130</v>
      </c>
      <c r="D52" s="235" t="s">
        <v>226</v>
      </c>
      <c r="E52" s="206" t="s">
        <v>131</v>
      </c>
      <c r="F52" s="235" t="s">
        <v>90</v>
      </c>
      <c r="G52" s="241">
        <v>18.3</v>
      </c>
      <c r="H52" s="640"/>
      <c r="I52" s="436"/>
      <c r="J52" s="617"/>
      <c r="K52" s="517"/>
      <c r="L52" s="517"/>
      <c r="M52" s="517"/>
      <c r="N52" s="446"/>
      <c r="O52" s="468"/>
      <c r="P52" s="471"/>
      <c r="Q52" s="531"/>
      <c r="R52" s="483"/>
    </row>
    <row r="53" spans="1:18" ht="60" x14ac:dyDescent="0.25">
      <c r="A53" s="451"/>
      <c r="B53" s="485"/>
      <c r="C53" s="206" t="s">
        <v>136</v>
      </c>
      <c r="D53" s="235" t="s">
        <v>226</v>
      </c>
      <c r="E53" s="206" t="s">
        <v>170</v>
      </c>
      <c r="F53" s="235" t="s">
        <v>342</v>
      </c>
      <c r="G53" s="241">
        <v>12</v>
      </c>
      <c r="H53" s="640"/>
      <c r="I53" s="434" t="s">
        <v>130</v>
      </c>
      <c r="J53" s="617" t="s">
        <v>226</v>
      </c>
      <c r="K53" s="517" t="s">
        <v>131</v>
      </c>
      <c r="L53" s="517" t="s">
        <v>90</v>
      </c>
      <c r="M53" s="517">
        <v>6</v>
      </c>
      <c r="N53" s="446"/>
      <c r="O53" s="468"/>
      <c r="P53" s="471"/>
      <c r="Q53" s="531"/>
      <c r="R53" s="483"/>
    </row>
    <row r="54" spans="1:18" ht="45" customHeight="1" x14ac:dyDescent="0.25">
      <c r="A54" s="451"/>
      <c r="B54" s="485"/>
      <c r="C54" s="206" t="s">
        <v>136</v>
      </c>
      <c r="D54" s="235" t="s">
        <v>226</v>
      </c>
      <c r="E54" s="206" t="s">
        <v>131</v>
      </c>
      <c r="F54" s="235" t="s">
        <v>90</v>
      </c>
      <c r="G54" s="241">
        <v>11.3</v>
      </c>
      <c r="H54" s="640"/>
      <c r="I54" s="436"/>
      <c r="J54" s="617"/>
      <c r="K54" s="517"/>
      <c r="L54" s="517"/>
      <c r="M54" s="517"/>
      <c r="N54" s="446"/>
      <c r="O54" s="468"/>
      <c r="P54" s="471"/>
      <c r="Q54" s="531"/>
      <c r="R54" s="483"/>
    </row>
    <row r="55" spans="1:18" ht="30" x14ac:dyDescent="0.25">
      <c r="A55" s="451"/>
      <c r="B55" s="485"/>
      <c r="C55" s="206" t="s">
        <v>130</v>
      </c>
      <c r="D55" s="235" t="s">
        <v>227</v>
      </c>
      <c r="E55" s="206" t="s">
        <v>170</v>
      </c>
      <c r="F55" s="235" t="s">
        <v>341</v>
      </c>
      <c r="G55" s="241">
        <v>109.37899899999999</v>
      </c>
      <c r="H55" s="640"/>
      <c r="I55" s="434" t="s">
        <v>130</v>
      </c>
      <c r="J55" s="584" t="s">
        <v>227</v>
      </c>
      <c r="K55" s="434" t="s">
        <v>131</v>
      </c>
      <c r="L55" s="434" t="s">
        <v>90</v>
      </c>
      <c r="M55" s="434">
        <f>2.644444+96.5</f>
        <v>99.144443999999993</v>
      </c>
      <c r="N55" s="446"/>
      <c r="O55" s="468"/>
      <c r="P55" s="471"/>
      <c r="Q55" s="531" t="s">
        <v>559</v>
      </c>
      <c r="R55" s="483" t="s">
        <v>513</v>
      </c>
    </row>
    <row r="56" spans="1:18" ht="30" x14ac:dyDescent="0.25">
      <c r="A56" s="451"/>
      <c r="B56" s="485"/>
      <c r="C56" s="206" t="s">
        <v>130</v>
      </c>
      <c r="D56" s="235" t="s">
        <v>227</v>
      </c>
      <c r="E56" s="206" t="s">
        <v>131</v>
      </c>
      <c r="F56" s="235" t="s">
        <v>90</v>
      </c>
      <c r="G56" s="241">
        <v>103.03525</v>
      </c>
      <c r="H56" s="640"/>
      <c r="I56" s="435"/>
      <c r="J56" s="591"/>
      <c r="K56" s="435"/>
      <c r="L56" s="435"/>
      <c r="M56" s="435"/>
      <c r="N56" s="446"/>
      <c r="O56" s="468"/>
      <c r="P56" s="471"/>
      <c r="Q56" s="531"/>
      <c r="R56" s="483"/>
    </row>
    <row r="57" spans="1:18" ht="58.5" customHeight="1" x14ac:dyDescent="0.25">
      <c r="A57" s="451"/>
      <c r="B57" s="485"/>
      <c r="C57" s="206" t="s">
        <v>136</v>
      </c>
      <c r="D57" s="235" t="s">
        <v>227</v>
      </c>
      <c r="E57" s="206" t="s">
        <v>170</v>
      </c>
      <c r="F57" s="235" t="s">
        <v>342</v>
      </c>
      <c r="G57" s="241">
        <v>88.2</v>
      </c>
      <c r="H57" s="640"/>
      <c r="I57" s="435"/>
      <c r="J57" s="591"/>
      <c r="K57" s="435"/>
      <c r="L57" s="435"/>
      <c r="M57" s="435"/>
      <c r="N57" s="446"/>
      <c r="O57" s="468"/>
      <c r="P57" s="471"/>
      <c r="Q57" s="531"/>
      <c r="R57" s="483"/>
    </row>
    <row r="58" spans="1:18" ht="58.5" customHeight="1" x14ac:dyDescent="0.25">
      <c r="A58" s="451"/>
      <c r="B58" s="485"/>
      <c r="C58" s="206" t="s">
        <v>136</v>
      </c>
      <c r="D58" s="235" t="s">
        <v>227</v>
      </c>
      <c r="E58" s="206" t="s">
        <v>131</v>
      </c>
      <c r="F58" s="235" t="s">
        <v>90</v>
      </c>
      <c r="G58" s="241">
        <f>1.943603+63.631</f>
        <v>65.574602999999996</v>
      </c>
      <c r="H58" s="640"/>
      <c r="I58" s="435"/>
      <c r="J58" s="591"/>
      <c r="K58" s="435"/>
      <c r="L58" s="435"/>
      <c r="M58" s="435"/>
      <c r="N58" s="446"/>
      <c r="O58" s="468"/>
      <c r="P58" s="471"/>
      <c r="Q58" s="531"/>
      <c r="R58" s="483"/>
    </row>
    <row r="59" spans="1:18" ht="60" x14ac:dyDescent="0.25">
      <c r="A59" s="451"/>
      <c r="B59" s="485"/>
      <c r="C59" s="206" t="s">
        <v>398</v>
      </c>
      <c r="D59" s="235" t="s">
        <v>227</v>
      </c>
      <c r="E59" s="206" t="s">
        <v>170</v>
      </c>
      <c r="F59" s="235" t="s">
        <v>342</v>
      </c>
      <c r="G59" s="241">
        <v>-13.706882999999999</v>
      </c>
      <c r="H59" s="640"/>
      <c r="I59" s="435"/>
      <c r="J59" s="591"/>
      <c r="K59" s="435"/>
      <c r="L59" s="435"/>
      <c r="M59" s="435"/>
      <c r="N59" s="446"/>
      <c r="O59" s="468"/>
      <c r="P59" s="471"/>
      <c r="Q59" s="531"/>
      <c r="R59" s="483"/>
    </row>
    <row r="60" spans="1:18" ht="30" customHeight="1" x14ac:dyDescent="0.25">
      <c r="A60" s="451"/>
      <c r="B60" s="485"/>
      <c r="C60" s="206" t="s">
        <v>398</v>
      </c>
      <c r="D60" s="235" t="s">
        <v>227</v>
      </c>
      <c r="E60" s="206" t="s">
        <v>131</v>
      </c>
      <c r="F60" s="235" t="s">
        <v>90</v>
      </c>
      <c r="G60" s="147">
        <v>13.706882999999999</v>
      </c>
      <c r="H60" s="640"/>
      <c r="I60" s="435"/>
      <c r="J60" s="591"/>
      <c r="K60" s="435"/>
      <c r="L60" s="435"/>
      <c r="M60" s="435"/>
      <c r="N60" s="446"/>
      <c r="O60" s="468"/>
      <c r="P60" s="471"/>
      <c r="Q60" s="531"/>
      <c r="R60" s="483"/>
    </row>
    <row r="61" spans="1:18" ht="30" x14ac:dyDescent="0.25">
      <c r="A61" s="451"/>
      <c r="B61" s="485"/>
      <c r="C61" s="206" t="s">
        <v>130</v>
      </c>
      <c r="D61" s="235" t="s">
        <v>227</v>
      </c>
      <c r="E61" s="206" t="s">
        <v>170</v>
      </c>
      <c r="F61" s="235" t="s">
        <v>341</v>
      </c>
      <c r="G61" s="241">
        <v>39.4</v>
      </c>
      <c r="H61" s="640"/>
      <c r="I61" s="435"/>
      <c r="J61" s="591"/>
      <c r="K61" s="435"/>
      <c r="L61" s="435"/>
      <c r="M61" s="435"/>
      <c r="N61" s="446"/>
      <c r="O61" s="468"/>
      <c r="P61" s="471"/>
      <c r="Q61" s="531"/>
      <c r="R61" s="483"/>
    </row>
    <row r="62" spans="1:18" ht="60" x14ac:dyDescent="0.25">
      <c r="A62" s="451"/>
      <c r="B62" s="485"/>
      <c r="C62" s="206" t="s">
        <v>136</v>
      </c>
      <c r="D62" s="235" t="s">
        <v>227</v>
      </c>
      <c r="E62" s="206" t="s">
        <v>170</v>
      </c>
      <c r="F62" s="235" t="s">
        <v>342</v>
      </c>
      <c r="G62" s="241">
        <v>15</v>
      </c>
      <c r="H62" s="640"/>
      <c r="I62" s="435"/>
      <c r="J62" s="591"/>
      <c r="K62" s="435"/>
      <c r="L62" s="435"/>
      <c r="M62" s="435"/>
      <c r="N62" s="446"/>
      <c r="O62" s="468"/>
      <c r="P62" s="471"/>
      <c r="Q62" s="531"/>
      <c r="R62" s="483"/>
    </row>
    <row r="63" spans="1:18" ht="30" customHeight="1" x14ac:dyDescent="0.25">
      <c r="A63" s="451"/>
      <c r="B63" s="485"/>
      <c r="C63" s="206" t="s">
        <v>136</v>
      </c>
      <c r="D63" s="235" t="s">
        <v>227</v>
      </c>
      <c r="E63" s="206" t="s">
        <v>131</v>
      </c>
      <c r="F63" s="235" t="s">
        <v>90</v>
      </c>
      <c r="G63" s="241">
        <v>15</v>
      </c>
      <c r="H63" s="640"/>
      <c r="I63" s="435"/>
      <c r="J63" s="591"/>
      <c r="K63" s="435"/>
      <c r="L63" s="435"/>
      <c r="M63" s="435"/>
      <c r="N63" s="446"/>
      <c r="O63" s="468"/>
      <c r="P63" s="471"/>
      <c r="Q63" s="531"/>
      <c r="R63" s="483"/>
    </row>
    <row r="64" spans="1:18" ht="30" x14ac:dyDescent="0.25">
      <c r="A64" s="451"/>
      <c r="B64" s="485"/>
      <c r="C64" s="206" t="s">
        <v>398</v>
      </c>
      <c r="D64" s="235" t="s">
        <v>227</v>
      </c>
      <c r="E64" s="206" t="s">
        <v>131</v>
      </c>
      <c r="F64" s="235" t="s">
        <v>90</v>
      </c>
      <c r="G64" s="241">
        <v>0.75226300000000001</v>
      </c>
      <c r="H64" s="640"/>
      <c r="I64" s="435"/>
      <c r="J64" s="591"/>
      <c r="K64" s="435"/>
      <c r="L64" s="435"/>
      <c r="M64" s="435"/>
      <c r="N64" s="446"/>
      <c r="O64" s="468"/>
      <c r="P64" s="471"/>
      <c r="Q64" s="531"/>
      <c r="R64" s="483"/>
    </row>
    <row r="65" spans="1:18" ht="60" x14ac:dyDescent="0.25">
      <c r="A65" s="451"/>
      <c r="B65" s="485"/>
      <c r="C65" s="206" t="s">
        <v>398</v>
      </c>
      <c r="D65" s="235" t="s">
        <v>227</v>
      </c>
      <c r="E65" s="206" t="s">
        <v>170</v>
      </c>
      <c r="F65" s="235" t="s">
        <v>342</v>
      </c>
      <c r="G65" s="241">
        <v>-0.75226300000000001</v>
      </c>
      <c r="H65" s="640"/>
      <c r="I65" s="436"/>
      <c r="J65" s="585"/>
      <c r="K65" s="436"/>
      <c r="L65" s="436"/>
      <c r="M65" s="436"/>
      <c r="N65" s="446"/>
      <c r="O65" s="468"/>
      <c r="P65" s="472"/>
      <c r="Q65" s="531"/>
      <c r="R65" s="483"/>
    </row>
    <row r="66" spans="1:18" ht="22.5" customHeight="1" x14ac:dyDescent="0.25">
      <c r="A66" s="229" t="s">
        <v>228</v>
      </c>
      <c r="B66" s="96">
        <v>3</v>
      </c>
      <c r="C66" s="206" t="s">
        <v>398</v>
      </c>
      <c r="D66" s="235" t="s">
        <v>225</v>
      </c>
      <c r="E66" s="212" t="s">
        <v>131</v>
      </c>
      <c r="F66" s="212" t="s">
        <v>90</v>
      </c>
      <c r="G66" s="241">
        <v>3</v>
      </c>
      <c r="H66" s="312">
        <v>0</v>
      </c>
      <c r="I66" s="206"/>
      <c r="J66" s="235"/>
      <c r="K66" s="212"/>
      <c r="L66" s="212"/>
      <c r="M66" s="241"/>
      <c r="N66" s="206" t="s">
        <v>91</v>
      </c>
      <c r="O66" s="207" t="s">
        <v>28</v>
      </c>
      <c r="P66" s="206" t="s">
        <v>134</v>
      </c>
      <c r="Q66" s="226"/>
      <c r="R66" s="205"/>
    </row>
    <row r="67" spans="1:18" x14ac:dyDescent="0.25">
      <c r="A67" s="450" t="s">
        <v>229</v>
      </c>
      <c r="B67" s="431">
        <v>0</v>
      </c>
      <c r="C67" s="437" t="s">
        <v>88</v>
      </c>
      <c r="D67" s="235" t="s">
        <v>263</v>
      </c>
      <c r="E67" s="206" t="s">
        <v>90</v>
      </c>
      <c r="F67" s="212" t="s">
        <v>90</v>
      </c>
      <c r="G67" s="241" t="s">
        <v>90</v>
      </c>
      <c r="H67" s="614">
        <v>182</v>
      </c>
      <c r="I67" s="322" t="s">
        <v>130</v>
      </c>
      <c r="J67" s="336" t="s">
        <v>263</v>
      </c>
      <c r="K67" s="322" t="s">
        <v>131</v>
      </c>
      <c r="L67" s="323" t="s">
        <v>90</v>
      </c>
      <c r="M67" s="357">
        <f>1.258224+63.338845</f>
        <v>64.597069000000005</v>
      </c>
      <c r="N67" s="206" t="s">
        <v>355</v>
      </c>
      <c r="O67" s="206"/>
      <c r="P67" s="206"/>
      <c r="Q67" s="226"/>
      <c r="R67" s="205"/>
    </row>
    <row r="68" spans="1:18" x14ac:dyDescent="0.25">
      <c r="A68" s="452"/>
      <c r="B68" s="433"/>
      <c r="C68" s="438"/>
      <c r="D68" s="235" t="s">
        <v>262</v>
      </c>
      <c r="E68" s="206" t="s">
        <v>90</v>
      </c>
      <c r="F68" s="212" t="s">
        <v>90</v>
      </c>
      <c r="G68" s="241" t="s">
        <v>90</v>
      </c>
      <c r="H68" s="616"/>
      <c r="I68" s="322" t="s">
        <v>130</v>
      </c>
      <c r="J68" s="336" t="s">
        <v>262</v>
      </c>
      <c r="K68" s="206" t="s">
        <v>131</v>
      </c>
      <c r="L68" s="212" t="s">
        <v>90</v>
      </c>
      <c r="M68" s="357">
        <v>116.5</v>
      </c>
      <c r="N68" s="206" t="s">
        <v>355</v>
      </c>
      <c r="O68" s="206"/>
      <c r="P68" s="206"/>
      <c r="Q68" s="226"/>
      <c r="R68" s="205"/>
    </row>
    <row r="69" spans="1:18" ht="30" x14ac:dyDescent="0.25">
      <c r="A69" s="450" t="s">
        <v>230</v>
      </c>
      <c r="B69" s="431">
        <f>30+5+50</f>
        <v>85</v>
      </c>
      <c r="C69" s="206" t="s">
        <v>130</v>
      </c>
      <c r="D69" s="235" t="s">
        <v>156</v>
      </c>
      <c r="E69" s="206" t="s">
        <v>131</v>
      </c>
      <c r="F69" s="235" t="s">
        <v>90</v>
      </c>
      <c r="G69" s="241">
        <v>22.2</v>
      </c>
      <c r="H69" s="614">
        <v>0</v>
      </c>
      <c r="I69" s="434"/>
      <c r="J69" s="434"/>
      <c r="K69" s="434"/>
      <c r="L69" s="434"/>
      <c r="M69" s="434"/>
      <c r="N69" s="437" t="s">
        <v>91</v>
      </c>
      <c r="O69" s="467" t="s">
        <v>24</v>
      </c>
      <c r="P69" s="547" t="s">
        <v>454</v>
      </c>
      <c r="Q69" s="476" t="s">
        <v>601</v>
      </c>
      <c r="R69" s="525" t="s">
        <v>513</v>
      </c>
    </row>
    <row r="70" spans="1:18" ht="30" x14ac:dyDescent="0.25">
      <c r="A70" s="452"/>
      <c r="B70" s="433"/>
      <c r="C70" s="206" t="s">
        <v>398</v>
      </c>
      <c r="D70" s="235" t="s">
        <v>156</v>
      </c>
      <c r="E70" s="206" t="s">
        <v>131</v>
      </c>
      <c r="F70" s="235" t="s">
        <v>90</v>
      </c>
      <c r="G70" s="241">
        <v>50</v>
      </c>
      <c r="H70" s="616"/>
      <c r="I70" s="436"/>
      <c r="J70" s="436"/>
      <c r="K70" s="436"/>
      <c r="L70" s="436"/>
      <c r="M70" s="436"/>
      <c r="N70" s="438"/>
      <c r="O70" s="469"/>
      <c r="P70" s="547"/>
      <c r="Q70" s="478"/>
      <c r="R70" s="481"/>
    </row>
    <row r="71" spans="1:18" ht="60" x14ac:dyDescent="0.25">
      <c r="A71" s="229" t="s">
        <v>231</v>
      </c>
      <c r="B71" s="96">
        <v>5</v>
      </c>
      <c r="C71" s="206" t="s">
        <v>398</v>
      </c>
      <c r="D71" s="235" t="s">
        <v>382</v>
      </c>
      <c r="E71" s="206" t="s">
        <v>131</v>
      </c>
      <c r="F71" s="235" t="s">
        <v>90</v>
      </c>
      <c r="G71" s="150">
        <v>4.74</v>
      </c>
      <c r="H71" s="312">
        <v>0</v>
      </c>
      <c r="I71" s="206"/>
      <c r="J71" s="235"/>
      <c r="K71" s="206"/>
      <c r="L71" s="235"/>
      <c r="M71" s="147"/>
      <c r="N71" s="206" t="s">
        <v>426</v>
      </c>
      <c r="O71" s="206" t="s">
        <v>90</v>
      </c>
      <c r="P71" s="216" t="s">
        <v>454</v>
      </c>
      <c r="Q71" s="226" t="s">
        <v>606</v>
      </c>
      <c r="R71" s="205" t="s">
        <v>513</v>
      </c>
    </row>
    <row r="72" spans="1:18" ht="30" x14ac:dyDescent="0.25">
      <c r="A72" s="450" t="s">
        <v>232</v>
      </c>
      <c r="B72" s="431">
        <v>50</v>
      </c>
      <c r="C72" s="206" t="s">
        <v>136</v>
      </c>
      <c r="D72" s="235" t="s">
        <v>233</v>
      </c>
      <c r="E72" s="206" t="s">
        <v>170</v>
      </c>
      <c r="F72" s="235" t="s">
        <v>341</v>
      </c>
      <c r="G72" s="241">
        <v>50</v>
      </c>
      <c r="H72" s="614">
        <v>0</v>
      </c>
      <c r="I72" s="434" t="s">
        <v>130</v>
      </c>
      <c r="J72" s="431" t="s">
        <v>233</v>
      </c>
      <c r="K72" s="431" t="s">
        <v>131</v>
      </c>
      <c r="L72" s="431" t="s">
        <v>90</v>
      </c>
      <c r="M72" s="434">
        <v>49</v>
      </c>
      <c r="N72" s="437" t="s">
        <v>91</v>
      </c>
      <c r="O72" s="467" t="s">
        <v>25</v>
      </c>
      <c r="P72" s="547" t="s">
        <v>454</v>
      </c>
      <c r="Q72" s="476" t="s">
        <v>560</v>
      </c>
      <c r="R72" s="455" t="s">
        <v>513</v>
      </c>
    </row>
    <row r="73" spans="1:18" ht="30" x14ac:dyDescent="0.25">
      <c r="A73" s="451"/>
      <c r="B73" s="432"/>
      <c r="C73" s="206" t="s">
        <v>398</v>
      </c>
      <c r="D73" s="235" t="s">
        <v>233</v>
      </c>
      <c r="E73" s="206" t="s">
        <v>170</v>
      </c>
      <c r="F73" s="235" t="s">
        <v>341</v>
      </c>
      <c r="G73" s="241">
        <v>-49.654000000000003</v>
      </c>
      <c r="H73" s="615"/>
      <c r="I73" s="435"/>
      <c r="J73" s="432"/>
      <c r="K73" s="432" t="s">
        <v>131</v>
      </c>
      <c r="L73" s="432" t="s">
        <v>90</v>
      </c>
      <c r="M73" s="435"/>
      <c r="N73" s="446"/>
      <c r="O73" s="468"/>
      <c r="P73" s="547"/>
      <c r="Q73" s="477"/>
      <c r="R73" s="480"/>
    </row>
    <row r="74" spans="1:18" x14ac:dyDescent="0.25">
      <c r="A74" s="452"/>
      <c r="B74" s="433"/>
      <c r="C74" s="206" t="s">
        <v>398</v>
      </c>
      <c r="D74" s="235" t="s">
        <v>233</v>
      </c>
      <c r="E74" s="206" t="s">
        <v>131</v>
      </c>
      <c r="F74" s="235" t="s">
        <v>90</v>
      </c>
      <c r="G74" s="241">
        <v>49.654000000000003</v>
      </c>
      <c r="H74" s="616"/>
      <c r="I74" s="436"/>
      <c r="J74" s="433"/>
      <c r="K74" s="433" t="s">
        <v>131</v>
      </c>
      <c r="L74" s="433" t="s">
        <v>90</v>
      </c>
      <c r="M74" s="436"/>
      <c r="N74" s="438"/>
      <c r="O74" s="469"/>
      <c r="P74" s="547"/>
      <c r="Q74" s="478"/>
      <c r="R74" s="481"/>
    </row>
    <row r="75" spans="1:18" ht="28.5" customHeight="1" x14ac:dyDescent="0.25">
      <c r="A75" s="450" t="s">
        <v>234</v>
      </c>
      <c r="B75" s="431">
        <v>50</v>
      </c>
      <c r="C75" s="437" t="s">
        <v>398</v>
      </c>
      <c r="D75" s="431" t="s">
        <v>224</v>
      </c>
      <c r="E75" s="437" t="s">
        <v>131</v>
      </c>
      <c r="F75" s="437" t="s">
        <v>90</v>
      </c>
      <c r="G75" s="447">
        <v>10</v>
      </c>
      <c r="H75" s="614">
        <v>156</v>
      </c>
      <c r="I75" s="206" t="s">
        <v>478</v>
      </c>
      <c r="J75" s="235" t="s">
        <v>224</v>
      </c>
      <c r="K75" s="206" t="s">
        <v>131</v>
      </c>
      <c r="L75" s="235" t="s">
        <v>90</v>
      </c>
      <c r="M75" s="148">
        <v>30.888862</v>
      </c>
      <c r="N75" s="437" t="s">
        <v>91</v>
      </c>
      <c r="O75" s="467" t="s">
        <v>28</v>
      </c>
      <c r="P75" s="515" t="s">
        <v>134</v>
      </c>
      <c r="Q75" s="515"/>
      <c r="R75" s="632"/>
    </row>
    <row r="76" spans="1:18" ht="30" x14ac:dyDescent="0.25">
      <c r="A76" s="451"/>
      <c r="B76" s="432"/>
      <c r="C76" s="446"/>
      <c r="D76" s="432"/>
      <c r="E76" s="446"/>
      <c r="F76" s="446"/>
      <c r="G76" s="448"/>
      <c r="H76" s="615"/>
      <c r="I76" s="206" t="s">
        <v>478</v>
      </c>
      <c r="J76" s="235" t="s">
        <v>224</v>
      </c>
      <c r="K76" s="206" t="s">
        <v>170</v>
      </c>
      <c r="L76" s="235"/>
      <c r="M76" s="186">
        <v>0.19092600000000001</v>
      </c>
      <c r="N76" s="446"/>
      <c r="O76" s="468"/>
      <c r="P76" s="515"/>
      <c r="Q76" s="515"/>
      <c r="R76" s="632"/>
    </row>
    <row r="77" spans="1:18" ht="30" x14ac:dyDescent="0.25">
      <c r="A77" s="451"/>
      <c r="B77" s="432"/>
      <c r="C77" s="438"/>
      <c r="D77" s="433"/>
      <c r="E77" s="438"/>
      <c r="F77" s="438"/>
      <c r="G77" s="449"/>
      <c r="H77" s="615"/>
      <c r="I77" s="322" t="s">
        <v>130</v>
      </c>
      <c r="J77" s="336" t="s">
        <v>224</v>
      </c>
      <c r="K77" s="322" t="s">
        <v>131</v>
      </c>
      <c r="L77" s="336" t="s">
        <v>90</v>
      </c>
      <c r="M77" s="148">
        <v>10</v>
      </c>
      <c r="N77" s="446"/>
      <c r="O77" s="468"/>
      <c r="P77" s="323"/>
      <c r="Q77" s="323"/>
      <c r="R77" s="356"/>
    </row>
    <row r="78" spans="1:18" ht="45" x14ac:dyDescent="0.25">
      <c r="A78" s="451"/>
      <c r="B78" s="432"/>
      <c r="C78" s="437" t="s">
        <v>398</v>
      </c>
      <c r="D78" s="431" t="s">
        <v>225</v>
      </c>
      <c r="E78" s="431" t="s">
        <v>131</v>
      </c>
      <c r="F78" s="431" t="s">
        <v>90</v>
      </c>
      <c r="G78" s="447">
        <v>0.625</v>
      </c>
      <c r="H78" s="615"/>
      <c r="I78" s="206" t="s">
        <v>478</v>
      </c>
      <c r="J78" s="235" t="s">
        <v>225</v>
      </c>
      <c r="K78" s="206" t="s">
        <v>131</v>
      </c>
      <c r="L78" s="235" t="s">
        <v>90</v>
      </c>
      <c r="M78" s="148">
        <v>1.9279999999999999</v>
      </c>
      <c r="N78" s="446"/>
      <c r="O78" s="468"/>
      <c r="P78" s="515" t="s">
        <v>134</v>
      </c>
      <c r="Q78" s="515"/>
      <c r="R78" s="632"/>
    </row>
    <row r="79" spans="1:18" ht="45" x14ac:dyDescent="0.25">
      <c r="A79" s="451"/>
      <c r="B79" s="432"/>
      <c r="C79" s="446"/>
      <c r="D79" s="432"/>
      <c r="E79" s="432"/>
      <c r="F79" s="432"/>
      <c r="G79" s="448"/>
      <c r="H79" s="615"/>
      <c r="I79" s="206" t="s">
        <v>478</v>
      </c>
      <c r="J79" s="235" t="s">
        <v>225</v>
      </c>
      <c r="K79" s="206" t="s">
        <v>170</v>
      </c>
      <c r="L79" s="235"/>
      <c r="M79" s="187">
        <v>1.35E-2</v>
      </c>
      <c r="N79" s="446"/>
      <c r="O79" s="468"/>
      <c r="P79" s="515"/>
      <c r="Q79" s="515"/>
      <c r="R79" s="632"/>
    </row>
    <row r="80" spans="1:18" ht="45" x14ac:dyDescent="0.25">
      <c r="A80" s="451"/>
      <c r="B80" s="432"/>
      <c r="C80" s="438"/>
      <c r="D80" s="433"/>
      <c r="E80" s="433"/>
      <c r="F80" s="433"/>
      <c r="G80" s="449"/>
      <c r="H80" s="615"/>
      <c r="I80" s="322" t="s">
        <v>130</v>
      </c>
      <c r="J80" s="336" t="s">
        <v>225</v>
      </c>
      <c r="K80" s="322" t="s">
        <v>131</v>
      </c>
      <c r="L80" s="336" t="s">
        <v>90</v>
      </c>
      <c r="M80" s="187">
        <v>0.625</v>
      </c>
      <c r="N80" s="446"/>
      <c r="O80" s="468"/>
      <c r="P80" s="323"/>
      <c r="Q80" s="323"/>
      <c r="R80" s="356"/>
    </row>
    <row r="81" spans="1:18" x14ac:dyDescent="0.25">
      <c r="A81" s="451"/>
      <c r="B81" s="432"/>
      <c r="C81" s="437" t="s">
        <v>398</v>
      </c>
      <c r="D81" s="437" t="s">
        <v>152</v>
      </c>
      <c r="E81" s="437" t="s">
        <v>131</v>
      </c>
      <c r="F81" s="431" t="s">
        <v>90</v>
      </c>
      <c r="G81" s="447">
        <v>5.875</v>
      </c>
      <c r="H81" s="615"/>
      <c r="I81" s="206" t="s">
        <v>478</v>
      </c>
      <c r="J81" s="235" t="s">
        <v>152</v>
      </c>
      <c r="K81" s="206" t="s">
        <v>131</v>
      </c>
      <c r="L81" s="235" t="s">
        <v>90</v>
      </c>
      <c r="M81" s="148">
        <v>18.128205000000001</v>
      </c>
      <c r="N81" s="446"/>
      <c r="O81" s="468"/>
      <c r="P81" s="547" t="s">
        <v>454</v>
      </c>
      <c r="Q81" s="630" t="s">
        <v>603</v>
      </c>
      <c r="R81" s="633" t="s">
        <v>513</v>
      </c>
    </row>
    <row r="82" spans="1:18" x14ac:dyDescent="0.25">
      <c r="A82" s="451"/>
      <c r="B82" s="432"/>
      <c r="C82" s="438"/>
      <c r="D82" s="438"/>
      <c r="E82" s="438"/>
      <c r="F82" s="433"/>
      <c r="G82" s="449"/>
      <c r="H82" s="615"/>
      <c r="I82" s="206" t="s">
        <v>478</v>
      </c>
      <c r="J82" s="206" t="s">
        <v>152</v>
      </c>
      <c r="K82" s="206" t="s">
        <v>170</v>
      </c>
      <c r="L82" s="235"/>
      <c r="M82" s="186">
        <v>0.12382899999999999</v>
      </c>
      <c r="N82" s="446"/>
      <c r="O82" s="468"/>
      <c r="P82" s="547"/>
      <c r="Q82" s="630"/>
      <c r="R82" s="633"/>
    </row>
    <row r="83" spans="1:18" ht="30" x14ac:dyDescent="0.25">
      <c r="A83" s="451"/>
      <c r="B83" s="432"/>
      <c r="C83" s="431" t="s">
        <v>398</v>
      </c>
      <c r="D83" s="431" t="s">
        <v>182</v>
      </c>
      <c r="E83" s="431" t="s">
        <v>131</v>
      </c>
      <c r="F83" s="431" t="s">
        <v>90</v>
      </c>
      <c r="G83" s="447">
        <v>13.25</v>
      </c>
      <c r="H83" s="615"/>
      <c r="I83" s="206" t="s">
        <v>478</v>
      </c>
      <c r="J83" s="235" t="s">
        <v>182</v>
      </c>
      <c r="K83" s="206" t="s">
        <v>131</v>
      </c>
      <c r="L83" s="235" t="s">
        <v>90</v>
      </c>
      <c r="M83" s="148">
        <v>40.9</v>
      </c>
      <c r="N83" s="446"/>
      <c r="O83" s="468"/>
      <c r="P83" s="515" t="s">
        <v>134</v>
      </c>
      <c r="Q83" s="515"/>
      <c r="R83" s="632"/>
    </row>
    <row r="84" spans="1:18" ht="30" x14ac:dyDescent="0.25">
      <c r="A84" s="451"/>
      <c r="B84" s="432"/>
      <c r="C84" s="432"/>
      <c r="D84" s="432"/>
      <c r="E84" s="432"/>
      <c r="F84" s="432"/>
      <c r="G84" s="448"/>
      <c r="H84" s="615"/>
      <c r="I84" s="206" t="s">
        <v>478</v>
      </c>
      <c r="J84" s="235" t="s">
        <v>182</v>
      </c>
      <c r="K84" s="206" t="s">
        <v>170</v>
      </c>
      <c r="L84" s="235"/>
      <c r="M84" s="186">
        <v>0.27</v>
      </c>
      <c r="N84" s="446"/>
      <c r="O84" s="468"/>
      <c r="P84" s="515"/>
      <c r="Q84" s="515"/>
      <c r="R84" s="632"/>
    </row>
    <row r="85" spans="1:18" ht="30" x14ac:dyDescent="0.25">
      <c r="A85" s="451"/>
      <c r="B85" s="432"/>
      <c r="C85" s="433"/>
      <c r="D85" s="433"/>
      <c r="E85" s="433"/>
      <c r="F85" s="433"/>
      <c r="G85" s="449"/>
      <c r="H85" s="615"/>
      <c r="I85" s="322" t="s">
        <v>130</v>
      </c>
      <c r="J85" s="336" t="s">
        <v>182</v>
      </c>
      <c r="K85" s="322" t="s">
        <v>131</v>
      </c>
      <c r="L85" s="336" t="s">
        <v>90</v>
      </c>
      <c r="M85" s="186">
        <v>13.25</v>
      </c>
      <c r="N85" s="446"/>
      <c r="O85" s="468"/>
      <c r="P85" s="323"/>
      <c r="Q85" s="323"/>
      <c r="R85" s="356"/>
    </row>
    <row r="86" spans="1:18" ht="45" x14ac:dyDescent="0.25">
      <c r="A86" s="451"/>
      <c r="B86" s="432"/>
      <c r="C86" s="437" t="s">
        <v>398</v>
      </c>
      <c r="D86" s="431" t="s">
        <v>226</v>
      </c>
      <c r="E86" s="431" t="s">
        <v>131</v>
      </c>
      <c r="F86" s="431" t="s">
        <v>90</v>
      </c>
      <c r="G86" s="675">
        <v>14.375</v>
      </c>
      <c r="H86" s="615"/>
      <c r="I86" s="206" t="s">
        <v>478</v>
      </c>
      <c r="J86" s="235" t="s">
        <v>226</v>
      </c>
      <c r="K86" s="206" t="s">
        <v>131</v>
      </c>
      <c r="L86" s="235" t="s">
        <v>90</v>
      </c>
      <c r="M86" s="149">
        <v>44.354999999999997</v>
      </c>
      <c r="N86" s="446"/>
      <c r="O86" s="468"/>
      <c r="P86" s="547" t="s">
        <v>454</v>
      </c>
      <c r="Q86" s="631" t="s">
        <v>605</v>
      </c>
      <c r="R86" s="632" t="s">
        <v>513</v>
      </c>
    </row>
    <row r="87" spans="1:18" ht="45" x14ac:dyDescent="0.25">
      <c r="A87" s="451"/>
      <c r="B87" s="432"/>
      <c r="C87" s="438"/>
      <c r="D87" s="433"/>
      <c r="E87" s="433"/>
      <c r="F87" s="433"/>
      <c r="G87" s="676"/>
      <c r="H87" s="615"/>
      <c r="I87" s="206" t="s">
        <v>478</v>
      </c>
      <c r="J87" s="235" t="s">
        <v>226</v>
      </c>
      <c r="K87" s="206" t="s">
        <v>170</v>
      </c>
      <c r="L87" s="235"/>
      <c r="M87" s="188">
        <v>0.30375000000000002</v>
      </c>
      <c r="N87" s="446"/>
      <c r="O87" s="468"/>
      <c r="P87" s="547"/>
      <c r="Q87" s="631"/>
      <c r="R87" s="632"/>
    </row>
    <row r="88" spans="1:18" ht="30" x14ac:dyDescent="0.25">
      <c r="A88" s="451"/>
      <c r="B88" s="432"/>
      <c r="C88" s="637" t="s">
        <v>88</v>
      </c>
      <c r="D88" s="634" t="s">
        <v>227</v>
      </c>
      <c r="E88" s="637" t="s">
        <v>90</v>
      </c>
      <c r="F88" s="637" t="s">
        <v>90</v>
      </c>
      <c r="G88" s="439" t="s">
        <v>90</v>
      </c>
      <c r="H88" s="615"/>
      <c r="I88" s="206" t="s">
        <v>478</v>
      </c>
      <c r="J88" s="235" t="s">
        <v>227</v>
      </c>
      <c r="K88" s="206" t="s">
        <v>131</v>
      </c>
      <c r="L88" s="235" t="s">
        <v>90</v>
      </c>
      <c r="M88" s="149">
        <v>18.132000000000001</v>
      </c>
      <c r="N88" s="446"/>
      <c r="O88" s="468"/>
      <c r="P88" s="515" t="s">
        <v>134</v>
      </c>
      <c r="Q88" s="515"/>
      <c r="R88" s="632"/>
    </row>
    <row r="89" spans="1:18" ht="30" x14ac:dyDescent="0.25">
      <c r="A89" s="451"/>
      <c r="B89" s="432"/>
      <c r="C89" s="638"/>
      <c r="D89" s="635"/>
      <c r="E89" s="638"/>
      <c r="F89" s="638"/>
      <c r="G89" s="492"/>
      <c r="H89" s="615"/>
      <c r="I89" s="206" t="s">
        <v>478</v>
      </c>
      <c r="J89" s="235" t="s">
        <v>227</v>
      </c>
      <c r="K89" s="206" t="s">
        <v>170</v>
      </c>
      <c r="L89" s="235"/>
      <c r="M89" s="188">
        <v>0.1215</v>
      </c>
      <c r="N89" s="446"/>
      <c r="O89" s="468"/>
      <c r="P89" s="515"/>
      <c r="Q89" s="515"/>
      <c r="R89" s="632"/>
    </row>
    <row r="90" spans="1:18" ht="30" x14ac:dyDescent="0.25">
      <c r="A90" s="452"/>
      <c r="B90" s="433"/>
      <c r="C90" s="639"/>
      <c r="D90" s="636"/>
      <c r="E90" s="639"/>
      <c r="F90" s="639"/>
      <c r="G90" s="440"/>
      <c r="H90" s="616"/>
      <c r="I90" s="329" t="s">
        <v>130</v>
      </c>
      <c r="J90" s="336" t="s">
        <v>227</v>
      </c>
      <c r="K90" s="322" t="s">
        <v>131</v>
      </c>
      <c r="L90" s="336" t="s">
        <v>90</v>
      </c>
      <c r="M90" s="365">
        <v>5.875</v>
      </c>
      <c r="N90" s="438"/>
      <c r="O90" s="469"/>
      <c r="P90" s="515"/>
      <c r="Q90" s="515"/>
      <c r="R90" s="632"/>
    </row>
    <row r="91" spans="1:18" x14ac:dyDescent="0.25">
      <c r="A91" s="229" t="s">
        <v>235</v>
      </c>
      <c r="B91" s="96">
        <v>0</v>
      </c>
      <c r="C91" s="206" t="s">
        <v>88</v>
      </c>
      <c r="D91" s="235" t="s">
        <v>240</v>
      </c>
      <c r="E91" s="206" t="s">
        <v>90</v>
      </c>
      <c r="F91" s="206" t="s">
        <v>90</v>
      </c>
      <c r="G91" s="241" t="s">
        <v>90</v>
      </c>
      <c r="H91" s="312">
        <v>93</v>
      </c>
      <c r="I91" s="206"/>
      <c r="J91" s="235"/>
      <c r="K91" s="206"/>
      <c r="L91" s="235"/>
      <c r="M91" s="241"/>
      <c r="N91" s="206" t="s">
        <v>355</v>
      </c>
      <c r="O91" s="206"/>
      <c r="P91" s="206"/>
      <c r="Q91" s="226"/>
      <c r="R91" s="205"/>
    </row>
    <row r="92" spans="1:18" x14ac:dyDescent="0.25">
      <c r="A92" s="229" t="s">
        <v>236</v>
      </c>
      <c r="B92" s="96">
        <v>0</v>
      </c>
      <c r="C92" s="206" t="s">
        <v>88</v>
      </c>
      <c r="D92" s="235" t="s">
        <v>240</v>
      </c>
      <c r="E92" s="206" t="s">
        <v>90</v>
      </c>
      <c r="F92" s="206" t="s">
        <v>90</v>
      </c>
      <c r="G92" s="241" t="s">
        <v>90</v>
      </c>
      <c r="H92" s="312">
        <v>205</v>
      </c>
      <c r="I92" s="206"/>
      <c r="J92" s="235"/>
      <c r="K92" s="206"/>
      <c r="L92" s="235"/>
      <c r="M92" s="241"/>
      <c r="N92" s="206" t="s">
        <v>355</v>
      </c>
      <c r="O92" s="206"/>
      <c r="P92" s="206"/>
      <c r="Q92" s="226"/>
      <c r="R92" s="205"/>
    </row>
    <row r="93" spans="1:18" x14ac:dyDescent="0.25">
      <c r="A93" s="229" t="s">
        <v>237</v>
      </c>
      <c r="B93" s="96">
        <v>57</v>
      </c>
      <c r="C93" s="206" t="s">
        <v>88</v>
      </c>
      <c r="D93" s="235" t="s">
        <v>240</v>
      </c>
      <c r="E93" s="206" t="s">
        <v>90</v>
      </c>
      <c r="F93" s="235" t="s">
        <v>351</v>
      </c>
      <c r="G93" s="241" t="s">
        <v>90</v>
      </c>
      <c r="H93" s="312">
        <v>171</v>
      </c>
      <c r="I93" s="206"/>
      <c r="J93" s="235"/>
      <c r="K93" s="206"/>
      <c r="L93" s="235"/>
      <c r="M93" s="241"/>
      <c r="N93" s="206" t="s">
        <v>91</v>
      </c>
      <c r="O93" s="207" t="s">
        <v>6</v>
      </c>
      <c r="P93" s="206" t="s">
        <v>134</v>
      </c>
      <c r="Q93" s="226"/>
      <c r="R93" s="205"/>
    </row>
    <row r="94" spans="1:18" x14ac:dyDescent="0.25">
      <c r="A94" s="229" t="s">
        <v>238</v>
      </c>
      <c r="B94" s="96">
        <v>0</v>
      </c>
      <c r="C94" s="206" t="s">
        <v>88</v>
      </c>
      <c r="D94" s="235" t="s">
        <v>240</v>
      </c>
      <c r="E94" s="206" t="s">
        <v>90</v>
      </c>
      <c r="F94" s="206" t="s">
        <v>90</v>
      </c>
      <c r="G94" s="241" t="s">
        <v>90</v>
      </c>
      <c r="H94" s="312">
        <v>65</v>
      </c>
      <c r="I94" s="206"/>
      <c r="J94" s="235"/>
      <c r="K94" s="206"/>
      <c r="L94" s="206"/>
      <c r="M94" s="241"/>
      <c r="N94" s="206" t="s">
        <v>355</v>
      </c>
      <c r="O94" s="207"/>
      <c r="P94" s="206"/>
      <c r="Q94" s="226"/>
      <c r="R94" s="205"/>
    </row>
    <row r="95" spans="1:18" ht="60" x14ac:dyDescent="0.25">
      <c r="A95" s="229" t="s">
        <v>239</v>
      </c>
      <c r="B95" s="96">
        <v>331</v>
      </c>
      <c r="C95" s="206" t="s">
        <v>88</v>
      </c>
      <c r="D95" s="235" t="s">
        <v>240</v>
      </c>
      <c r="E95" s="206" t="s">
        <v>90</v>
      </c>
      <c r="F95" s="235" t="s">
        <v>351</v>
      </c>
      <c r="G95" s="241" t="s">
        <v>90</v>
      </c>
      <c r="H95" s="312">
        <v>0</v>
      </c>
      <c r="I95" s="206" t="s">
        <v>130</v>
      </c>
      <c r="J95" s="336" t="s">
        <v>240</v>
      </c>
      <c r="K95" s="206" t="s">
        <v>131</v>
      </c>
      <c r="L95" s="235" t="s">
        <v>90</v>
      </c>
      <c r="M95" s="357">
        <f>359.6322+0.375791+2.632027</f>
        <v>362.640018</v>
      </c>
      <c r="N95" s="206" t="s">
        <v>91</v>
      </c>
      <c r="O95" s="207" t="s">
        <v>26</v>
      </c>
      <c r="P95" s="235" t="s">
        <v>92</v>
      </c>
      <c r="Q95" s="227" t="s">
        <v>460</v>
      </c>
      <c r="R95" s="224" t="s">
        <v>424</v>
      </c>
    </row>
    <row r="96" spans="1:18" x14ac:dyDescent="0.25">
      <c r="A96" s="229" t="s">
        <v>421</v>
      </c>
      <c r="B96" s="99">
        <v>0</v>
      </c>
      <c r="C96" s="206" t="s">
        <v>88</v>
      </c>
      <c r="D96" s="206" t="s">
        <v>152</v>
      </c>
      <c r="E96" s="206" t="s">
        <v>90</v>
      </c>
      <c r="F96" s="235" t="s">
        <v>90</v>
      </c>
      <c r="G96" s="241" t="s">
        <v>90</v>
      </c>
      <c r="H96" s="313">
        <v>110</v>
      </c>
      <c r="I96" s="206" t="s">
        <v>130</v>
      </c>
      <c r="J96" s="379" t="s">
        <v>152</v>
      </c>
      <c r="K96" s="206" t="s">
        <v>131</v>
      </c>
      <c r="L96" s="235" t="s">
        <v>90</v>
      </c>
      <c r="M96" s="374">
        <f>100+7.250251</f>
        <v>107.25025100000001</v>
      </c>
      <c r="N96" s="219" t="s">
        <v>91</v>
      </c>
      <c r="O96" s="207" t="s">
        <v>28</v>
      </c>
      <c r="P96" s="231" t="s">
        <v>134</v>
      </c>
      <c r="Q96" s="222"/>
      <c r="R96" s="171"/>
    </row>
    <row r="97" spans="1:18" ht="30" x14ac:dyDescent="0.25">
      <c r="A97" s="558" t="s">
        <v>363</v>
      </c>
      <c r="B97" s="431">
        <f>250+155</f>
        <v>405</v>
      </c>
      <c r="C97" s="206" t="s">
        <v>130</v>
      </c>
      <c r="D97" s="235" t="s">
        <v>154</v>
      </c>
      <c r="E97" s="206" t="s">
        <v>170</v>
      </c>
      <c r="F97" s="235" t="s">
        <v>341</v>
      </c>
      <c r="G97" s="241">
        <v>250</v>
      </c>
      <c r="H97" s="614">
        <v>0</v>
      </c>
      <c r="I97" s="434"/>
      <c r="J97" s="434"/>
      <c r="K97" s="434"/>
      <c r="L97" s="434"/>
      <c r="M97" s="434"/>
      <c r="N97" s="437" t="s">
        <v>91</v>
      </c>
      <c r="O97" s="467" t="s">
        <v>20</v>
      </c>
      <c r="P97" s="470" t="s">
        <v>454</v>
      </c>
      <c r="Q97" s="473" t="s">
        <v>561</v>
      </c>
      <c r="R97" s="455" t="s">
        <v>513</v>
      </c>
    </row>
    <row r="98" spans="1:18" ht="30" x14ac:dyDescent="0.25">
      <c r="A98" s="558"/>
      <c r="B98" s="432"/>
      <c r="C98" s="206" t="s">
        <v>136</v>
      </c>
      <c r="D98" s="235" t="s">
        <v>154</v>
      </c>
      <c r="E98" s="206" t="s">
        <v>170</v>
      </c>
      <c r="F98" s="235" t="s">
        <v>339</v>
      </c>
      <c r="G98" s="145">
        <v>124.16</v>
      </c>
      <c r="H98" s="615"/>
      <c r="I98" s="435"/>
      <c r="J98" s="435"/>
      <c r="K98" s="435"/>
      <c r="L98" s="435"/>
      <c r="M98" s="435"/>
      <c r="N98" s="446"/>
      <c r="O98" s="468"/>
      <c r="P98" s="471"/>
      <c r="Q98" s="474"/>
      <c r="R98" s="456"/>
    </row>
    <row r="99" spans="1:18" ht="30" x14ac:dyDescent="0.25">
      <c r="A99" s="558"/>
      <c r="B99" s="432"/>
      <c r="C99" s="206" t="s">
        <v>136</v>
      </c>
      <c r="D99" s="235" t="s">
        <v>154</v>
      </c>
      <c r="E99" s="206" t="s">
        <v>131</v>
      </c>
      <c r="F99" s="235" t="s">
        <v>90</v>
      </c>
      <c r="G99" s="145">
        <v>31.04</v>
      </c>
      <c r="H99" s="615"/>
      <c r="I99" s="435"/>
      <c r="J99" s="435"/>
      <c r="K99" s="435"/>
      <c r="L99" s="435"/>
      <c r="M99" s="435"/>
      <c r="N99" s="446"/>
      <c r="O99" s="468"/>
      <c r="P99" s="471"/>
      <c r="Q99" s="474"/>
      <c r="R99" s="456"/>
    </row>
    <row r="100" spans="1:18" ht="30" x14ac:dyDescent="0.25">
      <c r="A100" s="558"/>
      <c r="B100" s="432"/>
      <c r="C100" s="206" t="s">
        <v>398</v>
      </c>
      <c r="D100" s="235" t="s">
        <v>154</v>
      </c>
      <c r="E100" s="206" t="s">
        <v>170</v>
      </c>
      <c r="F100" s="235" t="s">
        <v>339</v>
      </c>
      <c r="G100" s="241">
        <v>-118.67460699999999</v>
      </c>
      <c r="H100" s="615"/>
      <c r="I100" s="435"/>
      <c r="J100" s="435"/>
      <c r="K100" s="435"/>
      <c r="L100" s="435"/>
      <c r="M100" s="435"/>
      <c r="N100" s="446"/>
      <c r="O100" s="468"/>
      <c r="P100" s="471"/>
      <c r="Q100" s="474"/>
      <c r="R100" s="456"/>
    </row>
    <row r="101" spans="1:18" ht="30" x14ac:dyDescent="0.25">
      <c r="A101" s="558"/>
      <c r="B101" s="433"/>
      <c r="C101" s="206" t="s">
        <v>398</v>
      </c>
      <c r="D101" s="235" t="s">
        <v>154</v>
      </c>
      <c r="E101" s="220" t="s">
        <v>131</v>
      </c>
      <c r="F101" s="232" t="s">
        <v>90</v>
      </c>
      <c r="G101" s="237">
        <v>118.67460699999999</v>
      </c>
      <c r="H101" s="616"/>
      <c r="I101" s="436"/>
      <c r="J101" s="436"/>
      <c r="K101" s="436"/>
      <c r="L101" s="436"/>
      <c r="M101" s="436"/>
      <c r="N101" s="438"/>
      <c r="O101" s="469"/>
      <c r="P101" s="472"/>
      <c r="Q101" s="475"/>
      <c r="R101" s="457"/>
    </row>
    <row r="102" spans="1:18" ht="30" x14ac:dyDescent="0.25">
      <c r="A102" s="229" t="s">
        <v>364</v>
      </c>
      <c r="B102" s="96">
        <v>20</v>
      </c>
      <c r="C102" s="206" t="s">
        <v>130</v>
      </c>
      <c r="D102" s="235" t="s">
        <v>152</v>
      </c>
      <c r="E102" s="206" t="s">
        <v>131</v>
      </c>
      <c r="F102" s="235" t="s">
        <v>90</v>
      </c>
      <c r="G102" s="241">
        <v>11.154370999999999</v>
      </c>
      <c r="H102" s="312">
        <v>0</v>
      </c>
      <c r="I102" s="206"/>
      <c r="J102" s="235"/>
      <c r="K102" s="206"/>
      <c r="L102" s="235"/>
      <c r="M102" s="241"/>
      <c r="N102" s="206" t="s">
        <v>91</v>
      </c>
      <c r="O102" s="207" t="s">
        <v>10</v>
      </c>
      <c r="P102" s="206" t="s">
        <v>92</v>
      </c>
      <c r="Q102" s="227" t="s">
        <v>365</v>
      </c>
      <c r="R102" s="210" t="s">
        <v>171</v>
      </c>
    </row>
    <row r="103" spans="1:18" ht="30" x14ac:dyDescent="0.25">
      <c r="A103" s="229" t="s">
        <v>241</v>
      </c>
      <c r="B103" s="101">
        <f>2080+425</f>
        <v>2505</v>
      </c>
      <c r="C103" s="206" t="s">
        <v>88</v>
      </c>
      <c r="D103" s="235" t="s">
        <v>89</v>
      </c>
      <c r="E103" s="206" t="s">
        <v>90</v>
      </c>
      <c r="F103" s="235" t="s">
        <v>341</v>
      </c>
      <c r="G103" s="241" t="s">
        <v>90</v>
      </c>
      <c r="H103" s="311">
        <f>-30</f>
        <v>-30</v>
      </c>
      <c r="I103" s="206"/>
      <c r="J103" s="235"/>
      <c r="K103" s="206"/>
      <c r="L103" s="235"/>
      <c r="M103" s="241"/>
      <c r="N103" s="206" t="s">
        <v>91</v>
      </c>
      <c r="O103" s="207" t="s">
        <v>29</v>
      </c>
      <c r="P103" s="235" t="s">
        <v>372</v>
      </c>
      <c r="Q103" s="226"/>
      <c r="R103" s="205"/>
    </row>
    <row r="104" spans="1:18" ht="31.5" customHeight="1" x14ac:dyDescent="0.25">
      <c r="A104" s="558" t="s">
        <v>242</v>
      </c>
      <c r="B104" s="484">
        <v>3000</v>
      </c>
      <c r="C104" s="206" t="s">
        <v>136</v>
      </c>
      <c r="D104" s="235" t="s">
        <v>101</v>
      </c>
      <c r="E104" s="206" t="s">
        <v>170</v>
      </c>
      <c r="F104" s="235" t="s">
        <v>341</v>
      </c>
      <c r="G104" s="241">
        <v>2538.9999889999999</v>
      </c>
      <c r="H104" s="628">
        <v>0</v>
      </c>
      <c r="I104" s="434"/>
      <c r="J104" s="434"/>
      <c r="K104" s="434"/>
      <c r="L104" s="434"/>
      <c r="M104" s="434"/>
      <c r="N104" s="552" t="s">
        <v>91</v>
      </c>
      <c r="O104" s="546" t="s">
        <v>1</v>
      </c>
      <c r="P104" s="521" t="s">
        <v>92</v>
      </c>
      <c r="Q104" s="538" t="s">
        <v>506</v>
      </c>
      <c r="R104" s="483" t="s">
        <v>459</v>
      </c>
    </row>
    <row r="105" spans="1:18" x14ac:dyDescent="0.25">
      <c r="A105" s="558"/>
      <c r="B105" s="433"/>
      <c r="C105" s="206" t="s">
        <v>136</v>
      </c>
      <c r="D105" s="235" t="s">
        <v>101</v>
      </c>
      <c r="E105" s="206" t="s">
        <v>131</v>
      </c>
      <c r="F105" s="235" t="s">
        <v>90</v>
      </c>
      <c r="G105" s="241">
        <v>461.00001099999997</v>
      </c>
      <c r="H105" s="616"/>
      <c r="I105" s="436"/>
      <c r="J105" s="436"/>
      <c r="K105" s="436"/>
      <c r="L105" s="436"/>
      <c r="M105" s="436"/>
      <c r="N105" s="552"/>
      <c r="O105" s="546"/>
      <c r="P105" s="521"/>
      <c r="Q105" s="538"/>
      <c r="R105" s="483"/>
    </row>
    <row r="106" spans="1:18" ht="30" x14ac:dyDescent="0.25">
      <c r="A106" s="450" t="s">
        <v>243</v>
      </c>
      <c r="B106" s="484">
        <f>72625+8000-4570</f>
        <v>76055</v>
      </c>
      <c r="C106" s="206" t="s">
        <v>130</v>
      </c>
      <c r="D106" s="235" t="s">
        <v>158</v>
      </c>
      <c r="E106" s="206" t="s">
        <v>170</v>
      </c>
      <c r="F106" s="235" t="s">
        <v>341</v>
      </c>
      <c r="G106" s="241">
        <v>60000</v>
      </c>
      <c r="H106" s="628">
        <v>0</v>
      </c>
      <c r="I106" s="434" t="s">
        <v>130</v>
      </c>
      <c r="J106" s="584" t="s">
        <v>158</v>
      </c>
      <c r="K106" s="434" t="s">
        <v>131</v>
      </c>
      <c r="L106" s="434" t="s">
        <v>90</v>
      </c>
      <c r="M106" s="434">
        <v>190.20674</v>
      </c>
      <c r="N106" s="552" t="s">
        <v>91</v>
      </c>
      <c r="O106" s="546" t="s">
        <v>30</v>
      </c>
      <c r="P106" s="470" t="s">
        <v>244</v>
      </c>
      <c r="Q106" s="538" t="s">
        <v>562</v>
      </c>
      <c r="R106" s="482" t="s">
        <v>513</v>
      </c>
    </row>
    <row r="107" spans="1:18" ht="30" x14ac:dyDescent="0.25">
      <c r="A107" s="451"/>
      <c r="B107" s="485"/>
      <c r="C107" s="206" t="s">
        <v>136</v>
      </c>
      <c r="D107" s="235" t="s">
        <v>158</v>
      </c>
      <c r="E107" s="206" t="s">
        <v>170</v>
      </c>
      <c r="F107" s="235" t="s">
        <v>341</v>
      </c>
      <c r="G107" s="241">
        <v>28467.769</v>
      </c>
      <c r="H107" s="640"/>
      <c r="I107" s="435"/>
      <c r="J107" s="591"/>
      <c r="K107" s="435"/>
      <c r="L107" s="435"/>
      <c r="M107" s="435"/>
      <c r="N107" s="552"/>
      <c r="O107" s="546"/>
      <c r="P107" s="472"/>
      <c r="Q107" s="538"/>
      <c r="R107" s="482"/>
    </row>
    <row r="108" spans="1:18" ht="30" x14ac:dyDescent="0.25">
      <c r="A108" s="451"/>
      <c r="B108" s="485"/>
      <c r="C108" s="206" t="s">
        <v>398</v>
      </c>
      <c r="D108" s="235" t="s">
        <v>158</v>
      </c>
      <c r="E108" s="206" t="s">
        <v>170</v>
      </c>
      <c r="F108" s="235" t="s">
        <v>341</v>
      </c>
      <c r="G108" s="237">
        <v>-12445</v>
      </c>
      <c r="H108" s="640"/>
      <c r="I108" s="435"/>
      <c r="J108" s="591"/>
      <c r="K108" s="435"/>
      <c r="L108" s="435"/>
      <c r="M108" s="435"/>
      <c r="N108" s="552"/>
      <c r="O108" s="546"/>
      <c r="P108" s="547" t="s">
        <v>454</v>
      </c>
      <c r="Q108" s="538"/>
      <c r="R108" s="482"/>
    </row>
    <row r="109" spans="1:18" ht="30" x14ac:dyDescent="0.25">
      <c r="A109" s="451"/>
      <c r="B109" s="485"/>
      <c r="C109" s="206" t="s">
        <v>398</v>
      </c>
      <c r="D109" s="235" t="s">
        <v>158</v>
      </c>
      <c r="E109" s="206" t="s">
        <v>170</v>
      </c>
      <c r="F109" s="235" t="s">
        <v>502</v>
      </c>
      <c r="G109" s="147">
        <v>500</v>
      </c>
      <c r="H109" s="640"/>
      <c r="I109" s="436"/>
      <c r="J109" s="585"/>
      <c r="K109" s="436"/>
      <c r="L109" s="436"/>
      <c r="M109" s="436"/>
      <c r="N109" s="552"/>
      <c r="O109" s="546"/>
      <c r="P109" s="547"/>
      <c r="Q109" s="538"/>
      <c r="R109" s="483"/>
    </row>
    <row r="110" spans="1:18" ht="60" x14ac:dyDescent="0.25">
      <c r="A110" s="452"/>
      <c r="B110" s="486"/>
      <c r="C110" s="206" t="s">
        <v>88</v>
      </c>
      <c r="D110" s="235" t="s">
        <v>172</v>
      </c>
      <c r="E110" s="206" t="s">
        <v>90</v>
      </c>
      <c r="F110" s="235" t="s">
        <v>90</v>
      </c>
      <c r="G110" s="241" t="s">
        <v>90</v>
      </c>
      <c r="H110" s="629"/>
      <c r="I110" s="206"/>
      <c r="J110" s="235"/>
      <c r="K110" s="206"/>
      <c r="L110" s="235"/>
      <c r="M110" s="241"/>
      <c r="N110" s="206" t="s">
        <v>426</v>
      </c>
      <c r="O110" s="179" t="s">
        <v>90</v>
      </c>
      <c r="P110" s="216" t="s">
        <v>454</v>
      </c>
      <c r="Q110" s="227" t="s">
        <v>563</v>
      </c>
      <c r="R110" s="205" t="s">
        <v>513</v>
      </c>
    </row>
    <row r="111" spans="1:18" ht="30" x14ac:dyDescent="0.25">
      <c r="A111" s="229" t="s">
        <v>245</v>
      </c>
      <c r="B111" s="96">
        <v>473</v>
      </c>
      <c r="C111" s="206" t="s">
        <v>136</v>
      </c>
      <c r="D111" s="235" t="s">
        <v>146</v>
      </c>
      <c r="E111" s="206" t="s">
        <v>170</v>
      </c>
      <c r="F111" s="235" t="s">
        <v>341</v>
      </c>
      <c r="G111" s="241">
        <v>9.9640000000000004</v>
      </c>
      <c r="H111" s="312">
        <v>0</v>
      </c>
      <c r="I111" s="206"/>
      <c r="J111" s="235"/>
      <c r="K111" s="206"/>
      <c r="L111" s="235"/>
      <c r="M111" s="241"/>
      <c r="N111" s="206" t="s">
        <v>91</v>
      </c>
      <c r="O111" s="207" t="s">
        <v>16</v>
      </c>
      <c r="P111" s="235" t="s">
        <v>92</v>
      </c>
      <c r="Q111" s="226" t="s">
        <v>368</v>
      </c>
      <c r="R111" s="205" t="s">
        <v>513</v>
      </c>
    </row>
    <row r="112" spans="1:18" ht="60" x14ac:dyDescent="0.25">
      <c r="A112" s="450" t="s">
        <v>511</v>
      </c>
      <c r="B112" s="484">
        <f>5250-2240+20</f>
        <v>3030</v>
      </c>
      <c r="C112" s="206" t="s">
        <v>130</v>
      </c>
      <c r="D112" s="235" t="s">
        <v>158</v>
      </c>
      <c r="E112" s="206" t="s">
        <v>170</v>
      </c>
      <c r="F112" s="235" t="s">
        <v>342</v>
      </c>
      <c r="G112" s="241">
        <v>5250</v>
      </c>
      <c r="H112" s="628">
        <v>20</v>
      </c>
      <c r="I112" s="323" t="s">
        <v>478</v>
      </c>
      <c r="J112" s="320" t="s">
        <v>158</v>
      </c>
      <c r="K112" s="323" t="s">
        <v>131</v>
      </c>
      <c r="L112" s="320" t="s">
        <v>90</v>
      </c>
      <c r="M112" s="324">
        <v>20.165317000000002</v>
      </c>
      <c r="N112" s="437" t="s">
        <v>426</v>
      </c>
      <c r="O112" s="437" t="s">
        <v>90</v>
      </c>
      <c r="P112" s="225" t="s">
        <v>379</v>
      </c>
      <c r="Q112" s="473" t="s">
        <v>564</v>
      </c>
      <c r="R112" s="455" t="s">
        <v>513</v>
      </c>
    </row>
    <row r="113" spans="1:18" ht="30" x14ac:dyDescent="0.25">
      <c r="A113" s="451"/>
      <c r="B113" s="485"/>
      <c r="C113" s="206" t="s">
        <v>398</v>
      </c>
      <c r="D113" s="235" t="s">
        <v>158</v>
      </c>
      <c r="E113" s="206" t="s">
        <v>131</v>
      </c>
      <c r="F113" s="235" t="s">
        <v>90</v>
      </c>
      <c r="G113" s="241">
        <v>8</v>
      </c>
      <c r="H113" s="640"/>
      <c r="I113" s="502" t="s">
        <v>130</v>
      </c>
      <c r="J113" s="428" t="s">
        <v>158</v>
      </c>
      <c r="K113" s="502" t="s">
        <v>131</v>
      </c>
      <c r="L113" s="502" t="s">
        <v>90</v>
      </c>
      <c r="M113" s="434">
        <v>11.334629</v>
      </c>
      <c r="N113" s="446"/>
      <c r="O113" s="446"/>
      <c r="P113" s="547" t="s">
        <v>454</v>
      </c>
      <c r="Q113" s="474"/>
      <c r="R113" s="456"/>
    </row>
    <row r="114" spans="1:18" ht="60" x14ac:dyDescent="0.25">
      <c r="A114" s="452"/>
      <c r="B114" s="486"/>
      <c r="C114" s="206" t="s">
        <v>398</v>
      </c>
      <c r="D114" s="235" t="s">
        <v>158</v>
      </c>
      <c r="E114" s="206" t="s">
        <v>170</v>
      </c>
      <c r="F114" s="235" t="s">
        <v>342</v>
      </c>
      <c r="G114" s="241">
        <v>-2227.805848</v>
      </c>
      <c r="H114" s="629"/>
      <c r="I114" s="504"/>
      <c r="J114" s="430"/>
      <c r="K114" s="504"/>
      <c r="L114" s="504"/>
      <c r="M114" s="436"/>
      <c r="N114" s="438"/>
      <c r="O114" s="438"/>
      <c r="P114" s="547"/>
      <c r="Q114" s="475"/>
      <c r="R114" s="457"/>
    </row>
    <row r="115" spans="1:18" ht="60" x14ac:dyDescent="0.25">
      <c r="A115" s="450" t="s">
        <v>246</v>
      </c>
      <c r="B115" s="484">
        <f>2974-811</f>
        <v>2163</v>
      </c>
      <c r="C115" s="206" t="s">
        <v>130</v>
      </c>
      <c r="D115" s="235" t="s">
        <v>124</v>
      </c>
      <c r="E115" s="206" t="s">
        <v>170</v>
      </c>
      <c r="F115" s="235" t="s">
        <v>342</v>
      </c>
      <c r="G115" s="241">
        <v>2972.9</v>
      </c>
      <c r="H115" s="628">
        <v>0</v>
      </c>
      <c r="I115" s="434" t="s">
        <v>130</v>
      </c>
      <c r="J115" s="584" t="s">
        <v>124</v>
      </c>
      <c r="K115" s="434" t="s">
        <v>131</v>
      </c>
      <c r="L115" s="434" t="s">
        <v>90</v>
      </c>
      <c r="M115" s="434">
        <v>15.8</v>
      </c>
      <c r="N115" s="437" t="s">
        <v>91</v>
      </c>
      <c r="O115" s="467" t="s">
        <v>31</v>
      </c>
      <c r="P115" s="470" t="s">
        <v>626</v>
      </c>
      <c r="Q115" s="647" t="s">
        <v>627</v>
      </c>
      <c r="R115" s="664" t="s">
        <v>513</v>
      </c>
    </row>
    <row r="116" spans="1:18" ht="60" x14ac:dyDescent="0.25">
      <c r="A116" s="451"/>
      <c r="B116" s="485"/>
      <c r="C116" s="206" t="s">
        <v>136</v>
      </c>
      <c r="D116" s="235" t="s">
        <v>124</v>
      </c>
      <c r="E116" s="206" t="s">
        <v>170</v>
      </c>
      <c r="F116" s="235" t="s">
        <v>342</v>
      </c>
      <c r="G116" s="241">
        <v>-5</v>
      </c>
      <c r="H116" s="640"/>
      <c r="I116" s="435"/>
      <c r="J116" s="591"/>
      <c r="K116" s="435"/>
      <c r="L116" s="435"/>
      <c r="M116" s="435"/>
      <c r="N116" s="446"/>
      <c r="O116" s="468"/>
      <c r="P116" s="471"/>
      <c r="Q116" s="648"/>
      <c r="R116" s="665"/>
    </row>
    <row r="117" spans="1:18" ht="30" x14ac:dyDescent="0.25">
      <c r="A117" s="451"/>
      <c r="B117" s="485"/>
      <c r="C117" s="206" t="s">
        <v>136</v>
      </c>
      <c r="D117" s="235" t="s">
        <v>124</v>
      </c>
      <c r="E117" s="206" t="s">
        <v>131</v>
      </c>
      <c r="F117" s="235" t="s">
        <v>90</v>
      </c>
      <c r="G117" s="241">
        <v>5</v>
      </c>
      <c r="H117" s="640"/>
      <c r="I117" s="435"/>
      <c r="J117" s="591"/>
      <c r="K117" s="435"/>
      <c r="L117" s="435"/>
      <c r="M117" s="435"/>
      <c r="N117" s="446"/>
      <c r="O117" s="468"/>
      <c r="P117" s="471"/>
      <c r="Q117" s="648"/>
      <c r="R117" s="665"/>
    </row>
    <row r="118" spans="1:18" ht="60" x14ac:dyDescent="0.25">
      <c r="A118" s="451"/>
      <c r="B118" s="485"/>
      <c r="C118" s="206" t="s">
        <v>398</v>
      </c>
      <c r="D118" s="235" t="s">
        <v>124</v>
      </c>
      <c r="E118" s="220" t="s">
        <v>170</v>
      </c>
      <c r="F118" s="235" t="s">
        <v>342</v>
      </c>
      <c r="G118" s="241">
        <v>-825.35683400000005</v>
      </c>
      <c r="H118" s="640"/>
      <c r="I118" s="435"/>
      <c r="J118" s="591"/>
      <c r="K118" s="435"/>
      <c r="L118" s="435"/>
      <c r="M118" s="435"/>
      <c r="N118" s="446"/>
      <c r="O118" s="468"/>
      <c r="P118" s="471"/>
      <c r="Q118" s="648"/>
      <c r="R118" s="665"/>
    </row>
    <row r="119" spans="1:18" ht="30" x14ac:dyDescent="0.25">
      <c r="A119" s="452"/>
      <c r="B119" s="486"/>
      <c r="C119" s="206" t="s">
        <v>398</v>
      </c>
      <c r="D119" s="235" t="s">
        <v>124</v>
      </c>
      <c r="E119" s="206" t="s">
        <v>131</v>
      </c>
      <c r="F119" s="235" t="s">
        <v>90</v>
      </c>
      <c r="G119" s="241">
        <v>13.456834000000001</v>
      </c>
      <c r="H119" s="629"/>
      <c r="I119" s="436"/>
      <c r="J119" s="585"/>
      <c r="K119" s="436"/>
      <c r="L119" s="436"/>
      <c r="M119" s="436"/>
      <c r="N119" s="438"/>
      <c r="O119" s="469"/>
      <c r="P119" s="472"/>
      <c r="Q119" s="649"/>
      <c r="R119" s="666"/>
    </row>
    <row r="120" spans="1:18" x14ac:dyDescent="0.25">
      <c r="A120" s="146" t="s">
        <v>247</v>
      </c>
      <c r="B120" s="103">
        <f>-569+62</f>
        <v>-507</v>
      </c>
      <c r="C120" s="206"/>
      <c r="D120" s="235"/>
      <c r="E120" s="206"/>
      <c r="F120" s="235"/>
      <c r="G120" s="148"/>
      <c r="H120" s="203"/>
      <c r="I120" s="206"/>
      <c r="J120" s="235"/>
      <c r="K120" s="206"/>
      <c r="L120" s="235"/>
      <c r="M120" s="148"/>
      <c r="N120" s="206"/>
      <c r="O120" s="206"/>
      <c r="P120" s="206"/>
      <c r="Q120" s="226"/>
      <c r="R120" s="205"/>
    </row>
    <row r="121" spans="1:18" ht="60" x14ac:dyDescent="0.25">
      <c r="A121" s="229" t="s">
        <v>248</v>
      </c>
      <c r="B121" s="96">
        <v>133</v>
      </c>
      <c r="C121" s="206" t="s">
        <v>398</v>
      </c>
      <c r="D121" s="235" t="s">
        <v>133</v>
      </c>
      <c r="E121" s="206" t="s">
        <v>131</v>
      </c>
      <c r="F121" s="235" t="s">
        <v>90</v>
      </c>
      <c r="G121" s="241">
        <v>58</v>
      </c>
      <c r="H121" s="312">
        <v>0</v>
      </c>
      <c r="I121" s="206"/>
      <c r="J121" s="235"/>
      <c r="K121" s="206"/>
      <c r="L121" s="235"/>
      <c r="M121" s="241"/>
      <c r="N121" s="206" t="s">
        <v>91</v>
      </c>
      <c r="O121" s="207" t="s">
        <v>9</v>
      </c>
      <c r="P121" s="216" t="s">
        <v>454</v>
      </c>
      <c r="Q121" s="227" t="s">
        <v>565</v>
      </c>
      <c r="R121" s="224" t="s">
        <v>513</v>
      </c>
    </row>
    <row r="122" spans="1:18" ht="60" x14ac:dyDescent="0.25">
      <c r="A122" s="229" t="s">
        <v>249</v>
      </c>
      <c r="B122" s="96">
        <v>17</v>
      </c>
      <c r="C122" s="206" t="s">
        <v>88</v>
      </c>
      <c r="D122" s="235" t="s">
        <v>175</v>
      </c>
      <c r="E122" s="206" t="s">
        <v>90</v>
      </c>
      <c r="F122" s="235" t="s">
        <v>90</v>
      </c>
      <c r="G122" s="241" t="s">
        <v>90</v>
      </c>
      <c r="H122" s="312">
        <v>0</v>
      </c>
      <c r="I122" s="206"/>
      <c r="J122" s="235"/>
      <c r="K122" s="206"/>
      <c r="L122" s="235"/>
      <c r="M122" s="241"/>
      <c r="N122" s="206" t="s">
        <v>91</v>
      </c>
      <c r="O122" s="207" t="s">
        <v>32</v>
      </c>
      <c r="P122" s="216" t="s">
        <v>454</v>
      </c>
      <c r="Q122" s="227" t="s">
        <v>250</v>
      </c>
      <c r="R122" s="224" t="s">
        <v>513</v>
      </c>
    </row>
    <row r="123" spans="1:18" ht="30" x14ac:dyDescent="0.25">
      <c r="A123" s="558" t="s">
        <v>251</v>
      </c>
      <c r="B123" s="431">
        <v>307</v>
      </c>
      <c r="C123" s="206" t="s">
        <v>136</v>
      </c>
      <c r="D123" s="235" t="s">
        <v>133</v>
      </c>
      <c r="E123" s="206" t="s">
        <v>170</v>
      </c>
      <c r="F123" s="235" t="s">
        <v>341</v>
      </c>
      <c r="G123" s="241">
        <v>75</v>
      </c>
      <c r="H123" s="614">
        <v>-23</v>
      </c>
      <c r="I123" s="502" t="s">
        <v>478</v>
      </c>
      <c r="J123" s="502" t="s">
        <v>133</v>
      </c>
      <c r="K123" s="502" t="s">
        <v>131</v>
      </c>
      <c r="L123" s="428" t="s">
        <v>90</v>
      </c>
      <c r="M123" s="434">
        <v>2.125</v>
      </c>
      <c r="N123" s="552" t="s">
        <v>91</v>
      </c>
      <c r="O123" s="546" t="s">
        <v>9</v>
      </c>
      <c r="P123" s="547" t="s">
        <v>454</v>
      </c>
      <c r="Q123" s="538" t="s">
        <v>566</v>
      </c>
      <c r="R123" s="596" t="s">
        <v>513</v>
      </c>
    </row>
    <row r="124" spans="1:18" ht="30" x14ac:dyDescent="0.25">
      <c r="A124" s="558"/>
      <c r="B124" s="432"/>
      <c r="C124" s="206" t="s">
        <v>136</v>
      </c>
      <c r="D124" s="235" t="s">
        <v>133</v>
      </c>
      <c r="E124" s="206" t="s">
        <v>131</v>
      </c>
      <c r="F124" s="235" t="s">
        <v>90</v>
      </c>
      <c r="G124" s="241">
        <v>298.3</v>
      </c>
      <c r="H124" s="615"/>
      <c r="I124" s="503"/>
      <c r="J124" s="503"/>
      <c r="K124" s="503"/>
      <c r="L124" s="429"/>
      <c r="M124" s="435"/>
      <c r="N124" s="552"/>
      <c r="O124" s="546"/>
      <c r="P124" s="547"/>
      <c r="Q124" s="538"/>
      <c r="R124" s="596"/>
    </row>
    <row r="125" spans="1:18" ht="30" x14ac:dyDescent="0.25">
      <c r="A125" s="558"/>
      <c r="B125" s="432"/>
      <c r="C125" s="206" t="s">
        <v>398</v>
      </c>
      <c r="D125" s="235" t="s">
        <v>133</v>
      </c>
      <c r="E125" s="206" t="s">
        <v>170</v>
      </c>
      <c r="F125" s="235" t="s">
        <v>341</v>
      </c>
      <c r="G125" s="241">
        <v>-1.8091630000000001</v>
      </c>
      <c r="H125" s="615"/>
      <c r="I125" s="503"/>
      <c r="J125" s="503"/>
      <c r="K125" s="503"/>
      <c r="L125" s="429"/>
      <c r="M125" s="435"/>
      <c r="N125" s="552"/>
      <c r="O125" s="546"/>
      <c r="P125" s="547"/>
      <c r="Q125" s="538"/>
      <c r="R125" s="596"/>
    </row>
    <row r="126" spans="1:18" ht="30" x14ac:dyDescent="0.25">
      <c r="A126" s="558"/>
      <c r="B126" s="433"/>
      <c r="C126" s="220" t="s">
        <v>398</v>
      </c>
      <c r="D126" s="235" t="s">
        <v>133</v>
      </c>
      <c r="E126" s="220" t="s">
        <v>131</v>
      </c>
      <c r="F126" s="232" t="s">
        <v>90</v>
      </c>
      <c r="G126" s="237">
        <v>1.8091630000000001</v>
      </c>
      <c r="H126" s="616"/>
      <c r="I126" s="504"/>
      <c r="J126" s="504"/>
      <c r="K126" s="504"/>
      <c r="L126" s="430"/>
      <c r="M126" s="436"/>
      <c r="N126" s="552"/>
      <c r="O126" s="546"/>
      <c r="P126" s="547"/>
      <c r="Q126" s="538"/>
      <c r="R126" s="483"/>
    </row>
    <row r="127" spans="1:18" x14ac:dyDescent="0.25">
      <c r="A127" s="450" t="s">
        <v>252</v>
      </c>
      <c r="B127" s="431">
        <v>46</v>
      </c>
      <c r="C127" s="552" t="s">
        <v>398</v>
      </c>
      <c r="D127" s="431" t="s">
        <v>152</v>
      </c>
      <c r="E127" s="552" t="s">
        <v>131</v>
      </c>
      <c r="F127" s="552" t="s">
        <v>90</v>
      </c>
      <c r="G127" s="674">
        <f>0.66123+21</f>
        <v>21.66123</v>
      </c>
      <c r="H127" s="614">
        <v>1</v>
      </c>
      <c r="I127" s="234" t="s">
        <v>478</v>
      </c>
      <c r="J127" s="234" t="s">
        <v>152</v>
      </c>
      <c r="K127" s="234" t="s">
        <v>131</v>
      </c>
      <c r="L127" s="204" t="s">
        <v>90</v>
      </c>
      <c r="M127" s="238">
        <v>0.39824599999999999</v>
      </c>
      <c r="N127" s="437" t="s">
        <v>91</v>
      </c>
      <c r="O127" s="467" t="s">
        <v>28</v>
      </c>
      <c r="P127" s="547" t="s">
        <v>454</v>
      </c>
      <c r="Q127" s="473" t="s">
        <v>567</v>
      </c>
      <c r="R127" s="525" t="s">
        <v>513</v>
      </c>
    </row>
    <row r="128" spans="1:18" x14ac:dyDescent="0.25">
      <c r="A128" s="451"/>
      <c r="B128" s="432"/>
      <c r="C128" s="552"/>
      <c r="D128" s="432"/>
      <c r="E128" s="552"/>
      <c r="F128" s="552"/>
      <c r="G128" s="674"/>
      <c r="H128" s="615"/>
      <c r="I128" s="206" t="s">
        <v>478</v>
      </c>
      <c r="J128" s="235" t="s">
        <v>152</v>
      </c>
      <c r="K128" s="212" t="s">
        <v>170</v>
      </c>
      <c r="L128" s="235"/>
      <c r="M128" s="166">
        <v>9.6713999999999994E-2</v>
      </c>
      <c r="N128" s="446"/>
      <c r="O128" s="468"/>
      <c r="P128" s="547"/>
      <c r="Q128" s="474"/>
      <c r="R128" s="480"/>
    </row>
    <row r="129" spans="1:18" x14ac:dyDescent="0.25">
      <c r="A129" s="452"/>
      <c r="B129" s="433"/>
      <c r="C129" s="552"/>
      <c r="D129" s="433"/>
      <c r="E129" s="552"/>
      <c r="F129" s="552" t="s">
        <v>90</v>
      </c>
      <c r="G129" s="674"/>
      <c r="H129" s="616"/>
      <c r="I129" s="364" t="s">
        <v>130</v>
      </c>
      <c r="J129" s="327" t="s">
        <v>152</v>
      </c>
      <c r="K129" s="327" t="s">
        <v>131</v>
      </c>
      <c r="L129" s="319" t="s">
        <v>90</v>
      </c>
      <c r="M129">
        <v>38</v>
      </c>
      <c r="N129" s="438"/>
      <c r="O129" s="469"/>
      <c r="P129" s="547"/>
      <c r="Q129" s="475"/>
      <c r="R129" s="481"/>
    </row>
    <row r="130" spans="1:18" ht="30" x14ac:dyDescent="0.25">
      <c r="A130" s="558" t="s">
        <v>253</v>
      </c>
      <c r="B130" s="431">
        <v>16</v>
      </c>
      <c r="C130" s="206" t="s">
        <v>136</v>
      </c>
      <c r="D130" s="235" t="s">
        <v>224</v>
      </c>
      <c r="E130" s="206" t="s">
        <v>131</v>
      </c>
      <c r="F130" s="235" t="s">
        <v>90</v>
      </c>
      <c r="G130" s="241">
        <v>1.1479999999999999</v>
      </c>
      <c r="H130" s="614">
        <v>0</v>
      </c>
      <c r="I130" s="434"/>
      <c r="J130" s="434"/>
      <c r="K130" s="434"/>
      <c r="L130" s="434"/>
      <c r="M130" s="434"/>
      <c r="N130" s="552" t="s">
        <v>91</v>
      </c>
      <c r="O130" s="546" t="s">
        <v>28</v>
      </c>
      <c r="P130" s="547" t="s">
        <v>454</v>
      </c>
      <c r="Q130" s="98" t="s">
        <v>450</v>
      </c>
      <c r="R130" s="205" t="s">
        <v>513</v>
      </c>
    </row>
    <row r="131" spans="1:18" ht="45" x14ac:dyDescent="0.25">
      <c r="A131" s="558"/>
      <c r="B131" s="432"/>
      <c r="C131" s="206" t="s">
        <v>136</v>
      </c>
      <c r="D131" s="235" t="s">
        <v>225</v>
      </c>
      <c r="E131" s="206" t="s">
        <v>131</v>
      </c>
      <c r="F131" s="235" t="s">
        <v>90</v>
      </c>
      <c r="G131" s="166">
        <f>0.008+0.143</f>
        <v>0.151</v>
      </c>
      <c r="H131" s="615"/>
      <c r="I131" s="435"/>
      <c r="J131" s="435"/>
      <c r="K131" s="435"/>
      <c r="L131" s="435"/>
      <c r="M131" s="435"/>
      <c r="N131" s="552"/>
      <c r="O131" s="546"/>
      <c r="P131" s="547"/>
      <c r="Q131" s="192" t="s">
        <v>491</v>
      </c>
      <c r="R131" s="205" t="s">
        <v>513</v>
      </c>
    </row>
    <row r="132" spans="1:18" x14ac:dyDescent="0.25">
      <c r="A132" s="558"/>
      <c r="B132" s="432"/>
      <c r="C132" s="206" t="s">
        <v>136</v>
      </c>
      <c r="D132" s="235" t="s">
        <v>152</v>
      </c>
      <c r="E132" s="206" t="s">
        <v>131</v>
      </c>
      <c r="F132" s="235" t="s">
        <v>90</v>
      </c>
      <c r="G132" s="241">
        <v>0.86299999999999999</v>
      </c>
      <c r="H132" s="615"/>
      <c r="I132" s="435"/>
      <c r="J132" s="435"/>
      <c r="K132" s="435"/>
      <c r="L132" s="435"/>
      <c r="M132" s="435"/>
      <c r="N132" s="552"/>
      <c r="O132" s="546"/>
      <c r="P132" s="547"/>
      <c r="Q132" s="98" t="s">
        <v>451</v>
      </c>
      <c r="R132" s="205" t="s">
        <v>513</v>
      </c>
    </row>
    <row r="133" spans="1:18" ht="30" x14ac:dyDescent="0.25">
      <c r="A133" s="558"/>
      <c r="B133" s="432"/>
      <c r="C133" s="206" t="s">
        <v>136</v>
      </c>
      <c r="D133" s="235" t="s">
        <v>182</v>
      </c>
      <c r="E133" s="206" t="s">
        <v>131</v>
      </c>
      <c r="F133" s="235" t="s">
        <v>90</v>
      </c>
      <c r="G133" s="241">
        <f>0.191667+5</f>
        <v>5.1916669999999998</v>
      </c>
      <c r="H133" s="615"/>
      <c r="I133" s="435"/>
      <c r="J133" s="435"/>
      <c r="K133" s="435"/>
      <c r="L133" s="435"/>
      <c r="M133" s="435"/>
      <c r="N133" s="552"/>
      <c r="O133" s="546"/>
      <c r="P133" s="547"/>
      <c r="Q133" s="98" t="s">
        <v>568</v>
      </c>
      <c r="R133" s="205" t="s">
        <v>513</v>
      </c>
    </row>
    <row r="134" spans="1:18" ht="45" x14ac:dyDescent="0.25">
      <c r="A134" s="558"/>
      <c r="B134" s="432"/>
      <c r="C134" s="206" t="s">
        <v>136</v>
      </c>
      <c r="D134" s="235" t="s">
        <v>226</v>
      </c>
      <c r="E134" s="206" t="s">
        <v>131</v>
      </c>
      <c r="F134" s="235" t="s">
        <v>90</v>
      </c>
      <c r="G134" s="241">
        <v>3.1459999999999999</v>
      </c>
      <c r="H134" s="615"/>
      <c r="I134" s="435"/>
      <c r="J134" s="435"/>
      <c r="K134" s="435"/>
      <c r="L134" s="435"/>
      <c r="M134" s="435"/>
      <c r="N134" s="552"/>
      <c r="O134" s="546"/>
      <c r="P134" s="547"/>
      <c r="Q134" s="98" t="s">
        <v>569</v>
      </c>
      <c r="R134" s="205" t="s">
        <v>513</v>
      </c>
    </row>
    <row r="135" spans="1:18" ht="30" x14ac:dyDescent="0.25">
      <c r="A135" s="558"/>
      <c r="B135" s="433"/>
      <c r="C135" s="206" t="s">
        <v>136</v>
      </c>
      <c r="D135" s="235" t="s">
        <v>227</v>
      </c>
      <c r="E135" s="206" t="s">
        <v>131</v>
      </c>
      <c r="F135" s="235" t="s">
        <v>90</v>
      </c>
      <c r="G135" s="241">
        <v>4.7</v>
      </c>
      <c r="H135" s="616"/>
      <c r="I135" s="436"/>
      <c r="J135" s="436"/>
      <c r="K135" s="436"/>
      <c r="L135" s="436"/>
      <c r="M135" s="436"/>
      <c r="N135" s="552"/>
      <c r="O135" s="546"/>
      <c r="P135" s="547"/>
      <c r="Q135" s="98" t="s">
        <v>570</v>
      </c>
      <c r="R135" s="205" t="s">
        <v>513</v>
      </c>
    </row>
    <row r="136" spans="1:18" ht="60" x14ac:dyDescent="0.25">
      <c r="A136" s="450" t="s">
        <v>254</v>
      </c>
      <c r="B136" s="431">
        <v>17</v>
      </c>
      <c r="C136" s="206" t="s">
        <v>136</v>
      </c>
      <c r="D136" s="235" t="s">
        <v>124</v>
      </c>
      <c r="E136" s="206" t="s">
        <v>170</v>
      </c>
      <c r="F136" s="235" t="s">
        <v>342</v>
      </c>
      <c r="G136" s="241">
        <v>11.105299</v>
      </c>
      <c r="H136" s="614">
        <v>22</v>
      </c>
      <c r="I136" s="434" t="s">
        <v>130</v>
      </c>
      <c r="J136" s="584" t="s">
        <v>124</v>
      </c>
      <c r="K136" s="434" t="s">
        <v>131</v>
      </c>
      <c r="L136" s="434" t="s">
        <v>90</v>
      </c>
      <c r="M136" s="434">
        <v>21.678208999999999</v>
      </c>
      <c r="N136" s="437" t="s">
        <v>91</v>
      </c>
      <c r="O136" s="467" t="s">
        <v>33</v>
      </c>
      <c r="P136" s="470" t="s">
        <v>626</v>
      </c>
      <c r="Q136" s="473" t="s">
        <v>625</v>
      </c>
      <c r="R136" s="525" t="s">
        <v>624</v>
      </c>
    </row>
    <row r="137" spans="1:18" ht="30" x14ac:dyDescent="0.25">
      <c r="A137" s="451"/>
      <c r="B137" s="432"/>
      <c r="C137" s="206" t="s">
        <v>136</v>
      </c>
      <c r="D137" s="235" t="s">
        <v>124</v>
      </c>
      <c r="E137" s="206" t="s">
        <v>131</v>
      </c>
      <c r="F137" s="235" t="s">
        <v>90</v>
      </c>
      <c r="G137" s="241">
        <v>5.5947009999999997</v>
      </c>
      <c r="H137" s="615"/>
      <c r="I137" s="435"/>
      <c r="J137" s="591"/>
      <c r="K137" s="435"/>
      <c r="L137" s="435"/>
      <c r="M137" s="435"/>
      <c r="N137" s="446"/>
      <c r="O137" s="468"/>
      <c r="P137" s="471"/>
      <c r="Q137" s="474"/>
      <c r="R137" s="480"/>
    </row>
    <row r="138" spans="1:18" ht="60" x14ac:dyDescent="0.25">
      <c r="A138" s="451"/>
      <c r="B138" s="432"/>
      <c r="C138" s="206" t="s">
        <v>398</v>
      </c>
      <c r="D138" s="235" t="s">
        <v>124</v>
      </c>
      <c r="E138" s="206" t="s">
        <v>170</v>
      </c>
      <c r="F138" s="235" t="s">
        <v>342</v>
      </c>
      <c r="G138" s="241">
        <v>-0.79312800000000006</v>
      </c>
      <c r="H138" s="615"/>
      <c r="I138" s="435"/>
      <c r="J138" s="591"/>
      <c r="K138" s="435"/>
      <c r="L138" s="435"/>
      <c r="M138" s="435"/>
      <c r="N138" s="446"/>
      <c r="O138" s="468"/>
      <c r="P138" s="471"/>
      <c r="Q138" s="474"/>
      <c r="R138" s="480"/>
    </row>
    <row r="139" spans="1:18" ht="30" x14ac:dyDescent="0.25">
      <c r="A139" s="452"/>
      <c r="B139" s="433"/>
      <c r="C139" s="206" t="s">
        <v>398</v>
      </c>
      <c r="D139" s="235" t="s">
        <v>124</v>
      </c>
      <c r="E139" s="206" t="s">
        <v>131</v>
      </c>
      <c r="F139" s="235" t="s">
        <v>90</v>
      </c>
      <c r="G139" s="241">
        <v>0.79312800000000006</v>
      </c>
      <c r="H139" s="616"/>
      <c r="I139" s="436"/>
      <c r="J139" s="585"/>
      <c r="K139" s="436"/>
      <c r="L139" s="436"/>
      <c r="M139" s="436"/>
      <c r="N139" s="438"/>
      <c r="O139" s="469"/>
      <c r="P139" s="472"/>
      <c r="Q139" s="475"/>
      <c r="R139" s="481"/>
    </row>
    <row r="140" spans="1:18" ht="60" x14ac:dyDescent="0.25">
      <c r="A140" s="229" t="s">
        <v>255</v>
      </c>
      <c r="B140" s="96">
        <v>10</v>
      </c>
      <c r="C140" s="206" t="s">
        <v>130</v>
      </c>
      <c r="D140" s="235" t="s">
        <v>101</v>
      </c>
      <c r="E140" s="206" t="s">
        <v>170</v>
      </c>
      <c r="F140" s="235" t="s">
        <v>341</v>
      </c>
      <c r="G140" s="241">
        <v>10</v>
      </c>
      <c r="H140" s="312">
        <v>0</v>
      </c>
      <c r="I140" s="206"/>
      <c r="J140" s="235"/>
      <c r="K140" s="206"/>
      <c r="L140" s="235"/>
      <c r="M140" s="241"/>
      <c r="N140" s="206" t="s">
        <v>91</v>
      </c>
      <c r="O140" s="207" t="s">
        <v>34</v>
      </c>
      <c r="P140" s="216" t="s">
        <v>454</v>
      </c>
      <c r="Q140" s="226" t="s">
        <v>337</v>
      </c>
      <c r="R140" s="210" t="s">
        <v>513</v>
      </c>
    </row>
    <row r="141" spans="1:18" ht="15" customHeight="1" x14ac:dyDescent="0.25">
      <c r="A141" s="450" t="s">
        <v>256</v>
      </c>
      <c r="B141" s="431">
        <v>50</v>
      </c>
      <c r="C141" s="206" t="s">
        <v>130</v>
      </c>
      <c r="D141" s="235" t="s">
        <v>257</v>
      </c>
      <c r="E141" s="206" t="s">
        <v>131</v>
      </c>
      <c r="F141" s="235" t="s">
        <v>90</v>
      </c>
      <c r="G141" s="241">
        <v>48.710504</v>
      </c>
      <c r="H141" s="614">
        <v>0</v>
      </c>
      <c r="I141" s="434"/>
      <c r="J141" s="434"/>
      <c r="K141" s="434"/>
      <c r="L141" s="434"/>
      <c r="M141" s="434"/>
      <c r="N141" s="437" t="s">
        <v>91</v>
      </c>
      <c r="O141" s="467" t="s">
        <v>35</v>
      </c>
      <c r="P141" s="547" t="s">
        <v>454</v>
      </c>
      <c r="Q141" s="473" t="s">
        <v>571</v>
      </c>
      <c r="R141" s="661" t="s">
        <v>513</v>
      </c>
    </row>
    <row r="142" spans="1:18" x14ac:dyDescent="0.25">
      <c r="A142" s="451"/>
      <c r="B142" s="432"/>
      <c r="C142" s="206" t="s">
        <v>136</v>
      </c>
      <c r="D142" s="235" t="s">
        <v>257</v>
      </c>
      <c r="E142" s="206" t="s">
        <v>131</v>
      </c>
      <c r="F142" s="235" t="s">
        <v>90</v>
      </c>
      <c r="G142" s="241">
        <f>-12+-10+-10+-0.9</f>
        <v>-32.9</v>
      </c>
      <c r="H142" s="615"/>
      <c r="I142" s="435"/>
      <c r="J142" s="435"/>
      <c r="K142" s="435"/>
      <c r="L142" s="435"/>
      <c r="M142" s="435"/>
      <c r="N142" s="446"/>
      <c r="O142" s="468"/>
      <c r="P142" s="547"/>
      <c r="Q142" s="474"/>
      <c r="R142" s="462"/>
    </row>
    <row r="143" spans="1:18" x14ac:dyDescent="0.25">
      <c r="A143" s="451"/>
      <c r="B143" s="432"/>
      <c r="C143" s="206" t="s">
        <v>398</v>
      </c>
      <c r="D143" s="235" t="s">
        <v>257</v>
      </c>
      <c r="E143" s="206" t="s">
        <v>131</v>
      </c>
      <c r="F143" s="235" t="s">
        <v>90</v>
      </c>
      <c r="G143" s="241">
        <f>-7.4+-3+-0.3</f>
        <v>-10.700000000000001</v>
      </c>
      <c r="H143" s="615"/>
      <c r="I143" s="436"/>
      <c r="J143" s="436"/>
      <c r="K143" s="436"/>
      <c r="L143" s="436"/>
      <c r="M143" s="436"/>
      <c r="N143" s="438"/>
      <c r="O143" s="469"/>
      <c r="P143" s="547"/>
      <c r="Q143" s="475"/>
      <c r="R143" s="463"/>
    </row>
    <row r="144" spans="1:18" ht="60" x14ac:dyDescent="0.25">
      <c r="A144" s="451"/>
      <c r="B144" s="432"/>
      <c r="C144" s="206" t="s">
        <v>136</v>
      </c>
      <c r="D144" s="235" t="s">
        <v>158</v>
      </c>
      <c r="E144" s="206" t="s">
        <v>131</v>
      </c>
      <c r="F144" s="235" t="s">
        <v>90</v>
      </c>
      <c r="G144" s="241">
        <v>0.9</v>
      </c>
      <c r="H144" s="615"/>
      <c r="I144" s="206"/>
      <c r="J144" s="235"/>
      <c r="K144" s="206"/>
      <c r="L144" s="235"/>
      <c r="M144" s="241"/>
      <c r="N144" s="206" t="s">
        <v>91</v>
      </c>
      <c r="O144" s="207" t="s">
        <v>8</v>
      </c>
      <c r="P144" s="216" t="s">
        <v>454</v>
      </c>
      <c r="Q144" s="226" t="s">
        <v>572</v>
      </c>
      <c r="R144" s="210" t="s">
        <v>513</v>
      </c>
    </row>
    <row r="145" spans="1:18" x14ac:dyDescent="0.25">
      <c r="A145" s="451"/>
      <c r="B145" s="432"/>
      <c r="C145" s="206" t="s">
        <v>136</v>
      </c>
      <c r="D145" s="235" t="s">
        <v>101</v>
      </c>
      <c r="E145" s="206" t="s">
        <v>131</v>
      </c>
      <c r="F145" s="235" t="s">
        <v>90</v>
      </c>
      <c r="G145" s="241">
        <v>12</v>
      </c>
      <c r="H145" s="615"/>
      <c r="I145" s="206"/>
      <c r="J145" s="235"/>
      <c r="K145" s="206"/>
      <c r="L145" s="235"/>
      <c r="M145" s="241"/>
      <c r="N145" s="206" t="s">
        <v>91</v>
      </c>
      <c r="O145" s="207" t="s">
        <v>1</v>
      </c>
      <c r="P145" s="235" t="s">
        <v>92</v>
      </c>
      <c r="Q145" s="226" t="s">
        <v>507</v>
      </c>
      <c r="R145" s="210" t="s">
        <v>508</v>
      </c>
    </row>
    <row r="146" spans="1:18" x14ac:dyDescent="0.25">
      <c r="A146" s="451"/>
      <c r="B146" s="432"/>
      <c r="C146" s="206" t="s">
        <v>136</v>
      </c>
      <c r="D146" s="235" t="s">
        <v>151</v>
      </c>
      <c r="E146" s="206" t="s">
        <v>131</v>
      </c>
      <c r="F146" s="235" t="s">
        <v>90</v>
      </c>
      <c r="G146" s="241">
        <v>10</v>
      </c>
      <c r="H146" s="615"/>
      <c r="I146" s="431" t="s">
        <v>151</v>
      </c>
      <c r="J146" s="431" t="s">
        <v>131</v>
      </c>
      <c r="K146" s="431" t="s">
        <v>90</v>
      </c>
      <c r="L146" s="434">
        <v>1.588751</v>
      </c>
      <c r="M146" s="434"/>
      <c r="N146" s="552" t="s">
        <v>91</v>
      </c>
      <c r="O146" s="546" t="s">
        <v>3</v>
      </c>
      <c r="P146" s="547" t="s">
        <v>454</v>
      </c>
      <c r="Q146" s="531" t="s">
        <v>573</v>
      </c>
      <c r="R146" s="482" t="s">
        <v>513</v>
      </c>
    </row>
    <row r="147" spans="1:18" x14ac:dyDescent="0.25">
      <c r="A147" s="451"/>
      <c r="B147" s="432"/>
      <c r="C147" s="206" t="s">
        <v>398</v>
      </c>
      <c r="D147" s="235" t="s">
        <v>151</v>
      </c>
      <c r="E147" s="206" t="s">
        <v>131</v>
      </c>
      <c r="F147" s="235" t="s">
        <v>90</v>
      </c>
      <c r="G147" s="241">
        <v>7.4</v>
      </c>
      <c r="H147" s="615"/>
      <c r="I147" s="433"/>
      <c r="J147" s="433" t="s">
        <v>131</v>
      </c>
      <c r="K147" s="433" t="s">
        <v>90</v>
      </c>
      <c r="L147" s="436"/>
      <c r="M147" s="436"/>
      <c r="N147" s="552"/>
      <c r="O147" s="546"/>
      <c r="P147" s="547"/>
      <c r="Q147" s="531"/>
      <c r="R147" s="482"/>
    </row>
    <row r="148" spans="1:18" ht="30" x14ac:dyDescent="0.25">
      <c r="A148" s="451"/>
      <c r="B148" s="432"/>
      <c r="C148" s="206" t="s">
        <v>136</v>
      </c>
      <c r="D148" s="235" t="s">
        <v>137</v>
      </c>
      <c r="E148" s="206" t="s">
        <v>131</v>
      </c>
      <c r="F148" s="235" t="s">
        <v>90</v>
      </c>
      <c r="G148" s="241">
        <v>10</v>
      </c>
      <c r="H148" s="615"/>
      <c r="I148" s="431" t="s">
        <v>137</v>
      </c>
      <c r="J148" s="431" t="s">
        <v>131</v>
      </c>
      <c r="K148" s="431" t="s">
        <v>90</v>
      </c>
      <c r="L148" s="434">
        <v>4.5</v>
      </c>
      <c r="M148" s="434"/>
      <c r="N148" s="552" t="s">
        <v>91</v>
      </c>
      <c r="O148" s="546" t="s">
        <v>2</v>
      </c>
      <c r="P148" s="521" t="s">
        <v>92</v>
      </c>
      <c r="Q148" s="538" t="s">
        <v>677</v>
      </c>
      <c r="R148" s="660" t="s">
        <v>663</v>
      </c>
    </row>
    <row r="149" spans="1:18" ht="30" x14ac:dyDescent="0.25">
      <c r="A149" s="451"/>
      <c r="B149" s="432"/>
      <c r="C149" s="206" t="s">
        <v>398</v>
      </c>
      <c r="D149" s="235" t="s">
        <v>137</v>
      </c>
      <c r="E149" s="206" t="s">
        <v>131</v>
      </c>
      <c r="F149" s="235" t="s">
        <v>90</v>
      </c>
      <c r="G149" s="241">
        <v>3</v>
      </c>
      <c r="H149" s="615"/>
      <c r="I149" s="433"/>
      <c r="J149" s="433" t="s">
        <v>131</v>
      </c>
      <c r="K149" s="433" t="s">
        <v>90</v>
      </c>
      <c r="L149" s="436"/>
      <c r="M149" s="436"/>
      <c r="N149" s="552"/>
      <c r="O149" s="546"/>
      <c r="P149" s="521"/>
      <c r="Q149" s="538"/>
      <c r="R149" s="660"/>
    </row>
    <row r="150" spans="1:18" ht="60" x14ac:dyDescent="0.25">
      <c r="A150" s="452"/>
      <c r="B150" s="433"/>
      <c r="C150" s="206" t="s">
        <v>398</v>
      </c>
      <c r="D150" s="235" t="s">
        <v>133</v>
      </c>
      <c r="E150" s="206" t="s">
        <v>131</v>
      </c>
      <c r="F150" s="235" t="s">
        <v>90</v>
      </c>
      <c r="G150" s="166">
        <v>0.3</v>
      </c>
      <c r="H150" s="616"/>
      <c r="I150" s="206"/>
      <c r="J150" s="235"/>
      <c r="K150" s="206"/>
      <c r="L150" s="235"/>
      <c r="M150" s="166"/>
      <c r="N150" s="206" t="s">
        <v>91</v>
      </c>
      <c r="O150" s="207" t="s">
        <v>9</v>
      </c>
      <c r="P150" s="216" t="s">
        <v>454</v>
      </c>
      <c r="Q150" s="227" t="s">
        <v>574</v>
      </c>
      <c r="R150" s="239" t="s">
        <v>513</v>
      </c>
    </row>
    <row r="151" spans="1:18" ht="30" x14ac:dyDescent="0.25">
      <c r="A151" s="229" t="s">
        <v>258</v>
      </c>
      <c r="B151" s="96">
        <v>6</v>
      </c>
      <c r="C151" s="206" t="s">
        <v>88</v>
      </c>
      <c r="D151" s="235"/>
      <c r="E151" s="206"/>
      <c r="F151" s="235"/>
      <c r="G151" s="241" t="s">
        <v>90</v>
      </c>
      <c r="H151" s="312">
        <v>0</v>
      </c>
      <c r="I151" s="206"/>
      <c r="J151" s="235"/>
      <c r="K151" s="206"/>
      <c r="L151" s="235"/>
      <c r="M151" s="241"/>
      <c r="N151" s="206" t="s">
        <v>132</v>
      </c>
      <c r="O151" s="206"/>
      <c r="P151" s="235"/>
      <c r="Q151" s="226"/>
      <c r="R151" s="205"/>
    </row>
    <row r="152" spans="1:18" ht="60" x14ac:dyDescent="0.25">
      <c r="A152" s="229" t="s">
        <v>259</v>
      </c>
      <c r="B152" s="96">
        <v>20</v>
      </c>
      <c r="C152" s="206" t="s">
        <v>130</v>
      </c>
      <c r="D152" s="235" t="s">
        <v>260</v>
      </c>
      <c r="E152" s="206" t="s">
        <v>131</v>
      </c>
      <c r="F152" s="235" t="s">
        <v>90</v>
      </c>
      <c r="G152" s="241">
        <v>16.147818999999998</v>
      </c>
      <c r="H152" s="312">
        <v>0</v>
      </c>
      <c r="I152" s="206"/>
      <c r="J152" s="235"/>
      <c r="K152" s="206"/>
      <c r="L152" s="235"/>
      <c r="M152" s="241"/>
      <c r="N152" s="206" t="s">
        <v>91</v>
      </c>
      <c r="O152" s="207" t="s">
        <v>36</v>
      </c>
      <c r="P152" s="216" t="s">
        <v>454</v>
      </c>
      <c r="Q152" s="226" t="s">
        <v>575</v>
      </c>
      <c r="R152" s="239" t="s">
        <v>513</v>
      </c>
    </row>
    <row r="153" spans="1:18" ht="60" x14ac:dyDescent="0.25">
      <c r="A153" s="558" t="s">
        <v>261</v>
      </c>
      <c r="B153" s="431">
        <v>500</v>
      </c>
      <c r="C153" s="206" t="s">
        <v>130</v>
      </c>
      <c r="D153" s="235" t="s">
        <v>262</v>
      </c>
      <c r="E153" s="206" t="s">
        <v>170</v>
      </c>
      <c r="F153" s="235" t="s">
        <v>342</v>
      </c>
      <c r="G153" s="241">
        <v>55</v>
      </c>
      <c r="H153" s="614">
        <v>0</v>
      </c>
      <c r="I153" s="434"/>
      <c r="J153" s="434"/>
      <c r="K153" s="434"/>
      <c r="L153" s="434"/>
      <c r="M153" s="434"/>
      <c r="N153" s="552" t="s">
        <v>91</v>
      </c>
      <c r="O153" s="546" t="s">
        <v>37</v>
      </c>
      <c r="P153" s="547" t="s">
        <v>454</v>
      </c>
      <c r="Q153" s="473" t="s">
        <v>447</v>
      </c>
      <c r="R153" s="455" t="s">
        <v>513</v>
      </c>
    </row>
    <row r="154" spans="1:18" ht="60" x14ac:dyDescent="0.25">
      <c r="A154" s="558"/>
      <c r="B154" s="432"/>
      <c r="C154" s="206" t="s">
        <v>136</v>
      </c>
      <c r="D154" s="235" t="s">
        <v>262</v>
      </c>
      <c r="E154" s="206" t="s">
        <v>170</v>
      </c>
      <c r="F154" s="235" t="s">
        <v>342</v>
      </c>
      <c r="G154" s="241">
        <v>7.8</v>
      </c>
      <c r="H154" s="615"/>
      <c r="I154" s="436"/>
      <c r="J154" s="436"/>
      <c r="K154" s="436"/>
      <c r="L154" s="436"/>
      <c r="M154" s="436"/>
      <c r="N154" s="552"/>
      <c r="O154" s="546"/>
      <c r="P154" s="547"/>
      <c r="Q154" s="475"/>
      <c r="R154" s="457"/>
    </row>
    <row r="155" spans="1:18" ht="60" x14ac:dyDescent="0.25">
      <c r="A155" s="558"/>
      <c r="B155" s="432"/>
      <c r="C155" s="206" t="s">
        <v>130</v>
      </c>
      <c r="D155" s="235" t="s">
        <v>263</v>
      </c>
      <c r="E155" s="206" t="s">
        <v>170</v>
      </c>
      <c r="F155" s="235" t="s">
        <v>342</v>
      </c>
      <c r="G155" s="241">
        <v>418</v>
      </c>
      <c r="H155" s="615"/>
      <c r="I155" s="434"/>
      <c r="J155" s="434"/>
      <c r="K155" s="434"/>
      <c r="L155" s="434"/>
      <c r="M155" s="434"/>
      <c r="N155" s="552"/>
      <c r="O155" s="546"/>
      <c r="P155" s="547"/>
      <c r="Q155" s="473" t="s">
        <v>448</v>
      </c>
      <c r="R155" s="525" t="s">
        <v>513</v>
      </c>
    </row>
    <row r="156" spans="1:18" ht="60" x14ac:dyDescent="0.25">
      <c r="A156" s="558"/>
      <c r="B156" s="432"/>
      <c r="C156" s="206" t="s">
        <v>136</v>
      </c>
      <c r="D156" s="235" t="s">
        <v>263</v>
      </c>
      <c r="E156" s="206" t="s">
        <v>170</v>
      </c>
      <c r="F156" s="235" t="s">
        <v>342</v>
      </c>
      <c r="G156" s="241">
        <v>-10.555</v>
      </c>
      <c r="H156" s="615"/>
      <c r="I156" s="435"/>
      <c r="J156" s="435"/>
      <c r="K156" s="435"/>
      <c r="L156" s="435"/>
      <c r="M156" s="435"/>
      <c r="N156" s="552"/>
      <c r="O156" s="546"/>
      <c r="P156" s="547"/>
      <c r="Q156" s="474"/>
      <c r="R156" s="480"/>
    </row>
    <row r="157" spans="1:18" ht="60" x14ac:dyDescent="0.25">
      <c r="A157" s="558"/>
      <c r="B157" s="432"/>
      <c r="C157" s="206" t="s">
        <v>398</v>
      </c>
      <c r="D157" s="235" t="s">
        <v>263</v>
      </c>
      <c r="E157" s="206" t="s">
        <v>170</v>
      </c>
      <c r="F157" s="235" t="s">
        <v>342</v>
      </c>
      <c r="G157" s="166">
        <v>-0.34</v>
      </c>
      <c r="H157" s="615"/>
      <c r="I157" s="435"/>
      <c r="J157" s="435"/>
      <c r="K157" s="435"/>
      <c r="L157" s="435"/>
      <c r="M157" s="435"/>
      <c r="N157" s="552"/>
      <c r="O157" s="546"/>
      <c r="P157" s="547"/>
      <c r="Q157" s="474"/>
      <c r="R157" s="480"/>
    </row>
    <row r="158" spans="1:18" x14ac:dyDescent="0.25">
      <c r="A158" s="558"/>
      <c r="B158" s="432"/>
      <c r="C158" s="206" t="s">
        <v>398</v>
      </c>
      <c r="D158" s="235" t="s">
        <v>263</v>
      </c>
      <c r="E158" s="206" t="s">
        <v>131</v>
      </c>
      <c r="F158" s="235" t="s">
        <v>90</v>
      </c>
      <c r="G158" s="166">
        <v>0.34</v>
      </c>
      <c r="H158" s="615"/>
      <c r="I158" s="436"/>
      <c r="J158" s="436"/>
      <c r="K158" s="436"/>
      <c r="L158" s="436"/>
      <c r="M158" s="436"/>
      <c r="N158" s="552"/>
      <c r="O158" s="546"/>
      <c r="P158" s="547"/>
      <c r="Q158" s="475"/>
      <c r="R158" s="481"/>
    </row>
    <row r="159" spans="1:18" ht="60" x14ac:dyDescent="0.25">
      <c r="A159" s="558"/>
      <c r="B159" s="432"/>
      <c r="C159" s="206" t="s">
        <v>130</v>
      </c>
      <c r="D159" s="235" t="s">
        <v>233</v>
      </c>
      <c r="E159" s="206" t="s">
        <v>170</v>
      </c>
      <c r="F159" s="235" t="s">
        <v>342</v>
      </c>
      <c r="G159" s="241">
        <v>27</v>
      </c>
      <c r="H159" s="615"/>
      <c r="I159" s="434"/>
      <c r="J159" s="434"/>
      <c r="K159" s="434"/>
      <c r="L159" s="434"/>
      <c r="M159" s="434"/>
      <c r="N159" s="552"/>
      <c r="O159" s="546"/>
      <c r="P159" s="547"/>
      <c r="Q159" s="473" t="s">
        <v>449</v>
      </c>
      <c r="R159" s="525" t="s">
        <v>513</v>
      </c>
    </row>
    <row r="160" spans="1:18" ht="60" x14ac:dyDescent="0.25">
      <c r="A160" s="558"/>
      <c r="B160" s="433"/>
      <c r="C160" s="206" t="s">
        <v>136</v>
      </c>
      <c r="D160" s="235" t="s">
        <v>233</v>
      </c>
      <c r="E160" s="206" t="s">
        <v>170</v>
      </c>
      <c r="F160" s="235" t="s">
        <v>342</v>
      </c>
      <c r="G160" s="241">
        <v>2.7549999999999999</v>
      </c>
      <c r="H160" s="616"/>
      <c r="I160" s="436"/>
      <c r="J160" s="436"/>
      <c r="K160" s="436"/>
      <c r="L160" s="436"/>
      <c r="M160" s="436"/>
      <c r="N160" s="552"/>
      <c r="O160" s="546"/>
      <c r="P160" s="547"/>
      <c r="Q160" s="475"/>
      <c r="R160" s="481"/>
    </row>
    <row r="161" spans="1:18" ht="60" x14ac:dyDescent="0.25">
      <c r="A161" s="558" t="s">
        <v>632</v>
      </c>
      <c r="B161" s="431">
        <v>26</v>
      </c>
      <c r="C161" s="206" t="s">
        <v>136</v>
      </c>
      <c r="D161" s="235" t="s">
        <v>264</v>
      </c>
      <c r="E161" s="206" t="s">
        <v>170</v>
      </c>
      <c r="F161" s="235" t="s">
        <v>341</v>
      </c>
      <c r="G161" s="241">
        <v>2.2065860000000002</v>
      </c>
      <c r="H161" s="614">
        <v>54</v>
      </c>
      <c r="I161" s="206"/>
      <c r="J161" s="235"/>
      <c r="K161" s="206"/>
      <c r="L161" s="235"/>
      <c r="M161" s="241"/>
      <c r="N161" s="235" t="s">
        <v>426</v>
      </c>
      <c r="O161" s="206" t="s">
        <v>90</v>
      </c>
      <c r="P161" s="216" t="s">
        <v>454</v>
      </c>
      <c r="Q161" s="226" t="s">
        <v>461</v>
      </c>
      <c r="R161" s="205" t="s">
        <v>513</v>
      </c>
    </row>
    <row r="162" spans="1:18" ht="60" x14ac:dyDescent="0.25">
      <c r="A162" s="558"/>
      <c r="B162" s="432"/>
      <c r="C162" s="206" t="s">
        <v>136</v>
      </c>
      <c r="D162" s="235" t="s">
        <v>265</v>
      </c>
      <c r="E162" s="206" t="s">
        <v>170</v>
      </c>
      <c r="F162" s="235" t="s">
        <v>341</v>
      </c>
      <c r="G162" s="241">
        <v>4.2565629999999999</v>
      </c>
      <c r="H162" s="615"/>
      <c r="I162" s="206"/>
      <c r="J162" s="235"/>
      <c r="K162" s="206"/>
      <c r="L162" s="235"/>
      <c r="M162" s="241"/>
      <c r="N162" s="235" t="s">
        <v>426</v>
      </c>
      <c r="O162" s="206" t="s">
        <v>90</v>
      </c>
      <c r="P162" s="216" t="s">
        <v>454</v>
      </c>
      <c r="Q162" s="226" t="s">
        <v>576</v>
      </c>
      <c r="R162" s="205" t="s">
        <v>513</v>
      </c>
    </row>
    <row r="163" spans="1:18" ht="60" x14ac:dyDescent="0.25">
      <c r="A163" s="558"/>
      <c r="B163" s="432"/>
      <c r="C163" s="206" t="s">
        <v>136</v>
      </c>
      <c r="D163" s="235" t="s">
        <v>266</v>
      </c>
      <c r="E163" s="206" t="s">
        <v>170</v>
      </c>
      <c r="F163" s="235" t="s">
        <v>341</v>
      </c>
      <c r="G163" s="241">
        <v>2.0495749999999999</v>
      </c>
      <c r="H163" s="615"/>
      <c r="I163" s="206"/>
      <c r="J163" s="235"/>
      <c r="K163" s="206"/>
      <c r="L163" s="235"/>
      <c r="M163" s="241"/>
      <c r="N163" s="235" t="s">
        <v>426</v>
      </c>
      <c r="O163" s="206" t="s">
        <v>90</v>
      </c>
      <c r="P163" s="216" t="s">
        <v>454</v>
      </c>
      <c r="Q163" s="226" t="s">
        <v>462</v>
      </c>
      <c r="R163" s="205" t="s">
        <v>513</v>
      </c>
    </row>
    <row r="164" spans="1:18" ht="60" x14ac:dyDescent="0.25">
      <c r="A164" s="558"/>
      <c r="B164" s="432"/>
      <c r="C164" s="206" t="s">
        <v>136</v>
      </c>
      <c r="D164" s="235" t="s">
        <v>267</v>
      </c>
      <c r="E164" s="206" t="s">
        <v>170</v>
      </c>
      <c r="F164" s="235" t="s">
        <v>341</v>
      </c>
      <c r="G164" s="241">
        <v>5.9272629999999999</v>
      </c>
      <c r="H164" s="615"/>
      <c r="I164" s="206"/>
      <c r="J164" s="235"/>
      <c r="K164" s="206"/>
      <c r="L164" s="235"/>
      <c r="M164" s="241"/>
      <c r="N164" s="235" t="s">
        <v>426</v>
      </c>
      <c r="O164" s="206" t="s">
        <v>90</v>
      </c>
      <c r="P164" s="216" t="s">
        <v>454</v>
      </c>
      <c r="Q164" s="226" t="s">
        <v>463</v>
      </c>
      <c r="R164" s="205" t="s">
        <v>513</v>
      </c>
    </row>
    <row r="165" spans="1:18" ht="60" x14ac:dyDescent="0.25">
      <c r="A165" s="558"/>
      <c r="B165" s="432"/>
      <c r="C165" s="206" t="s">
        <v>136</v>
      </c>
      <c r="D165" s="235" t="s">
        <v>268</v>
      </c>
      <c r="E165" s="206" t="s">
        <v>170</v>
      </c>
      <c r="F165" s="235" t="s">
        <v>341</v>
      </c>
      <c r="G165" s="241">
        <v>4.8087109999999997</v>
      </c>
      <c r="H165" s="615"/>
      <c r="I165" s="206"/>
      <c r="J165" s="235"/>
      <c r="K165" s="206"/>
      <c r="L165" s="235"/>
      <c r="M165" s="241"/>
      <c r="N165" s="235" t="s">
        <v>426</v>
      </c>
      <c r="O165" s="206" t="s">
        <v>90</v>
      </c>
      <c r="P165" s="216" t="s">
        <v>454</v>
      </c>
      <c r="Q165" s="226" t="s">
        <v>464</v>
      </c>
      <c r="R165" s="205" t="s">
        <v>513</v>
      </c>
    </row>
    <row r="166" spans="1:18" ht="60" x14ac:dyDescent="0.25">
      <c r="A166" s="558"/>
      <c r="B166" s="432"/>
      <c r="C166" s="206" t="s">
        <v>136</v>
      </c>
      <c r="D166" s="235" t="s">
        <v>269</v>
      </c>
      <c r="E166" s="206" t="s">
        <v>170</v>
      </c>
      <c r="F166" s="235" t="s">
        <v>341</v>
      </c>
      <c r="G166" s="241">
        <v>5.3389740000000003</v>
      </c>
      <c r="H166" s="615"/>
      <c r="I166" s="206"/>
      <c r="J166" s="235"/>
      <c r="K166" s="206"/>
      <c r="L166" s="235"/>
      <c r="M166" s="241"/>
      <c r="N166" s="235" t="s">
        <v>426</v>
      </c>
      <c r="O166" s="206" t="s">
        <v>90</v>
      </c>
      <c r="P166" s="216" t="s">
        <v>454</v>
      </c>
      <c r="Q166" s="226" t="s">
        <v>465</v>
      </c>
      <c r="R166" s="205" t="s">
        <v>513</v>
      </c>
    </row>
    <row r="167" spans="1:18" ht="60" x14ac:dyDescent="0.25">
      <c r="A167" s="558"/>
      <c r="B167" s="433"/>
      <c r="C167" s="206" t="s">
        <v>136</v>
      </c>
      <c r="D167" s="235" t="s">
        <v>270</v>
      </c>
      <c r="E167" s="206" t="s">
        <v>170</v>
      </c>
      <c r="F167" s="235" t="s">
        <v>341</v>
      </c>
      <c r="G167" s="241">
        <v>1.112328</v>
      </c>
      <c r="H167" s="616"/>
      <c r="I167" s="206"/>
      <c r="J167" s="235"/>
      <c r="K167" s="206"/>
      <c r="L167" s="235"/>
      <c r="M167" s="241"/>
      <c r="N167" s="235" t="s">
        <v>426</v>
      </c>
      <c r="O167" s="206" t="s">
        <v>90</v>
      </c>
      <c r="P167" s="216" t="s">
        <v>454</v>
      </c>
      <c r="Q167" s="226" t="s">
        <v>466</v>
      </c>
      <c r="R167" s="205" t="s">
        <v>513</v>
      </c>
    </row>
    <row r="168" spans="1:18" ht="60" x14ac:dyDescent="0.25">
      <c r="A168" s="229" t="s">
        <v>271</v>
      </c>
      <c r="B168" s="96">
        <v>18</v>
      </c>
      <c r="C168" s="206" t="s">
        <v>136</v>
      </c>
      <c r="D168" s="235" t="s">
        <v>272</v>
      </c>
      <c r="E168" s="206" t="s">
        <v>170</v>
      </c>
      <c r="F168" s="235" t="s">
        <v>341</v>
      </c>
      <c r="G168" s="241">
        <v>18.2</v>
      </c>
      <c r="H168" s="312">
        <v>0</v>
      </c>
      <c r="I168" s="206"/>
      <c r="J168" s="235"/>
      <c r="K168" s="206"/>
      <c r="L168" s="235"/>
      <c r="M168" s="241"/>
      <c r="N168" s="235" t="s">
        <v>426</v>
      </c>
      <c r="O168" s="206" t="s">
        <v>90</v>
      </c>
      <c r="P168" s="216" t="s">
        <v>454</v>
      </c>
      <c r="Q168" s="226" t="s">
        <v>496</v>
      </c>
      <c r="R168" s="205" t="s">
        <v>513</v>
      </c>
    </row>
    <row r="169" spans="1:18" ht="15" customHeight="1" x14ac:dyDescent="0.25">
      <c r="A169" s="558" t="s">
        <v>273</v>
      </c>
      <c r="B169" s="484">
        <v>1720</v>
      </c>
      <c r="C169" s="206" t="s">
        <v>130</v>
      </c>
      <c r="D169" s="235" t="s">
        <v>101</v>
      </c>
      <c r="E169" s="235" t="s">
        <v>274</v>
      </c>
      <c r="F169" s="235" t="s">
        <v>341</v>
      </c>
      <c r="G169" s="241">
        <v>200</v>
      </c>
      <c r="H169" s="628">
        <v>0</v>
      </c>
      <c r="I169" s="434"/>
      <c r="J169" s="434"/>
      <c r="K169" s="434"/>
      <c r="L169" s="434"/>
      <c r="M169" s="434"/>
      <c r="N169" s="552" t="s">
        <v>91</v>
      </c>
      <c r="O169" s="546" t="s">
        <v>38</v>
      </c>
      <c r="P169" s="547" t="s">
        <v>454</v>
      </c>
      <c r="Q169" s="538" t="s">
        <v>437</v>
      </c>
      <c r="R169" s="660" t="s">
        <v>513</v>
      </c>
    </row>
    <row r="170" spans="1:18" ht="30" x14ac:dyDescent="0.25">
      <c r="A170" s="558"/>
      <c r="B170" s="432"/>
      <c r="C170" s="206" t="s">
        <v>130</v>
      </c>
      <c r="D170" s="235" t="s">
        <v>101</v>
      </c>
      <c r="E170" s="206" t="s">
        <v>170</v>
      </c>
      <c r="F170" s="235" t="s">
        <v>341</v>
      </c>
      <c r="G170" s="241">
        <v>1000</v>
      </c>
      <c r="H170" s="615"/>
      <c r="I170" s="435"/>
      <c r="J170" s="435"/>
      <c r="K170" s="435"/>
      <c r="L170" s="435"/>
      <c r="M170" s="435"/>
      <c r="N170" s="552"/>
      <c r="O170" s="546"/>
      <c r="P170" s="547"/>
      <c r="Q170" s="538"/>
      <c r="R170" s="660"/>
    </row>
    <row r="171" spans="1:18" ht="30" x14ac:dyDescent="0.25">
      <c r="A171" s="558"/>
      <c r="B171" s="432"/>
      <c r="C171" s="206" t="s">
        <v>136</v>
      </c>
      <c r="D171" s="235" t="s">
        <v>101</v>
      </c>
      <c r="E171" s="206" t="s">
        <v>170</v>
      </c>
      <c r="F171" s="235" t="s">
        <v>341</v>
      </c>
      <c r="G171" s="241">
        <v>-1000</v>
      </c>
      <c r="H171" s="615"/>
      <c r="I171" s="435"/>
      <c r="J171" s="435"/>
      <c r="K171" s="435"/>
      <c r="L171" s="435"/>
      <c r="M171" s="435"/>
      <c r="N171" s="552"/>
      <c r="O171" s="546"/>
      <c r="P171" s="547"/>
      <c r="Q171" s="538"/>
      <c r="R171" s="660"/>
    </row>
    <row r="172" spans="1:18" x14ac:dyDescent="0.25">
      <c r="A172" s="558"/>
      <c r="B172" s="432"/>
      <c r="C172" s="206" t="s">
        <v>136</v>
      </c>
      <c r="D172" s="235" t="s">
        <v>101</v>
      </c>
      <c r="E172" s="206" t="s">
        <v>131</v>
      </c>
      <c r="F172" s="235" t="s">
        <v>90</v>
      </c>
      <c r="G172" s="241">
        <v>1000</v>
      </c>
      <c r="H172" s="615"/>
      <c r="I172" s="435"/>
      <c r="J172" s="435"/>
      <c r="K172" s="435"/>
      <c r="L172" s="435"/>
      <c r="M172" s="435"/>
      <c r="N172" s="552"/>
      <c r="O172" s="546"/>
      <c r="P172" s="547"/>
      <c r="Q172" s="538"/>
      <c r="R172" s="660"/>
    </row>
    <row r="173" spans="1:18" ht="30" x14ac:dyDescent="0.25">
      <c r="A173" s="558"/>
      <c r="B173" s="432"/>
      <c r="C173" s="206" t="s">
        <v>130</v>
      </c>
      <c r="D173" s="235" t="s">
        <v>101</v>
      </c>
      <c r="E173" s="206" t="s">
        <v>170</v>
      </c>
      <c r="F173" s="235" t="s">
        <v>341</v>
      </c>
      <c r="G173" s="241">
        <v>120</v>
      </c>
      <c r="H173" s="615"/>
      <c r="I173" s="435"/>
      <c r="J173" s="435"/>
      <c r="K173" s="435"/>
      <c r="L173" s="435"/>
      <c r="M173" s="435"/>
      <c r="N173" s="552"/>
      <c r="O173" s="546"/>
      <c r="P173" s="547"/>
      <c r="Q173" s="538"/>
      <c r="R173" s="660"/>
    </row>
    <row r="174" spans="1:18" ht="30" x14ac:dyDescent="0.25">
      <c r="A174" s="558"/>
      <c r="B174" s="433"/>
      <c r="C174" s="206" t="s">
        <v>130</v>
      </c>
      <c r="D174" s="235" t="s">
        <v>101</v>
      </c>
      <c r="E174" s="206" t="s">
        <v>170</v>
      </c>
      <c r="F174" s="235" t="s">
        <v>341</v>
      </c>
      <c r="G174" s="241">
        <v>400</v>
      </c>
      <c r="H174" s="616"/>
      <c r="I174" s="436"/>
      <c r="J174" s="436"/>
      <c r="K174" s="436"/>
      <c r="L174" s="436"/>
      <c r="M174" s="436"/>
      <c r="N174" s="552"/>
      <c r="O174" s="546"/>
      <c r="P174" s="547"/>
      <c r="Q174" s="538"/>
      <c r="R174" s="660"/>
    </row>
    <row r="175" spans="1:18" x14ac:dyDescent="0.25">
      <c r="A175" s="450" t="s">
        <v>275</v>
      </c>
      <c r="B175" s="431">
        <v>376</v>
      </c>
      <c r="C175" s="437" t="s">
        <v>88</v>
      </c>
      <c r="D175" s="431" t="s">
        <v>276</v>
      </c>
      <c r="E175" s="437" t="s">
        <v>90</v>
      </c>
      <c r="F175" s="431" t="s">
        <v>90</v>
      </c>
      <c r="G175" s="439" t="s">
        <v>90</v>
      </c>
      <c r="H175" s="614">
        <v>376</v>
      </c>
      <c r="I175" s="206" t="s">
        <v>478</v>
      </c>
      <c r="J175" s="235" t="s">
        <v>276</v>
      </c>
      <c r="K175" s="212" t="s">
        <v>131</v>
      </c>
      <c r="L175" s="215" t="s">
        <v>90</v>
      </c>
      <c r="M175" s="241">
        <v>569.09784200000001</v>
      </c>
      <c r="N175" s="437" t="s">
        <v>91</v>
      </c>
      <c r="O175" s="467" t="s">
        <v>39</v>
      </c>
      <c r="P175" s="522" t="s">
        <v>454</v>
      </c>
      <c r="Q175" s="476" t="s">
        <v>577</v>
      </c>
      <c r="R175" s="525" t="s">
        <v>513</v>
      </c>
    </row>
    <row r="176" spans="1:18" x14ac:dyDescent="0.25">
      <c r="A176" s="451"/>
      <c r="B176" s="432"/>
      <c r="C176" s="446"/>
      <c r="D176" s="432"/>
      <c r="E176" s="446"/>
      <c r="F176" s="432"/>
      <c r="G176" s="492"/>
      <c r="H176" s="615"/>
      <c r="I176" s="206" t="s">
        <v>478</v>
      </c>
      <c r="J176" s="235" t="s">
        <v>276</v>
      </c>
      <c r="K176" s="212" t="s">
        <v>170</v>
      </c>
      <c r="L176" s="235"/>
      <c r="M176" s="241">
        <v>1.346144</v>
      </c>
      <c r="N176" s="446"/>
      <c r="O176" s="468"/>
      <c r="P176" s="523"/>
      <c r="Q176" s="477"/>
      <c r="R176" s="480"/>
    </row>
    <row r="177" spans="1:18" ht="31.5" customHeight="1" x14ac:dyDescent="0.25">
      <c r="A177" s="452"/>
      <c r="B177" s="433"/>
      <c r="C177" s="438"/>
      <c r="D177" s="433"/>
      <c r="E177" s="438"/>
      <c r="F177" s="433"/>
      <c r="G177" s="440"/>
      <c r="H177" s="616"/>
      <c r="I177" s="364" t="s">
        <v>130</v>
      </c>
      <c r="J177" s="336" t="s">
        <v>276</v>
      </c>
      <c r="K177" s="323" t="s">
        <v>131</v>
      </c>
      <c r="L177" s="320" t="s">
        <v>90</v>
      </c>
      <c r="M177" s="32">
        <v>121.500536</v>
      </c>
      <c r="N177" s="438"/>
      <c r="O177" s="469"/>
      <c r="P177" s="524"/>
      <c r="Q177" s="478"/>
      <c r="R177" s="481"/>
    </row>
    <row r="178" spans="1:18" ht="60" x14ac:dyDescent="0.25">
      <c r="A178" s="558" t="s">
        <v>277</v>
      </c>
      <c r="B178" s="431">
        <v>253</v>
      </c>
      <c r="C178" s="206" t="s">
        <v>130</v>
      </c>
      <c r="D178" s="235" t="s">
        <v>118</v>
      </c>
      <c r="E178" s="206" t="s">
        <v>170</v>
      </c>
      <c r="F178" s="235" t="s">
        <v>342</v>
      </c>
      <c r="G178" s="241">
        <v>50</v>
      </c>
      <c r="H178" s="614">
        <v>0</v>
      </c>
      <c r="I178" s="434"/>
      <c r="J178" s="434"/>
      <c r="K178" s="434"/>
      <c r="L178" s="434"/>
      <c r="M178" s="434"/>
      <c r="N178" s="521" t="s">
        <v>91</v>
      </c>
      <c r="O178" s="547" t="s">
        <v>15</v>
      </c>
      <c r="P178" s="521" t="s">
        <v>92</v>
      </c>
      <c r="Q178" s="473" t="s">
        <v>380</v>
      </c>
      <c r="R178" s="661" t="s">
        <v>433</v>
      </c>
    </row>
    <row r="179" spans="1:18" ht="30" x14ac:dyDescent="0.25">
      <c r="A179" s="558"/>
      <c r="B179" s="432"/>
      <c r="C179" s="206" t="s">
        <v>398</v>
      </c>
      <c r="D179" s="235" t="s">
        <v>118</v>
      </c>
      <c r="E179" s="206" t="s">
        <v>131</v>
      </c>
      <c r="F179" s="235" t="s">
        <v>90</v>
      </c>
      <c r="G179" s="241">
        <v>1.456952</v>
      </c>
      <c r="H179" s="615"/>
      <c r="I179" s="435"/>
      <c r="J179" s="435"/>
      <c r="K179" s="435"/>
      <c r="L179" s="435"/>
      <c r="M179" s="435"/>
      <c r="N179" s="521"/>
      <c r="O179" s="547"/>
      <c r="P179" s="521"/>
      <c r="Q179" s="474"/>
      <c r="R179" s="662"/>
    </row>
    <row r="180" spans="1:18" ht="60" x14ac:dyDescent="0.25">
      <c r="A180" s="558"/>
      <c r="B180" s="432"/>
      <c r="C180" s="206" t="s">
        <v>398</v>
      </c>
      <c r="D180" s="235" t="s">
        <v>118</v>
      </c>
      <c r="E180" s="206" t="s">
        <v>170</v>
      </c>
      <c r="F180" s="235" t="s">
        <v>342</v>
      </c>
      <c r="G180" s="241">
        <v>-1.456952</v>
      </c>
      <c r="H180" s="615"/>
      <c r="I180" s="435"/>
      <c r="J180" s="435"/>
      <c r="K180" s="435"/>
      <c r="L180" s="435"/>
      <c r="M180" s="435"/>
      <c r="N180" s="521"/>
      <c r="O180" s="547"/>
      <c r="P180" s="521"/>
      <c r="Q180" s="475"/>
      <c r="R180" s="663"/>
    </row>
    <row r="181" spans="1:18" ht="30" x14ac:dyDescent="0.25">
      <c r="A181" s="558"/>
      <c r="B181" s="432"/>
      <c r="C181" s="206" t="s">
        <v>130</v>
      </c>
      <c r="D181" s="235" t="s">
        <v>118</v>
      </c>
      <c r="E181" s="206" t="s">
        <v>131</v>
      </c>
      <c r="F181" s="235" t="s">
        <v>90</v>
      </c>
      <c r="G181" s="241">
        <v>15</v>
      </c>
      <c r="H181" s="615"/>
      <c r="I181" s="435"/>
      <c r="J181" s="435"/>
      <c r="K181" s="435"/>
      <c r="L181" s="435"/>
      <c r="M181" s="435"/>
      <c r="N181" s="521"/>
      <c r="O181" s="547"/>
      <c r="P181" s="521"/>
      <c r="Q181" s="538" t="s">
        <v>434</v>
      </c>
      <c r="R181" s="659" t="s">
        <v>433</v>
      </c>
    </row>
    <row r="182" spans="1:18" ht="60" x14ac:dyDescent="0.25">
      <c r="A182" s="558"/>
      <c r="B182" s="433"/>
      <c r="C182" s="206" t="s">
        <v>130</v>
      </c>
      <c r="D182" s="235" t="s">
        <v>118</v>
      </c>
      <c r="E182" s="206" t="s">
        <v>170</v>
      </c>
      <c r="F182" s="235" t="s">
        <v>342</v>
      </c>
      <c r="G182" s="241">
        <v>62.5</v>
      </c>
      <c r="H182" s="616"/>
      <c r="I182" s="436"/>
      <c r="J182" s="436"/>
      <c r="K182" s="436"/>
      <c r="L182" s="436"/>
      <c r="M182" s="436"/>
      <c r="N182" s="521"/>
      <c r="O182" s="547"/>
      <c r="P182" s="521"/>
      <c r="Q182" s="538"/>
      <c r="R182" s="660"/>
    </row>
    <row r="183" spans="1:18" ht="60" customHeight="1" x14ac:dyDescent="0.25">
      <c r="A183" s="656" t="s">
        <v>278</v>
      </c>
      <c r="B183" s="431">
        <v>63</v>
      </c>
      <c r="C183" s="206" t="s">
        <v>130</v>
      </c>
      <c r="D183" s="235" t="s">
        <v>279</v>
      </c>
      <c r="E183" s="206" t="s">
        <v>170</v>
      </c>
      <c r="F183" s="235" t="s">
        <v>342</v>
      </c>
      <c r="G183" s="241">
        <v>62.5</v>
      </c>
      <c r="H183" s="614">
        <v>0</v>
      </c>
      <c r="I183" s="434"/>
      <c r="J183" s="434"/>
      <c r="K183" s="434"/>
      <c r="L183" s="434"/>
      <c r="M183" s="434"/>
      <c r="N183" s="437" t="s">
        <v>91</v>
      </c>
      <c r="O183" s="467" t="s">
        <v>40</v>
      </c>
      <c r="P183" s="431" t="s">
        <v>372</v>
      </c>
      <c r="Q183" s="437"/>
      <c r="R183" s="525"/>
    </row>
    <row r="184" spans="1:18" ht="60" x14ac:dyDescent="0.25">
      <c r="A184" s="657"/>
      <c r="B184" s="432"/>
      <c r="C184" s="206" t="s">
        <v>136</v>
      </c>
      <c r="D184" s="235" t="s">
        <v>279</v>
      </c>
      <c r="E184" s="206" t="s">
        <v>170</v>
      </c>
      <c r="F184" s="235" t="s">
        <v>342</v>
      </c>
      <c r="G184" s="241">
        <v>-56.8</v>
      </c>
      <c r="H184" s="615"/>
      <c r="I184" s="435"/>
      <c r="J184" s="435"/>
      <c r="K184" s="435"/>
      <c r="L184" s="435"/>
      <c r="M184" s="435"/>
      <c r="N184" s="446"/>
      <c r="O184" s="468"/>
      <c r="P184" s="432"/>
      <c r="Q184" s="446"/>
      <c r="R184" s="480"/>
    </row>
    <row r="185" spans="1:18" ht="60" x14ac:dyDescent="0.25">
      <c r="A185" s="657"/>
      <c r="B185" s="432"/>
      <c r="C185" s="206" t="s">
        <v>398</v>
      </c>
      <c r="D185" s="235" t="s">
        <v>279</v>
      </c>
      <c r="E185" s="206" t="s">
        <v>170</v>
      </c>
      <c r="F185" s="235" t="s">
        <v>342</v>
      </c>
      <c r="G185" s="241">
        <v>-5.7</v>
      </c>
      <c r="H185" s="615"/>
      <c r="I185" s="436"/>
      <c r="J185" s="436"/>
      <c r="K185" s="436"/>
      <c r="L185" s="436"/>
      <c r="M185" s="436"/>
      <c r="N185" s="438"/>
      <c r="O185" s="469"/>
      <c r="P185" s="433"/>
      <c r="Q185" s="438"/>
      <c r="R185" s="481"/>
    </row>
    <row r="186" spans="1:18" ht="30" x14ac:dyDescent="0.25">
      <c r="A186" s="657"/>
      <c r="B186" s="432"/>
      <c r="C186" s="206" t="s">
        <v>136</v>
      </c>
      <c r="D186" s="235" t="s">
        <v>224</v>
      </c>
      <c r="E186" s="206" t="s">
        <v>131</v>
      </c>
      <c r="F186" s="235" t="s">
        <v>90</v>
      </c>
      <c r="G186" s="241">
        <v>17.037134999999999</v>
      </c>
      <c r="H186" s="615"/>
      <c r="I186" s="434"/>
      <c r="J186" s="434"/>
      <c r="K186" s="434"/>
      <c r="L186" s="434"/>
      <c r="M186" s="434"/>
      <c r="N186" s="437" t="s">
        <v>91</v>
      </c>
      <c r="O186" s="467" t="s">
        <v>41</v>
      </c>
      <c r="P186" s="470" t="s">
        <v>454</v>
      </c>
      <c r="Q186" s="476" t="s">
        <v>578</v>
      </c>
      <c r="R186" s="525" t="s">
        <v>513</v>
      </c>
    </row>
    <row r="187" spans="1:18" ht="60" x14ac:dyDescent="0.25">
      <c r="A187" s="657"/>
      <c r="B187" s="432"/>
      <c r="C187" s="206" t="s">
        <v>136</v>
      </c>
      <c r="D187" s="235" t="s">
        <v>224</v>
      </c>
      <c r="E187" s="206" t="s">
        <v>170</v>
      </c>
      <c r="F187" s="235" t="s">
        <v>342</v>
      </c>
      <c r="G187" s="241">
        <v>21.102865000000001</v>
      </c>
      <c r="H187" s="615"/>
      <c r="I187" s="435"/>
      <c r="J187" s="435"/>
      <c r="K187" s="435"/>
      <c r="L187" s="435"/>
      <c r="M187" s="435"/>
      <c r="N187" s="446"/>
      <c r="O187" s="468"/>
      <c r="P187" s="471"/>
      <c r="Q187" s="477"/>
      <c r="R187" s="480"/>
    </row>
    <row r="188" spans="1:18" ht="30" x14ac:dyDescent="0.25">
      <c r="A188" s="657"/>
      <c r="B188" s="432"/>
      <c r="C188" s="206" t="s">
        <v>398</v>
      </c>
      <c r="D188" s="235" t="s">
        <v>224</v>
      </c>
      <c r="E188" s="206" t="s">
        <v>131</v>
      </c>
      <c r="F188" s="235" t="s">
        <v>90</v>
      </c>
      <c r="G188" s="241">
        <v>4.5599999999999996</v>
      </c>
      <c r="H188" s="615"/>
      <c r="I188" s="435"/>
      <c r="J188" s="435"/>
      <c r="K188" s="435"/>
      <c r="L188" s="435"/>
      <c r="M188" s="435"/>
      <c r="N188" s="446"/>
      <c r="O188" s="468"/>
      <c r="P188" s="471"/>
      <c r="Q188" s="478"/>
      <c r="R188" s="481"/>
    </row>
    <row r="189" spans="1:18" ht="60" x14ac:dyDescent="0.25">
      <c r="A189" s="657"/>
      <c r="B189" s="432"/>
      <c r="C189" s="206" t="s">
        <v>136</v>
      </c>
      <c r="D189" s="235" t="s">
        <v>182</v>
      </c>
      <c r="E189" s="206" t="s">
        <v>170</v>
      </c>
      <c r="F189" s="235" t="s">
        <v>342</v>
      </c>
      <c r="G189" s="241">
        <v>9.5180000000000007</v>
      </c>
      <c r="H189" s="615"/>
      <c r="I189" s="435"/>
      <c r="J189" s="435"/>
      <c r="K189" s="435"/>
      <c r="L189" s="435"/>
      <c r="M189" s="435"/>
      <c r="N189" s="446"/>
      <c r="O189" s="468"/>
      <c r="P189" s="471"/>
      <c r="Q189" s="476" t="s">
        <v>659</v>
      </c>
      <c r="R189" s="525" t="s">
        <v>513</v>
      </c>
    </row>
    <row r="190" spans="1:18" ht="30" x14ac:dyDescent="0.25">
      <c r="A190" s="657"/>
      <c r="B190" s="432"/>
      <c r="C190" s="206" t="s">
        <v>398</v>
      </c>
      <c r="D190" s="235" t="s">
        <v>182</v>
      </c>
      <c r="E190" s="206" t="s">
        <v>131</v>
      </c>
      <c r="F190" s="235" t="s">
        <v>90</v>
      </c>
      <c r="G190" s="241">
        <v>1.1399999999999999</v>
      </c>
      <c r="H190" s="615"/>
      <c r="I190" s="435"/>
      <c r="J190" s="435"/>
      <c r="K190" s="435"/>
      <c r="L190" s="435"/>
      <c r="M190" s="435"/>
      <c r="N190" s="446"/>
      <c r="O190" s="468"/>
      <c r="P190" s="471"/>
      <c r="Q190" s="478"/>
      <c r="R190" s="481"/>
    </row>
    <row r="191" spans="1:18" ht="45" customHeight="1" x14ac:dyDescent="0.25">
      <c r="A191" s="657"/>
      <c r="B191" s="432"/>
      <c r="C191" s="206" t="s">
        <v>136</v>
      </c>
      <c r="D191" s="235" t="s">
        <v>226</v>
      </c>
      <c r="E191" s="206" t="s">
        <v>131</v>
      </c>
      <c r="F191" s="235" t="s">
        <v>90</v>
      </c>
      <c r="G191" s="241">
        <v>6.992</v>
      </c>
      <c r="H191" s="615"/>
      <c r="I191" s="435"/>
      <c r="J191" s="435"/>
      <c r="K191" s="435"/>
      <c r="L191" s="435"/>
      <c r="M191" s="435"/>
      <c r="N191" s="446"/>
      <c r="O191" s="468"/>
      <c r="P191" s="471"/>
      <c r="Q191" s="476" t="s">
        <v>660</v>
      </c>
      <c r="R191" s="525" t="s">
        <v>513</v>
      </c>
    </row>
    <row r="192" spans="1:18" ht="60" x14ac:dyDescent="0.25">
      <c r="A192" s="657"/>
      <c r="B192" s="432"/>
      <c r="C192" s="206" t="s">
        <v>136</v>
      </c>
      <c r="D192" s="235" t="s">
        <v>226</v>
      </c>
      <c r="E192" s="206" t="s">
        <v>170</v>
      </c>
      <c r="F192" s="235" t="s">
        <v>342</v>
      </c>
      <c r="G192" s="241">
        <v>2.15</v>
      </c>
      <c r="H192" s="615"/>
      <c r="I192" s="435"/>
      <c r="J192" s="435"/>
      <c r="K192" s="435"/>
      <c r="L192" s="435"/>
      <c r="M192" s="435"/>
      <c r="N192" s="446"/>
      <c r="O192" s="468"/>
      <c r="P192" s="471"/>
      <c r="Q192" s="477"/>
      <c r="R192" s="480"/>
    </row>
    <row r="193" spans="1:18" ht="45" x14ac:dyDescent="0.25">
      <c r="A193" s="657"/>
      <c r="B193" s="432"/>
      <c r="C193" s="206" t="s">
        <v>398</v>
      </c>
      <c r="D193" s="235" t="s">
        <v>226</v>
      </c>
      <c r="E193" s="206" t="s">
        <v>131</v>
      </c>
      <c r="F193" s="235" t="s">
        <v>90</v>
      </c>
      <c r="G193" s="241">
        <v>1.65</v>
      </c>
      <c r="H193" s="615"/>
      <c r="I193" s="435"/>
      <c r="J193" s="435"/>
      <c r="K193" s="435"/>
      <c r="L193" s="435"/>
      <c r="M193" s="435"/>
      <c r="N193" s="446"/>
      <c r="O193" s="468"/>
      <c r="P193" s="471"/>
      <c r="Q193" s="477"/>
      <c r="R193" s="480"/>
    </row>
    <row r="194" spans="1:18" ht="60" x14ac:dyDescent="0.25">
      <c r="A194" s="658"/>
      <c r="B194" s="433"/>
      <c r="C194" s="206" t="s">
        <v>398</v>
      </c>
      <c r="D194" s="235" t="s">
        <v>226</v>
      </c>
      <c r="E194" s="220" t="s">
        <v>170</v>
      </c>
      <c r="F194" s="235" t="s">
        <v>342</v>
      </c>
      <c r="G194" s="241">
        <v>-1.65</v>
      </c>
      <c r="H194" s="616"/>
      <c r="I194" s="436"/>
      <c r="J194" s="436"/>
      <c r="K194" s="436"/>
      <c r="L194" s="436"/>
      <c r="M194" s="436"/>
      <c r="N194" s="438"/>
      <c r="O194" s="469"/>
      <c r="P194" s="472"/>
      <c r="Q194" s="478"/>
      <c r="R194" s="481"/>
    </row>
    <row r="195" spans="1:18" ht="60" x14ac:dyDescent="0.25">
      <c r="A195" s="450" t="s">
        <v>280</v>
      </c>
      <c r="B195" s="431">
        <v>469</v>
      </c>
      <c r="C195" s="206" t="s">
        <v>130</v>
      </c>
      <c r="D195" s="235" t="s">
        <v>279</v>
      </c>
      <c r="E195" s="206" t="s">
        <v>170</v>
      </c>
      <c r="F195" s="235" t="s">
        <v>342</v>
      </c>
      <c r="G195" s="241">
        <v>469.4</v>
      </c>
      <c r="H195" s="614">
        <v>0</v>
      </c>
      <c r="I195" s="212" t="s">
        <v>478</v>
      </c>
      <c r="J195" s="235" t="s">
        <v>279</v>
      </c>
      <c r="K195" s="212" t="s">
        <v>131</v>
      </c>
      <c r="L195" s="215" t="s">
        <v>90</v>
      </c>
      <c r="M195" s="241">
        <v>140.53292500000001</v>
      </c>
      <c r="N195" s="437" t="s">
        <v>91</v>
      </c>
      <c r="O195" s="467" t="s">
        <v>40</v>
      </c>
      <c r="P195" s="547" t="s">
        <v>454</v>
      </c>
      <c r="Q195" s="476" t="s">
        <v>579</v>
      </c>
      <c r="R195" s="525" t="s">
        <v>513</v>
      </c>
    </row>
    <row r="196" spans="1:18" x14ac:dyDescent="0.25">
      <c r="A196" s="451"/>
      <c r="B196" s="432"/>
      <c r="C196" s="206" t="s">
        <v>398</v>
      </c>
      <c r="D196" s="235" t="s">
        <v>279</v>
      </c>
      <c r="E196" s="206" t="s">
        <v>131</v>
      </c>
      <c r="F196" s="235" t="s">
        <v>90</v>
      </c>
      <c r="G196" s="241">
        <f>1.109394+3.5</f>
        <v>4.609394</v>
      </c>
      <c r="H196" s="615"/>
      <c r="I196" s="502" t="s">
        <v>478</v>
      </c>
      <c r="J196" s="428" t="s">
        <v>279</v>
      </c>
      <c r="K196" s="502" t="s">
        <v>170</v>
      </c>
      <c r="L196" s="431"/>
      <c r="M196" s="588">
        <v>0.47070499999999998</v>
      </c>
      <c r="N196" s="446"/>
      <c r="O196" s="468"/>
      <c r="P196" s="547"/>
      <c r="Q196" s="477"/>
      <c r="R196" s="480"/>
    </row>
    <row r="197" spans="1:18" ht="60" x14ac:dyDescent="0.25">
      <c r="A197" s="452"/>
      <c r="B197" s="433"/>
      <c r="C197" s="206" t="s">
        <v>398</v>
      </c>
      <c r="D197" s="235" t="s">
        <v>279</v>
      </c>
      <c r="E197" s="206" t="s">
        <v>170</v>
      </c>
      <c r="F197" s="235" t="s">
        <v>342</v>
      </c>
      <c r="G197" s="241">
        <v>-334.04422499999998</v>
      </c>
      <c r="H197" s="616"/>
      <c r="I197" s="504"/>
      <c r="J197" s="430"/>
      <c r="K197" s="504"/>
      <c r="L197" s="433"/>
      <c r="M197" s="589"/>
      <c r="N197" s="438"/>
      <c r="O197" s="469"/>
      <c r="P197" s="547"/>
      <c r="Q197" s="478"/>
      <c r="R197" s="481"/>
    </row>
    <row r="198" spans="1:18" ht="60" x14ac:dyDescent="0.25">
      <c r="A198" s="558" t="s">
        <v>281</v>
      </c>
      <c r="B198" s="431">
        <v>450</v>
      </c>
      <c r="C198" s="206" t="s">
        <v>136</v>
      </c>
      <c r="D198" s="235" t="s">
        <v>282</v>
      </c>
      <c r="E198" s="206" t="s">
        <v>170</v>
      </c>
      <c r="F198" s="235" t="s">
        <v>342</v>
      </c>
      <c r="G198" s="241">
        <v>325</v>
      </c>
      <c r="H198" s="614">
        <v>0</v>
      </c>
      <c r="I198" s="434"/>
      <c r="J198" s="434"/>
      <c r="K198" s="434"/>
      <c r="L198" s="434"/>
      <c r="M198" s="434"/>
      <c r="N198" s="552" t="s">
        <v>91</v>
      </c>
      <c r="O198" s="546" t="s">
        <v>42</v>
      </c>
      <c r="P198" s="547" t="s">
        <v>454</v>
      </c>
      <c r="Q198" s="531" t="s">
        <v>580</v>
      </c>
      <c r="R198" s="483" t="s">
        <v>513</v>
      </c>
    </row>
    <row r="199" spans="1:18" ht="30" x14ac:dyDescent="0.25">
      <c r="A199" s="558"/>
      <c r="B199" s="433"/>
      <c r="C199" s="206" t="s">
        <v>136</v>
      </c>
      <c r="D199" s="235" t="s">
        <v>282</v>
      </c>
      <c r="E199" s="206" t="s">
        <v>131</v>
      </c>
      <c r="F199" s="235" t="s">
        <v>90</v>
      </c>
      <c r="G199" s="241">
        <v>125</v>
      </c>
      <c r="H199" s="616"/>
      <c r="I199" s="436"/>
      <c r="J199" s="436"/>
      <c r="K199" s="436"/>
      <c r="L199" s="436"/>
      <c r="M199" s="436"/>
      <c r="N199" s="552"/>
      <c r="O199" s="546"/>
      <c r="P199" s="547"/>
      <c r="Q199" s="531"/>
      <c r="R199" s="483"/>
    </row>
    <row r="200" spans="1:18" ht="60" x14ac:dyDescent="0.25">
      <c r="A200" s="558" t="s">
        <v>283</v>
      </c>
      <c r="B200" s="431">
        <v>2</v>
      </c>
      <c r="C200" s="206" t="s">
        <v>136</v>
      </c>
      <c r="D200" s="235" t="s">
        <v>284</v>
      </c>
      <c r="E200" s="206" t="s">
        <v>170</v>
      </c>
      <c r="F200" s="235" t="s">
        <v>342</v>
      </c>
      <c r="G200" s="241">
        <v>1.7242409999999999</v>
      </c>
      <c r="H200" s="614">
        <v>0</v>
      </c>
      <c r="I200" s="434"/>
      <c r="J200" s="434"/>
      <c r="K200" s="434"/>
      <c r="L200" s="434"/>
      <c r="M200" s="434"/>
      <c r="N200" s="552" t="s">
        <v>91</v>
      </c>
      <c r="O200" s="546" t="s">
        <v>6</v>
      </c>
      <c r="P200" s="547" t="s">
        <v>454</v>
      </c>
      <c r="Q200" s="670" t="s">
        <v>581</v>
      </c>
      <c r="R200" s="596" t="s">
        <v>513</v>
      </c>
    </row>
    <row r="201" spans="1:18" ht="30" x14ac:dyDescent="0.25">
      <c r="A201" s="558"/>
      <c r="B201" s="432"/>
      <c r="C201" s="206" t="s">
        <v>136</v>
      </c>
      <c r="D201" s="235" t="s">
        <v>284</v>
      </c>
      <c r="E201" s="206" t="s">
        <v>131</v>
      </c>
      <c r="F201" s="235" t="s">
        <v>90</v>
      </c>
      <c r="G201" s="241">
        <v>0.83208300000000002</v>
      </c>
      <c r="H201" s="615"/>
      <c r="I201" s="435"/>
      <c r="J201" s="435"/>
      <c r="K201" s="435"/>
      <c r="L201" s="435"/>
      <c r="M201" s="435"/>
      <c r="N201" s="552"/>
      <c r="O201" s="546"/>
      <c r="P201" s="547"/>
      <c r="Q201" s="670"/>
      <c r="R201" s="596"/>
    </row>
    <row r="202" spans="1:18" ht="60" x14ac:dyDescent="0.25">
      <c r="A202" s="558"/>
      <c r="B202" s="432"/>
      <c r="C202" s="206" t="s">
        <v>398</v>
      </c>
      <c r="D202" s="235" t="s">
        <v>284</v>
      </c>
      <c r="E202" s="206" t="s">
        <v>170</v>
      </c>
      <c r="F202" s="235" t="s">
        <v>342</v>
      </c>
      <c r="G202" s="166">
        <v>-0.24385399999999999</v>
      </c>
      <c r="H202" s="615"/>
      <c r="I202" s="435"/>
      <c r="J202" s="435"/>
      <c r="K202" s="435"/>
      <c r="L202" s="435"/>
      <c r="M202" s="435"/>
      <c r="N202" s="552"/>
      <c r="O202" s="546"/>
      <c r="P202" s="547"/>
      <c r="Q202" s="670"/>
      <c r="R202" s="596"/>
    </row>
    <row r="203" spans="1:18" ht="30" x14ac:dyDescent="0.25">
      <c r="A203" s="558"/>
      <c r="B203" s="433"/>
      <c r="C203" s="220" t="s">
        <v>398</v>
      </c>
      <c r="D203" s="235" t="s">
        <v>284</v>
      </c>
      <c r="E203" s="220" t="s">
        <v>131</v>
      </c>
      <c r="F203" s="232" t="s">
        <v>90</v>
      </c>
      <c r="G203" s="167">
        <v>0.24385399999999999</v>
      </c>
      <c r="H203" s="616"/>
      <c r="I203" s="436"/>
      <c r="J203" s="436"/>
      <c r="K203" s="436"/>
      <c r="L203" s="436"/>
      <c r="M203" s="436"/>
      <c r="N203" s="552"/>
      <c r="O203" s="546"/>
      <c r="P203" s="547"/>
      <c r="Q203" s="531"/>
      <c r="R203" s="483"/>
    </row>
    <row r="204" spans="1:18" ht="60" x14ac:dyDescent="0.25">
      <c r="A204" s="229" t="s">
        <v>285</v>
      </c>
      <c r="B204" s="96">
        <v>320</v>
      </c>
      <c r="C204" s="206" t="s">
        <v>398</v>
      </c>
      <c r="D204" s="235" t="s">
        <v>101</v>
      </c>
      <c r="E204" s="206" t="s">
        <v>170</v>
      </c>
      <c r="F204" s="235" t="s">
        <v>422</v>
      </c>
      <c r="G204" s="149">
        <v>320</v>
      </c>
      <c r="H204" s="312">
        <v>0</v>
      </c>
      <c r="I204" s="206"/>
      <c r="J204" s="235"/>
      <c r="K204" s="206"/>
      <c r="L204" s="235"/>
      <c r="M204" s="149"/>
      <c r="N204" s="206" t="s">
        <v>91</v>
      </c>
      <c r="O204" s="207" t="s">
        <v>1</v>
      </c>
      <c r="P204" s="216" t="s">
        <v>454</v>
      </c>
      <c r="Q204" s="226" t="s">
        <v>425</v>
      </c>
      <c r="R204" s="205" t="s">
        <v>513</v>
      </c>
    </row>
    <row r="205" spans="1:18" ht="30" customHeight="1" x14ac:dyDescent="0.25">
      <c r="A205" s="558" t="s">
        <v>286</v>
      </c>
      <c r="B205" s="431">
        <v>99</v>
      </c>
      <c r="C205" s="206" t="s">
        <v>136</v>
      </c>
      <c r="D205" s="235" t="s">
        <v>89</v>
      </c>
      <c r="E205" s="206" t="s">
        <v>131</v>
      </c>
      <c r="F205" s="235" t="s">
        <v>90</v>
      </c>
      <c r="G205" s="149">
        <v>9.7100000000000009</v>
      </c>
      <c r="H205" s="614">
        <v>0</v>
      </c>
      <c r="I205" s="434"/>
      <c r="J205" s="434"/>
      <c r="K205" s="434"/>
      <c r="L205" s="434"/>
      <c r="M205" s="434"/>
      <c r="N205" s="437" t="s">
        <v>91</v>
      </c>
      <c r="O205" s="467" t="s">
        <v>29</v>
      </c>
      <c r="P205" s="547" t="s">
        <v>454</v>
      </c>
      <c r="Q205" s="476" t="s">
        <v>521</v>
      </c>
      <c r="R205" s="525" t="s">
        <v>513</v>
      </c>
    </row>
    <row r="206" spans="1:18" ht="30" x14ac:dyDescent="0.25">
      <c r="A206" s="558"/>
      <c r="B206" s="432"/>
      <c r="C206" s="206" t="s">
        <v>136</v>
      </c>
      <c r="D206" s="235" t="s">
        <v>89</v>
      </c>
      <c r="E206" s="206" t="s">
        <v>170</v>
      </c>
      <c r="F206" s="235" t="s">
        <v>339</v>
      </c>
      <c r="G206" s="149">
        <v>87.39</v>
      </c>
      <c r="H206" s="615"/>
      <c r="I206" s="435"/>
      <c r="J206" s="435"/>
      <c r="K206" s="435"/>
      <c r="L206" s="435"/>
      <c r="M206" s="435"/>
      <c r="N206" s="446"/>
      <c r="O206" s="468"/>
      <c r="P206" s="547"/>
      <c r="Q206" s="477"/>
      <c r="R206" s="480"/>
    </row>
    <row r="207" spans="1:18" ht="30" x14ac:dyDescent="0.25">
      <c r="A207" s="558"/>
      <c r="B207" s="432"/>
      <c r="C207" s="206" t="s">
        <v>398</v>
      </c>
      <c r="D207" s="235" t="s">
        <v>89</v>
      </c>
      <c r="E207" s="206" t="s">
        <v>170</v>
      </c>
      <c r="F207" s="235" t="s">
        <v>339</v>
      </c>
      <c r="G207" s="150">
        <v>-2.678509</v>
      </c>
      <c r="H207" s="615"/>
      <c r="I207" s="435"/>
      <c r="J207" s="435"/>
      <c r="K207" s="435"/>
      <c r="L207" s="435"/>
      <c r="M207" s="435"/>
      <c r="N207" s="446"/>
      <c r="O207" s="468"/>
      <c r="P207" s="547"/>
      <c r="Q207" s="477"/>
      <c r="R207" s="480"/>
    </row>
    <row r="208" spans="1:18" x14ac:dyDescent="0.25">
      <c r="A208" s="558"/>
      <c r="B208" s="432"/>
      <c r="C208" s="206" t="s">
        <v>398</v>
      </c>
      <c r="D208" s="235" t="s">
        <v>89</v>
      </c>
      <c r="E208" s="206" t="s">
        <v>131</v>
      </c>
      <c r="F208" s="235" t="s">
        <v>90</v>
      </c>
      <c r="G208" s="147">
        <v>2.678509</v>
      </c>
      <c r="H208" s="615"/>
      <c r="I208" s="436"/>
      <c r="J208" s="436"/>
      <c r="K208" s="436"/>
      <c r="L208" s="436"/>
      <c r="M208" s="436"/>
      <c r="N208" s="438"/>
      <c r="O208" s="469"/>
      <c r="P208" s="547"/>
      <c r="Q208" s="478"/>
      <c r="R208" s="481"/>
    </row>
    <row r="209" spans="1:18" ht="30" x14ac:dyDescent="0.25">
      <c r="A209" s="558"/>
      <c r="B209" s="433"/>
      <c r="C209" s="399" t="s">
        <v>136</v>
      </c>
      <c r="D209" s="401" t="s">
        <v>146</v>
      </c>
      <c r="E209" s="399" t="s">
        <v>170</v>
      </c>
      <c r="F209" s="401" t="s">
        <v>339</v>
      </c>
      <c r="G209" s="402">
        <v>2.4</v>
      </c>
      <c r="H209" s="616"/>
      <c r="I209" s="206"/>
      <c r="J209" s="235"/>
      <c r="K209" s="206"/>
      <c r="L209" s="235"/>
      <c r="M209" s="149"/>
      <c r="N209" s="206" t="s">
        <v>91</v>
      </c>
      <c r="O209" s="207" t="s">
        <v>16</v>
      </c>
      <c r="P209" s="235" t="s">
        <v>92</v>
      </c>
      <c r="Q209" s="226" t="s">
        <v>369</v>
      </c>
      <c r="R209" s="205" t="s">
        <v>513</v>
      </c>
    </row>
    <row r="210" spans="1:18" ht="28.5" customHeight="1" x14ac:dyDescent="0.25">
      <c r="A210" s="450" t="s">
        <v>287</v>
      </c>
      <c r="B210" s="431">
        <v>130</v>
      </c>
      <c r="C210" s="399" t="s">
        <v>136</v>
      </c>
      <c r="D210" s="401" t="s">
        <v>89</v>
      </c>
      <c r="E210" s="399" t="s">
        <v>170</v>
      </c>
      <c r="F210" s="401" t="s">
        <v>339</v>
      </c>
      <c r="G210" s="402">
        <v>60.2</v>
      </c>
      <c r="H210" s="614">
        <v>422</v>
      </c>
      <c r="I210" s="212" t="s">
        <v>478</v>
      </c>
      <c r="J210" s="235" t="s">
        <v>89</v>
      </c>
      <c r="K210" s="212" t="s">
        <v>131</v>
      </c>
      <c r="L210" s="235" t="s">
        <v>90</v>
      </c>
      <c r="M210" s="188">
        <v>0.35827100000000001</v>
      </c>
      <c r="N210" s="437" t="s">
        <v>91</v>
      </c>
      <c r="O210" s="467" t="s">
        <v>29</v>
      </c>
      <c r="P210" s="437" t="s">
        <v>92</v>
      </c>
      <c r="Q210" s="476" t="s">
        <v>520</v>
      </c>
      <c r="R210" s="525" t="s">
        <v>513</v>
      </c>
    </row>
    <row r="211" spans="1:18" x14ac:dyDescent="0.25">
      <c r="A211" s="451"/>
      <c r="B211" s="432"/>
      <c r="C211" s="552" t="s">
        <v>398</v>
      </c>
      <c r="D211" s="552" t="s">
        <v>89</v>
      </c>
      <c r="E211" s="552" t="s">
        <v>170</v>
      </c>
      <c r="F211" s="521" t="s">
        <v>339</v>
      </c>
      <c r="G211" s="609">
        <v>-25.508465999999999</v>
      </c>
      <c r="H211" s="615"/>
      <c r="I211" s="502" t="s">
        <v>478</v>
      </c>
      <c r="J211" s="431" t="s">
        <v>89</v>
      </c>
      <c r="K211" s="502" t="s">
        <v>170</v>
      </c>
      <c r="L211" s="431"/>
      <c r="M211" s="641">
        <v>4.1729000000000002E-2</v>
      </c>
      <c r="N211" s="446"/>
      <c r="O211" s="468"/>
      <c r="P211" s="446"/>
      <c r="Q211" s="477"/>
      <c r="R211" s="480"/>
    </row>
    <row r="212" spans="1:18" x14ac:dyDescent="0.25">
      <c r="A212" s="451"/>
      <c r="B212" s="432"/>
      <c r="C212" s="552"/>
      <c r="D212" s="552"/>
      <c r="E212" s="552"/>
      <c r="F212" s="521"/>
      <c r="G212" s="609"/>
      <c r="H212" s="615"/>
      <c r="I212" s="504"/>
      <c r="J212" s="433"/>
      <c r="K212" s="504"/>
      <c r="L212" s="433"/>
      <c r="M212" s="642"/>
      <c r="N212" s="446"/>
      <c r="O212" s="468"/>
      <c r="P212" s="446"/>
      <c r="Q212" s="477"/>
      <c r="R212" s="480"/>
    </row>
    <row r="213" spans="1:18" x14ac:dyDescent="0.25">
      <c r="A213" s="451"/>
      <c r="B213" s="432"/>
      <c r="C213" s="552" t="s">
        <v>398</v>
      </c>
      <c r="D213" s="552" t="s">
        <v>89</v>
      </c>
      <c r="E213" s="552" t="s">
        <v>131</v>
      </c>
      <c r="F213" s="521" t="s">
        <v>90</v>
      </c>
      <c r="G213" s="609">
        <v>21.287790000000001</v>
      </c>
      <c r="H213" s="615"/>
      <c r="I213" s="377" t="s">
        <v>130</v>
      </c>
      <c r="J213" s="384" t="s">
        <v>89</v>
      </c>
      <c r="K213" s="377" t="s">
        <v>131</v>
      </c>
      <c r="L213" s="372" t="s">
        <v>90</v>
      </c>
      <c r="M213" s="383">
        <f>115.076055+4.313497</f>
        <v>119.38955199999999</v>
      </c>
      <c r="N213" s="446"/>
      <c r="O213" s="468"/>
      <c r="P213" s="446"/>
      <c r="Q213" s="477"/>
      <c r="R213" s="480"/>
    </row>
    <row r="214" spans="1:18" x14ac:dyDescent="0.25">
      <c r="A214" s="451"/>
      <c r="B214" s="432"/>
      <c r="C214" s="552"/>
      <c r="D214" s="552"/>
      <c r="E214" s="552"/>
      <c r="F214" s="521"/>
      <c r="G214" s="609"/>
      <c r="H214" s="615"/>
      <c r="I214" s="377" t="s">
        <v>130</v>
      </c>
      <c r="J214" s="384" t="s">
        <v>89</v>
      </c>
      <c r="K214" s="377" t="s">
        <v>131</v>
      </c>
      <c r="L214" s="372" t="s">
        <v>90</v>
      </c>
      <c r="M214" s="394">
        <v>84.086419000000006</v>
      </c>
      <c r="N214" s="438"/>
      <c r="O214" s="469"/>
      <c r="P214" s="438"/>
      <c r="Q214" s="478"/>
      <c r="R214" s="481"/>
    </row>
    <row r="215" spans="1:18" ht="30" x14ac:dyDescent="0.25">
      <c r="A215" s="452"/>
      <c r="B215" s="433"/>
      <c r="C215" s="399" t="s">
        <v>88</v>
      </c>
      <c r="D215" s="401" t="s">
        <v>158</v>
      </c>
      <c r="E215" s="399" t="s">
        <v>90</v>
      </c>
      <c r="F215" s="401" t="s">
        <v>90</v>
      </c>
      <c r="G215" s="397" t="s">
        <v>90</v>
      </c>
      <c r="H215" s="616"/>
      <c r="I215" s="212" t="s">
        <v>478</v>
      </c>
      <c r="J215" s="235" t="s">
        <v>158</v>
      </c>
      <c r="K215" s="212" t="s">
        <v>131</v>
      </c>
      <c r="L215" s="235" t="s">
        <v>90</v>
      </c>
      <c r="M215" s="149">
        <v>91.898832999999996</v>
      </c>
      <c r="N215" s="206" t="s">
        <v>355</v>
      </c>
      <c r="O215" s="197"/>
      <c r="P215" s="196"/>
      <c r="Q215" s="98"/>
      <c r="R215" s="178"/>
    </row>
    <row r="216" spans="1:18" ht="30" x14ac:dyDescent="0.25">
      <c r="A216" s="229" t="s">
        <v>288</v>
      </c>
      <c r="B216" s="101">
        <v>5515</v>
      </c>
      <c r="C216" s="399" t="s">
        <v>88</v>
      </c>
      <c r="D216" s="401" t="s">
        <v>89</v>
      </c>
      <c r="E216" s="399" t="s">
        <v>90</v>
      </c>
      <c r="F216" s="401" t="s">
        <v>341</v>
      </c>
      <c r="G216" s="397" t="s">
        <v>90</v>
      </c>
      <c r="H216" s="311">
        <v>0</v>
      </c>
      <c r="I216" s="206"/>
      <c r="J216" s="235"/>
      <c r="K216" s="206"/>
      <c r="L216" s="235"/>
      <c r="M216" s="241"/>
      <c r="N216" s="206" t="s">
        <v>91</v>
      </c>
      <c r="O216" s="207" t="s">
        <v>30</v>
      </c>
      <c r="P216" s="235" t="s">
        <v>92</v>
      </c>
      <c r="Q216" s="226" t="s">
        <v>93</v>
      </c>
      <c r="R216" s="205"/>
    </row>
    <row r="217" spans="1:18" ht="30" x14ac:dyDescent="0.25">
      <c r="A217" s="229" t="s">
        <v>289</v>
      </c>
      <c r="B217" s="101">
        <v>1997</v>
      </c>
      <c r="C217" s="399" t="s">
        <v>88</v>
      </c>
      <c r="D217" s="401" t="s">
        <v>89</v>
      </c>
      <c r="E217" s="399" t="s">
        <v>90</v>
      </c>
      <c r="F217" s="401" t="s">
        <v>341</v>
      </c>
      <c r="G217" s="397" t="s">
        <v>90</v>
      </c>
      <c r="H217" s="311">
        <v>0</v>
      </c>
      <c r="I217" s="206"/>
      <c r="J217" s="235"/>
      <c r="K217" s="206"/>
      <c r="L217" s="235"/>
      <c r="M217" s="241"/>
      <c r="N217" s="206" t="s">
        <v>91</v>
      </c>
      <c r="O217" s="207" t="s">
        <v>30</v>
      </c>
      <c r="P217" s="235" t="s">
        <v>92</v>
      </c>
      <c r="Q217" s="226" t="s">
        <v>93</v>
      </c>
      <c r="R217" s="205"/>
    </row>
    <row r="218" spans="1:18" ht="60" x14ac:dyDescent="0.25">
      <c r="A218" s="229" t="s">
        <v>290</v>
      </c>
      <c r="B218" s="101">
        <f>2509-54</f>
        <v>2455</v>
      </c>
      <c r="C218" s="206" t="s">
        <v>130</v>
      </c>
      <c r="D218" s="235" t="s">
        <v>158</v>
      </c>
      <c r="E218" s="206" t="s">
        <v>170</v>
      </c>
      <c r="F218" s="235" t="s">
        <v>341</v>
      </c>
      <c r="G218" s="241">
        <v>2501.3000000000002</v>
      </c>
      <c r="H218" s="311">
        <v>0</v>
      </c>
      <c r="I218" s="328"/>
      <c r="J218" s="350"/>
      <c r="K218" s="328"/>
      <c r="L218" s="350"/>
      <c r="M218" s="354"/>
      <c r="N218" s="206" t="s">
        <v>91</v>
      </c>
      <c r="O218" s="207" t="s">
        <v>43</v>
      </c>
      <c r="P218" s="216" t="s">
        <v>454</v>
      </c>
      <c r="Q218" s="227" t="s">
        <v>582</v>
      </c>
      <c r="R218" s="210" t="s">
        <v>513</v>
      </c>
    </row>
    <row r="219" spans="1:18" ht="30" customHeight="1" x14ac:dyDescent="0.25">
      <c r="A219" s="450" t="s">
        <v>291</v>
      </c>
      <c r="B219" s="431">
        <f>292+572</f>
        <v>864</v>
      </c>
      <c r="C219" s="206" t="s">
        <v>136</v>
      </c>
      <c r="D219" s="235" t="s">
        <v>158</v>
      </c>
      <c r="E219" s="206" t="s">
        <v>170</v>
      </c>
      <c r="F219" s="235" t="s">
        <v>339</v>
      </c>
      <c r="G219" s="241">
        <v>15</v>
      </c>
      <c r="H219" s="643">
        <v>0</v>
      </c>
      <c r="I219" s="323" t="s">
        <v>478</v>
      </c>
      <c r="J219" s="320" t="s">
        <v>158</v>
      </c>
      <c r="K219" s="323" t="s">
        <v>170</v>
      </c>
      <c r="L219" s="320" t="s">
        <v>345</v>
      </c>
      <c r="M219" s="324">
        <v>11.340664</v>
      </c>
      <c r="N219" s="667" t="s">
        <v>91</v>
      </c>
      <c r="O219" s="467" t="s">
        <v>8</v>
      </c>
      <c r="P219" s="547" t="s">
        <v>454</v>
      </c>
      <c r="Q219" s="473" t="s">
        <v>583</v>
      </c>
      <c r="R219" s="525" t="s">
        <v>513</v>
      </c>
    </row>
    <row r="220" spans="1:18" ht="30" x14ac:dyDescent="0.25">
      <c r="A220" s="451"/>
      <c r="B220" s="432"/>
      <c r="C220" s="206" t="s">
        <v>136</v>
      </c>
      <c r="D220" s="235" t="s">
        <v>158</v>
      </c>
      <c r="E220" s="206" t="s">
        <v>170</v>
      </c>
      <c r="F220" s="235" t="s">
        <v>345</v>
      </c>
      <c r="G220" s="241">
        <v>848.6</v>
      </c>
      <c r="H220" s="644"/>
      <c r="I220" s="502" t="s">
        <v>130</v>
      </c>
      <c r="J220" s="428" t="s">
        <v>158</v>
      </c>
      <c r="K220" s="502" t="s">
        <v>170</v>
      </c>
      <c r="L220" s="428" t="s">
        <v>345</v>
      </c>
      <c r="M220" s="434">
        <v>44.768608</v>
      </c>
      <c r="N220" s="668"/>
      <c r="O220" s="468"/>
      <c r="P220" s="547"/>
      <c r="Q220" s="474"/>
      <c r="R220" s="480"/>
    </row>
    <row r="221" spans="1:18" ht="30" x14ac:dyDescent="0.25">
      <c r="A221" s="451"/>
      <c r="B221" s="432"/>
      <c r="C221" s="206" t="s">
        <v>398</v>
      </c>
      <c r="D221" s="235" t="s">
        <v>158</v>
      </c>
      <c r="E221" s="206" t="s">
        <v>170</v>
      </c>
      <c r="F221" s="235" t="s">
        <v>345</v>
      </c>
      <c r="G221" s="166">
        <v>0.395866</v>
      </c>
      <c r="H221" s="644"/>
      <c r="I221" s="504"/>
      <c r="J221" s="430"/>
      <c r="K221" s="504"/>
      <c r="L221" s="430"/>
      <c r="M221" s="436"/>
      <c r="N221" s="669"/>
      <c r="O221" s="469"/>
      <c r="P221" s="547"/>
      <c r="Q221" s="475"/>
      <c r="R221" s="481"/>
    </row>
    <row r="222" spans="1:18" ht="60" x14ac:dyDescent="0.25">
      <c r="A222" s="452"/>
      <c r="B222" s="433"/>
      <c r="C222" s="206" t="s">
        <v>88</v>
      </c>
      <c r="D222" s="235" t="s">
        <v>89</v>
      </c>
      <c r="E222" s="206" t="s">
        <v>90</v>
      </c>
      <c r="F222" s="235" t="s">
        <v>90</v>
      </c>
      <c r="G222" s="166" t="s">
        <v>90</v>
      </c>
      <c r="H222" s="616"/>
      <c r="I222" s="330"/>
      <c r="J222" s="341"/>
      <c r="K222" s="330"/>
      <c r="L222" s="341"/>
      <c r="M222" s="370"/>
      <c r="N222" s="221" t="s">
        <v>426</v>
      </c>
      <c r="O222" s="191" t="s">
        <v>90</v>
      </c>
      <c r="P222" s="216" t="s">
        <v>454</v>
      </c>
      <c r="Q222" s="223" t="s">
        <v>490</v>
      </c>
      <c r="R222" s="209" t="s">
        <v>513</v>
      </c>
    </row>
    <row r="223" spans="1:18" x14ac:dyDescent="0.25">
      <c r="A223" s="229" t="s">
        <v>383</v>
      </c>
      <c r="B223" s="96">
        <v>1</v>
      </c>
      <c r="C223" s="206" t="s">
        <v>398</v>
      </c>
      <c r="D223" s="235" t="s">
        <v>301</v>
      </c>
      <c r="E223" s="206" t="s">
        <v>131</v>
      </c>
      <c r="F223" s="235" t="s">
        <v>90</v>
      </c>
      <c r="G223" s="147">
        <v>0.6</v>
      </c>
      <c r="H223" s="312">
        <v>0</v>
      </c>
      <c r="I223" s="206"/>
      <c r="J223" s="235"/>
      <c r="K223" s="206"/>
      <c r="L223" s="235"/>
      <c r="M223" s="147"/>
      <c r="N223" s="206" t="s">
        <v>91</v>
      </c>
      <c r="O223" s="207" t="s">
        <v>46</v>
      </c>
      <c r="P223" s="206" t="s">
        <v>372</v>
      </c>
      <c r="Q223" s="226"/>
      <c r="R223" s="205"/>
    </row>
    <row r="224" spans="1:18" ht="60" x14ac:dyDescent="0.25">
      <c r="A224" s="558" t="s">
        <v>292</v>
      </c>
      <c r="B224" s="484">
        <v>1023</v>
      </c>
      <c r="C224" s="206" t="s">
        <v>130</v>
      </c>
      <c r="D224" s="235" t="s">
        <v>158</v>
      </c>
      <c r="E224" s="206" t="s">
        <v>170</v>
      </c>
      <c r="F224" s="235" t="s">
        <v>342</v>
      </c>
      <c r="G224" s="241">
        <v>728</v>
      </c>
      <c r="H224" s="628">
        <v>3</v>
      </c>
      <c r="I224" s="434"/>
      <c r="J224" s="434"/>
      <c r="K224" s="434"/>
      <c r="L224" s="434"/>
      <c r="M224" s="434"/>
      <c r="N224" s="552" t="s">
        <v>91</v>
      </c>
      <c r="O224" s="546" t="s">
        <v>8</v>
      </c>
      <c r="P224" s="547" t="s">
        <v>454</v>
      </c>
      <c r="Q224" s="531" t="s">
        <v>584</v>
      </c>
      <c r="R224" s="483" t="s">
        <v>513</v>
      </c>
    </row>
    <row r="225" spans="1:18" ht="60" x14ac:dyDescent="0.25">
      <c r="A225" s="558"/>
      <c r="B225" s="432"/>
      <c r="C225" s="206" t="s">
        <v>136</v>
      </c>
      <c r="D225" s="235" t="s">
        <v>158</v>
      </c>
      <c r="E225" s="206" t="s">
        <v>170</v>
      </c>
      <c r="F225" s="235" t="s">
        <v>342</v>
      </c>
      <c r="G225" s="241">
        <v>-269.19883299999998</v>
      </c>
      <c r="H225" s="615"/>
      <c r="I225" s="436"/>
      <c r="J225" s="436"/>
      <c r="K225" s="436"/>
      <c r="L225" s="436"/>
      <c r="M225" s="436"/>
      <c r="N225" s="552"/>
      <c r="O225" s="546"/>
      <c r="P225" s="547"/>
      <c r="Q225" s="531"/>
      <c r="R225" s="483"/>
    </row>
    <row r="226" spans="1:18" ht="66.75" customHeight="1" x14ac:dyDescent="0.25">
      <c r="A226" s="558"/>
      <c r="B226" s="432"/>
      <c r="C226" s="206" t="s">
        <v>136</v>
      </c>
      <c r="D226" s="235" t="s">
        <v>118</v>
      </c>
      <c r="E226" s="206" t="s">
        <v>170</v>
      </c>
      <c r="F226" s="235" t="s">
        <v>342</v>
      </c>
      <c r="G226" s="241">
        <v>5</v>
      </c>
      <c r="H226" s="615"/>
      <c r="I226" s="434"/>
      <c r="J226" s="434"/>
      <c r="K226" s="434"/>
      <c r="L226" s="434"/>
      <c r="M226" s="434"/>
      <c r="N226" s="437" t="s">
        <v>91</v>
      </c>
      <c r="O226" s="467" t="s">
        <v>15</v>
      </c>
      <c r="P226" s="470" t="s">
        <v>454</v>
      </c>
      <c r="Q226" s="473" t="s">
        <v>585</v>
      </c>
      <c r="R226" s="455" t="s">
        <v>513</v>
      </c>
    </row>
    <row r="227" spans="1:18" ht="30" x14ac:dyDescent="0.25">
      <c r="A227" s="558"/>
      <c r="B227" s="432"/>
      <c r="C227" s="206" t="s">
        <v>136</v>
      </c>
      <c r="D227" s="235" t="s">
        <v>118</v>
      </c>
      <c r="E227" s="206" t="s">
        <v>131</v>
      </c>
      <c r="F227" s="235" t="s">
        <v>90</v>
      </c>
      <c r="G227" s="241">
        <v>4.2</v>
      </c>
      <c r="H227" s="615"/>
      <c r="I227" s="435"/>
      <c r="J227" s="435"/>
      <c r="K227" s="435"/>
      <c r="L227" s="435"/>
      <c r="M227" s="435"/>
      <c r="N227" s="446"/>
      <c r="O227" s="468"/>
      <c r="P227" s="471"/>
      <c r="Q227" s="474"/>
      <c r="R227" s="456"/>
    </row>
    <row r="228" spans="1:18" ht="60" x14ac:dyDescent="0.25">
      <c r="A228" s="558"/>
      <c r="B228" s="432"/>
      <c r="C228" s="206" t="s">
        <v>398</v>
      </c>
      <c r="D228" s="235" t="s">
        <v>118</v>
      </c>
      <c r="E228" s="206" t="s">
        <v>170</v>
      </c>
      <c r="F228" s="235" t="s">
        <v>342</v>
      </c>
      <c r="G228" s="241">
        <v>-3.2822070000000001</v>
      </c>
      <c r="H228" s="615"/>
      <c r="I228" s="435"/>
      <c r="J228" s="435"/>
      <c r="K228" s="435"/>
      <c r="L228" s="435"/>
      <c r="M228" s="435"/>
      <c r="N228" s="446"/>
      <c r="O228" s="468"/>
      <c r="P228" s="471"/>
      <c r="Q228" s="474"/>
      <c r="R228" s="456"/>
    </row>
    <row r="229" spans="1:18" ht="30" x14ac:dyDescent="0.25">
      <c r="A229" s="558"/>
      <c r="B229" s="432"/>
      <c r="C229" s="206" t="s">
        <v>398</v>
      </c>
      <c r="D229" s="235" t="s">
        <v>118</v>
      </c>
      <c r="E229" s="206" t="s">
        <v>131</v>
      </c>
      <c r="F229" s="235" t="s">
        <v>90</v>
      </c>
      <c r="G229" s="241">
        <v>3.2822070000000001</v>
      </c>
      <c r="H229" s="615"/>
      <c r="I229" s="436"/>
      <c r="J229" s="436"/>
      <c r="K229" s="436"/>
      <c r="L229" s="436"/>
      <c r="M229" s="436"/>
      <c r="N229" s="438"/>
      <c r="O229" s="469"/>
      <c r="P229" s="472"/>
      <c r="Q229" s="475"/>
      <c r="R229" s="457"/>
    </row>
    <row r="230" spans="1:18" ht="30" x14ac:dyDescent="0.25">
      <c r="A230" s="558"/>
      <c r="B230" s="432"/>
      <c r="C230" s="206" t="s">
        <v>136</v>
      </c>
      <c r="D230" s="235" t="s">
        <v>124</v>
      </c>
      <c r="E230" s="206" t="s">
        <v>131</v>
      </c>
      <c r="F230" s="235" t="s">
        <v>90</v>
      </c>
      <c r="G230" s="241">
        <v>1.5</v>
      </c>
      <c r="H230" s="615"/>
      <c r="I230" s="434" t="s">
        <v>130</v>
      </c>
      <c r="J230" s="584" t="s">
        <v>124</v>
      </c>
      <c r="K230" s="434" t="s">
        <v>131</v>
      </c>
      <c r="L230" s="434" t="s">
        <v>90</v>
      </c>
      <c r="M230" s="434">
        <v>2</v>
      </c>
      <c r="N230" s="437" t="s">
        <v>91</v>
      </c>
      <c r="O230" s="467" t="s">
        <v>33</v>
      </c>
      <c r="P230" s="470" t="s">
        <v>454</v>
      </c>
      <c r="Q230" s="476" t="s">
        <v>586</v>
      </c>
      <c r="R230" s="525" t="s">
        <v>513</v>
      </c>
    </row>
    <row r="231" spans="1:18" ht="60" x14ac:dyDescent="0.25">
      <c r="A231" s="558"/>
      <c r="B231" s="432"/>
      <c r="C231" s="206" t="s">
        <v>136</v>
      </c>
      <c r="D231" s="235" t="s">
        <v>124</v>
      </c>
      <c r="E231" s="206" t="s">
        <v>170</v>
      </c>
      <c r="F231" s="235" t="s">
        <v>342</v>
      </c>
      <c r="G231" s="241">
        <v>2.5</v>
      </c>
      <c r="H231" s="615"/>
      <c r="I231" s="435"/>
      <c r="J231" s="591"/>
      <c r="K231" s="435"/>
      <c r="L231" s="435"/>
      <c r="M231" s="435"/>
      <c r="N231" s="446"/>
      <c r="O231" s="468"/>
      <c r="P231" s="471"/>
      <c r="Q231" s="477"/>
      <c r="R231" s="480"/>
    </row>
    <row r="232" spans="1:18" ht="60" x14ac:dyDescent="0.25">
      <c r="A232" s="558"/>
      <c r="B232" s="432"/>
      <c r="C232" s="206" t="s">
        <v>398</v>
      </c>
      <c r="D232" s="235" t="s">
        <v>124</v>
      </c>
      <c r="E232" s="206" t="s">
        <v>170</v>
      </c>
      <c r="F232" s="235" t="s">
        <v>342</v>
      </c>
      <c r="G232" s="241">
        <v>-1.3882749999999999</v>
      </c>
      <c r="H232" s="615"/>
      <c r="I232" s="435"/>
      <c r="J232" s="591"/>
      <c r="K232" s="435"/>
      <c r="L232" s="435"/>
      <c r="M232" s="435"/>
      <c r="N232" s="446"/>
      <c r="O232" s="468"/>
      <c r="P232" s="471"/>
      <c r="Q232" s="477"/>
      <c r="R232" s="480"/>
    </row>
    <row r="233" spans="1:18" ht="30" x14ac:dyDescent="0.25">
      <c r="A233" s="558"/>
      <c r="B233" s="432"/>
      <c r="C233" s="206" t="s">
        <v>398</v>
      </c>
      <c r="D233" s="235" t="s">
        <v>124</v>
      </c>
      <c r="E233" s="206" t="s">
        <v>131</v>
      </c>
      <c r="F233" s="235" t="s">
        <v>90</v>
      </c>
      <c r="G233" s="241">
        <v>1.3882749999999999</v>
      </c>
      <c r="H233" s="615"/>
      <c r="I233" s="436"/>
      <c r="J233" s="585"/>
      <c r="K233" s="436"/>
      <c r="L233" s="436"/>
      <c r="M233" s="436"/>
      <c r="N233" s="438"/>
      <c r="O233" s="469"/>
      <c r="P233" s="472"/>
      <c r="Q233" s="478"/>
      <c r="R233" s="481"/>
    </row>
    <row r="234" spans="1:18" ht="60" x14ac:dyDescent="0.25">
      <c r="A234" s="558"/>
      <c r="B234" s="432"/>
      <c r="C234" s="206" t="s">
        <v>136</v>
      </c>
      <c r="D234" s="235" t="s">
        <v>169</v>
      </c>
      <c r="E234" s="206" t="s">
        <v>170</v>
      </c>
      <c r="F234" s="235" t="s">
        <v>342</v>
      </c>
      <c r="G234" s="241">
        <v>87.5</v>
      </c>
      <c r="H234" s="615"/>
      <c r="I234" s="206"/>
      <c r="J234" s="235"/>
      <c r="K234" s="206"/>
      <c r="L234" s="235"/>
      <c r="M234" s="241"/>
      <c r="N234" s="206" t="s">
        <v>91</v>
      </c>
      <c r="O234" s="207" t="s">
        <v>0</v>
      </c>
      <c r="P234" s="216" t="s">
        <v>454</v>
      </c>
      <c r="Q234" s="226" t="s">
        <v>456</v>
      </c>
      <c r="R234" s="205" t="s">
        <v>513</v>
      </c>
    </row>
    <row r="235" spans="1:18" ht="60" x14ac:dyDescent="0.25">
      <c r="A235" s="558"/>
      <c r="B235" s="432"/>
      <c r="C235" s="206" t="s">
        <v>136</v>
      </c>
      <c r="D235" s="235" t="s">
        <v>263</v>
      </c>
      <c r="E235" s="206" t="s">
        <v>170</v>
      </c>
      <c r="F235" s="235" t="s">
        <v>342</v>
      </c>
      <c r="G235" s="241">
        <v>15</v>
      </c>
      <c r="H235" s="615"/>
      <c r="I235" s="206"/>
      <c r="J235" s="235"/>
      <c r="K235" s="206"/>
      <c r="L235" s="235"/>
      <c r="M235" s="241"/>
      <c r="N235" s="206" t="s">
        <v>91</v>
      </c>
      <c r="O235" s="207" t="s">
        <v>25</v>
      </c>
      <c r="P235" s="216" t="s">
        <v>454</v>
      </c>
      <c r="Q235" s="227" t="s">
        <v>468</v>
      </c>
      <c r="R235" s="205" t="s">
        <v>513</v>
      </c>
    </row>
    <row r="236" spans="1:18" ht="60" x14ac:dyDescent="0.25">
      <c r="A236" s="558"/>
      <c r="B236" s="432"/>
      <c r="C236" s="206" t="s">
        <v>136</v>
      </c>
      <c r="D236" s="235" t="s">
        <v>133</v>
      </c>
      <c r="E236" s="206" t="s">
        <v>170</v>
      </c>
      <c r="F236" s="235" t="s">
        <v>342</v>
      </c>
      <c r="G236" s="241">
        <v>90.021000000000001</v>
      </c>
      <c r="H236" s="615"/>
      <c r="I236" s="434"/>
      <c r="J236" s="434"/>
      <c r="K236" s="434"/>
      <c r="L236" s="434"/>
      <c r="M236" s="434"/>
      <c r="N236" s="552" t="s">
        <v>91</v>
      </c>
      <c r="O236" s="546" t="s">
        <v>9</v>
      </c>
      <c r="P236" s="547" t="s">
        <v>454</v>
      </c>
      <c r="Q236" s="531" t="s">
        <v>587</v>
      </c>
      <c r="R236" s="483" t="s">
        <v>513</v>
      </c>
    </row>
    <row r="237" spans="1:18" ht="30" x14ac:dyDescent="0.25">
      <c r="A237" s="558"/>
      <c r="B237" s="432"/>
      <c r="C237" s="206" t="s">
        <v>136</v>
      </c>
      <c r="D237" s="235" t="s">
        <v>133</v>
      </c>
      <c r="E237" s="206" t="s">
        <v>131</v>
      </c>
      <c r="F237" s="235" t="s">
        <v>90</v>
      </c>
      <c r="G237" s="241">
        <v>15.879</v>
      </c>
      <c r="H237" s="615"/>
      <c r="I237" s="436"/>
      <c r="J237" s="436"/>
      <c r="K237" s="436"/>
      <c r="L237" s="436"/>
      <c r="M237" s="436"/>
      <c r="N237" s="552"/>
      <c r="O237" s="546"/>
      <c r="P237" s="547"/>
      <c r="Q237" s="531"/>
      <c r="R237" s="483"/>
    </row>
    <row r="238" spans="1:18" ht="58.5" customHeight="1" x14ac:dyDescent="0.25">
      <c r="A238" s="558"/>
      <c r="B238" s="432"/>
      <c r="C238" s="206" t="s">
        <v>136</v>
      </c>
      <c r="D238" s="235" t="s">
        <v>152</v>
      </c>
      <c r="E238" s="206" t="s">
        <v>170</v>
      </c>
      <c r="F238" s="235" t="s">
        <v>342</v>
      </c>
      <c r="G238" s="241">
        <v>26.923988000000001</v>
      </c>
      <c r="H238" s="615"/>
      <c r="I238" s="434"/>
      <c r="J238" s="434"/>
      <c r="K238" s="434"/>
      <c r="L238" s="434"/>
      <c r="M238" s="434"/>
      <c r="N238" s="437" t="s">
        <v>91</v>
      </c>
      <c r="O238" s="467" t="s">
        <v>28</v>
      </c>
      <c r="P238" s="470" t="s">
        <v>454</v>
      </c>
      <c r="Q238" s="473" t="s">
        <v>588</v>
      </c>
      <c r="R238" s="525" t="s">
        <v>513</v>
      </c>
    </row>
    <row r="239" spans="1:18" x14ac:dyDescent="0.25">
      <c r="A239" s="558"/>
      <c r="B239" s="432"/>
      <c r="C239" s="206" t="s">
        <v>136</v>
      </c>
      <c r="D239" s="235" t="s">
        <v>152</v>
      </c>
      <c r="E239" s="206" t="s">
        <v>131</v>
      </c>
      <c r="F239" s="235" t="s">
        <v>90</v>
      </c>
      <c r="G239" s="241">
        <v>19.776012000000001</v>
      </c>
      <c r="H239" s="615"/>
      <c r="I239" s="435"/>
      <c r="J239" s="435"/>
      <c r="K239" s="435"/>
      <c r="L239" s="435"/>
      <c r="M239" s="435"/>
      <c r="N239" s="446"/>
      <c r="O239" s="468"/>
      <c r="P239" s="471"/>
      <c r="Q239" s="474"/>
      <c r="R239" s="480"/>
    </row>
    <row r="240" spans="1:18" ht="60" x14ac:dyDescent="0.25">
      <c r="A240" s="558"/>
      <c r="B240" s="432"/>
      <c r="C240" s="206" t="s">
        <v>398</v>
      </c>
      <c r="D240" s="235" t="s">
        <v>152</v>
      </c>
      <c r="E240" s="206" t="s">
        <v>170</v>
      </c>
      <c r="F240" s="235" t="s">
        <v>342</v>
      </c>
      <c r="G240" s="241">
        <v>-9.4615969999999994</v>
      </c>
      <c r="H240" s="615"/>
      <c r="I240" s="435"/>
      <c r="J240" s="435"/>
      <c r="K240" s="435"/>
      <c r="L240" s="435"/>
      <c r="M240" s="435"/>
      <c r="N240" s="446"/>
      <c r="O240" s="468"/>
      <c r="P240" s="471"/>
      <c r="Q240" s="474"/>
      <c r="R240" s="480"/>
    </row>
    <row r="241" spans="1:18" x14ac:dyDescent="0.25">
      <c r="A241" s="558"/>
      <c r="B241" s="432"/>
      <c r="C241" s="206" t="s">
        <v>398</v>
      </c>
      <c r="D241" s="235" t="s">
        <v>152</v>
      </c>
      <c r="E241" s="206" t="s">
        <v>131</v>
      </c>
      <c r="F241" s="235" t="s">
        <v>90</v>
      </c>
      <c r="G241" s="241">
        <f>0.2+9.261597</f>
        <v>9.4615969999999994</v>
      </c>
      <c r="H241" s="615"/>
      <c r="I241" s="436"/>
      <c r="J241" s="436"/>
      <c r="K241" s="436"/>
      <c r="L241" s="436"/>
      <c r="M241" s="436"/>
      <c r="N241" s="438"/>
      <c r="O241" s="469"/>
      <c r="P241" s="472"/>
      <c r="Q241" s="475"/>
      <c r="R241" s="481"/>
    </row>
    <row r="242" spans="1:18" ht="60" customHeight="1" x14ac:dyDescent="0.25">
      <c r="A242" s="558"/>
      <c r="B242" s="432"/>
      <c r="C242" s="206" t="s">
        <v>136</v>
      </c>
      <c r="D242" s="235" t="s">
        <v>276</v>
      </c>
      <c r="E242" s="206" t="s">
        <v>170</v>
      </c>
      <c r="F242" s="235" t="s">
        <v>342</v>
      </c>
      <c r="G242" s="241">
        <v>14.522803</v>
      </c>
      <c r="H242" s="615"/>
      <c r="I242" s="434"/>
      <c r="J242" s="434"/>
      <c r="K242" s="434"/>
      <c r="L242" s="434"/>
      <c r="M242" s="434"/>
      <c r="N242" s="552" t="s">
        <v>91</v>
      </c>
      <c r="O242" s="546" t="s">
        <v>44</v>
      </c>
      <c r="P242" s="547" t="s">
        <v>454</v>
      </c>
      <c r="Q242" s="538" t="s">
        <v>589</v>
      </c>
      <c r="R242" s="483" t="s">
        <v>513</v>
      </c>
    </row>
    <row r="243" spans="1:18" x14ac:dyDescent="0.25">
      <c r="A243" s="558"/>
      <c r="B243" s="432"/>
      <c r="C243" s="206" t="s">
        <v>136</v>
      </c>
      <c r="D243" s="235" t="s">
        <v>276</v>
      </c>
      <c r="E243" s="206" t="s">
        <v>131</v>
      </c>
      <c r="F243" s="235" t="s">
        <v>90</v>
      </c>
      <c r="G243" s="241">
        <f>0.726319+0.444197</f>
        <v>1.1705160000000001</v>
      </c>
      <c r="H243" s="615"/>
      <c r="I243" s="436"/>
      <c r="J243" s="436"/>
      <c r="K243" s="436"/>
      <c r="L243" s="436"/>
      <c r="M243" s="436"/>
      <c r="N243" s="552"/>
      <c r="O243" s="546"/>
      <c r="P243" s="547"/>
      <c r="Q243" s="538"/>
      <c r="R243" s="483"/>
    </row>
    <row r="244" spans="1:18" ht="64.5" customHeight="1" x14ac:dyDescent="0.25">
      <c r="A244" s="558"/>
      <c r="B244" s="432"/>
      <c r="C244" s="206" t="s">
        <v>136</v>
      </c>
      <c r="D244" s="235" t="s">
        <v>293</v>
      </c>
      <c r="E244" s="206" t="s">
        <v>170</v>
      </c>
      <c r="F244" s="235" t="s">
        <v>342</v>
      </c>
      <c r="G244" s="241">
        <v>11.338509999999999</v>
      </c>
      <c r="H244" s="615"/>
      <c r="I244" s="434"/>
      <c r="J244" s="434"/>
      <c r="K244" s="434"/>
      <c r="L244" s="434"/>
      <c r="M244" s="434"/>
      <c r="N244" s="552" t="s">
        <v>91</v>
      </c>
      <c r="O244" s="546" t="s">
        <v>45</v>
      </c>
      <c r="P244" s="547" t="s">
        <v>454</v>
      </c>
      <c r="Q244" s="538" t="s">
        <v>445</v>
      </c>
      <c r="R244" s="483" t="s">
        <v>513</v>
      </c>
    </row>
    <row r="245" spans="1:18" x14ac:dyDescent="0.25">
      <c r="A245" s="558"/>
      <c r="B245" s="432"/>
      <c r="C245" s="206" t="s">
        <v>136</v>
      </c>
      <c r="D245" s="235" t="s">
        <v>293</v>
      </c>
      <c r="E245" s="206" t="s">
        <v>131</v>
      </c>
      <c r="F245" s="235" t="s">
        <v>90</v>
      </c>
      <c r="G245" s="166">
        <v>5.0575000000000002E-2</v>
      </c>
      <c r="H245" s="615"/>
      <c r="I245" s="436"/>
      <c r="J245" s="436"/>
      <c r="K245" s="436"/>
      <c r="L245" s="436"/>
      <c r="M245" s="436"/>
      <c r="N245" s="552"/>
      <c r="O245" s="546"/>
      <c r="P245" s="547"/>
      <c r="Q245" s="538"/>
      <c r="R245" s="483"/>
    </row>
    <row r="246" spans="1:18" ht="60" x14ac:dyDescent="0.25">
      <c r="A246" s="558"/>
      <c r="B246" s="432"/>
      <c r="C246" s="206" t="s">
        <v>136</v>
      </c>
      <c r="D246" s="235" t="s">
        <v>154</v>
      </c>
      <c r="E246" s="206" t="s">
        <v>170</v>
      </c>
      <c r="F246" s="235" t="s">
        <v>342</v>
      </c>
      <c r="G246" s="241">
        <v>9</v>
      </c>
      <c r="H246" s="615"/>
      <c r="I246" s="212" t="s">
        <v>478</v>
      </c>
      <c r="J246" s="235" t="s">
        <v>154</v>
      </c>
      <c r="K246" s="212" t="s">
        <v>170</v>
      </c>
      <c r="L246" s="235"/>
      <c r="M246" s="241">
        <v>0.53149500000000005</v>
      </c>
      <c r="N246" s="552" t="s">
        <v>91</v>
      </c>
      <c r="O246" s="546" t="s">
        <v>13</v>
      </c>
      <c r="P246" s="547" t="s">
        <v>454</v>
      </c>
      <c r="Q246" s="531" t="s">
        <v>590</v>
      </c>
      <c r="R246" s="483" t="s">
        <v>513</v>
      </c>
    </row>
    <row r="247" spans="1:18" ht="30" x14ac:dyDescent="0.25">
      <c r="A247" s="558"/>
      <c r="B247" s="432"/>
      <c r="C247" s="206" t="s">
        <v>136</v>
      </c>
      <c r="D247" s="235" t="s">
        <v>154</v>
      </c>
      <c r="E247" s="206" t="s">
        <v>131</v>
      </c>
      <c r="F247" s="235" t="s">
        <v>90</v>
      </c>
      <c r="G247" s="241">
        <v>6</v>
      </c>
      <c r="H247" s="615"/>
      <c r="I247" s="212" t="s">
        <v>478</v>
      </c>
      <c r="J247" s="235" t="s">
        <v>154</v>
      </c>
      <c r="K247" s="212" t="s">
        <v>131</v>
      </c>
      <c r="L247" s="235" t="s">
        <v>90</v>
      </c>
      <c r="M247" s="241">
        <v>2.3897650000000001</v>
      </c>
      <c r="N247" s="552"/>
      <c r="O247" s="546"/>
      <c r="P247" s="547"/>
      <c r="Q247" s="531"/>
      <c r="R247" s="483"/>
    </row>
    <row r="248" spans="1:18" ht="60" x14ac:dyDescent="0.25">
      <c r="A248" s="558"/>
      <c r="B248" s="432"/>
      <c r="C248" s="206" t="s">
        <v>136</v>
      </c>
      <c r="D248" s="235" t="s">
        <v>139</v>
      </c>
      <c r="E248" s="206" t="s">
        <v>170</v>
      </c>
      <c r="F248" s="235" t="s">
        <v>342</v>
      </c>
      <c r="G248" s="241">
        <v>153.4</v>
      </c>
      <c r="H248" s="615"/>
      <c r="I248" s="206"/>
      <c r="J248" s="235"/>
      <c r="K248" s="206"/>
      <c r="L248" s="235"/>
      <c r="M248" s="241"/>
      <c r="N248" s="206" t="s">
        <v>91</v>
      </c>
      <c r="O248" s="207" t="s">
        <v>42</v>
      </c>
      <c r="P248" s="216" t="s">
        <v>454</v>
      </c>
      <c r="Q248" s="226" t="s">
        <v>498</v>
      </c>
      <c r="R248" s="205" t="s">
        <v>513</v>
      </c>
    </row>
    <row r="249" spans="1:18" ht="60" x14ac:dyDescent="0.25">
      <c r="A249" s="558"/>
      <c r="B249" s="432"/>
      <c r="C249" s="206" t="s">
        <v>136</v>
      </c>
      <c r="D249" s="235" t="s">
        <v>146</v>
      </c>
      <c r="E249" s="206" t="s">
        <v>170</v>
      </c>
      <c r="F249" s="235" t="s">
        <v>342</v>
      </c>
      <c r="G249" s="168">
        <v>1.6E-2</v>
      </c>
      <c r="H249" s="615"/>
      <c r="I249" s="206"/>
      <c r="J249" s="235"/>
      <c r="K249" s="206"/>
      <c r="L249" s="235"/>
      <c r="M249" s="168"/>
      <c r="N249" s="206" t="s">
        <v>91</v>
      </c>
      <c r="O249" s="207" t="s">
        <v>16</v>
      </c>
      <c r="P249" s="235" t="s">
        <v>92</v>
      </c>
      <c r="Q249" s="226" t="s">
        <v>367</v>
      </c>
      <c r="R249" s="205" t="s">
        <v>513</v>
      </c>
    </row>
    <row r="250" spans="1:18" ht="60" x14ac:dyDescent="0.25">
      <c r="A250" s="558"/>
      <c r="B250" s="433"/>
      <c r="C250" s="206" t="s">
        <v>136</v>
      </c>
      <c r="D250" s="235" t="s">
        <v>282</v>
      </c>
      <c r="E250" s="206" t="s">
        <v>170</v>
      </c>
      <c r="F250" s="235" t="s">
        <v>342</v>
      </c>
      <c r="G250" s="241">
        <v>50.7</v>
      </c>
      <c r="H250" s="616"/>
      <c r="I250" s="206"/>
      <c r="J250" s="235"/>
      <c r="K250" s="206"/>
      <c r="L250" s="235"/>
      <c r="M250" s="241"/>
      <c r="N250" s="206" t="s">
        <v>91</v>
      </c>
      <c r="O250" s="207" t="s">
        <v>42</v>
      </c>
      <c r="P250" s="216" t="s">
        <v>454</v>
      </c>
      <c r="Q250" s="226" t="s">
        <v>452</v>
      </c>
      <c r="R250" s="205" t="s">
        <v>513</v>
      </c>
    </row>
    <row r="251" spans="1:18" ht="60" x14ac:dyDescent="0.25">
      <c r="A251" s="229" t="s">
        <v>356</v>
      </c>
      <c r="B251" s="96">
        <v>369</v>
      </c>
      <c r="C251" s="206" t="s">
        <v>88</v>
      </c>
      <c r="D251" s="235" t="s">
        <v>158</v>
      </c>
      <c r="E251" s="206" t="s">
        <v>90</v>
      </c>
      <c r="F251" s="235" t="s">
        <v>341</v>
      </c>
      <c r="G251" s="241" t="s">
        <v>90</v>
      </c>
      <c r="H251" s="312">
        <v>23</v>
      </c>
      <c r="I251" s="212" t="s">
        <v>478</v>
      </c>
      <c r="J251" s="235" t="s">
        <v>158</v>
      </c>
      <c r="K251" s="212" t="s">
        <v>170</v>
      </c>
      <c r="L251" s="215" t="s">
        <v>505</v>
      </c>
      <c r="M251" s="189">
        <v>7.1812000000000001E-2</v>
      </c>
      <c r="N251" s="206" t="s">
        <v>91</v>
      </c>
      <c r="O251" s="207" t="s">
        <v>8</v>
      </c>
      <c r="P251" s="216" t="s">
        <v>454</v>
      </c>
      <c r="Q251" s="226" t="s">
        <v>591</v>
      </c>
      <c r="R251" s="205" t="s">
        <v>513</v>
      </c>
    </row>
    <row r="252" spans="1:18" ht="60" x14ac:dyDescent="0.25">
      <c r="A252" s="229" t="s">
        <v>294</v>
      </c>
      <c r="B252" s="101">
        <v>1019</v>
      </c>
      <c r="C252" s="206" t="s">
        <v>88</v>
      </c>
      <c r="D252" s="235" t="s">
        <v>158</v>
      </c>
      <c r="E252" s="206" t="s">
        <v>90</v>
      </c>
      <c r="F252" s="235" t="s">
        <v>341</v>
      </c>
      <c r="G252" s="241" t="s">
        <v>90</v>
      </c>
      <c r="H252" s="311">
        <v>779</v>
      </c>
      <c r="I252" s="212" t="s">
        <v>478</v>
      </c>
      <c r="J252" s="235" t="s">
        <v>158</v>
      </c>
      <c r="K252" s="212" t="s">
        <v>170</v>
      </c>
      <c r="L252" s="215" t="s">
        <v>505</v>
      </c>
      <c r="M252" s="241">
        <v>645.76074000000006</v>
      </c>
      <c r="N252" s="206" t="s">
        <v>91</v>
      </c>
      <c r="O252" s="207" t="s">
        <v>8</v>
      </c>
      <c r="P252" s="216" t="s">
        <v>454</v>
      </c>
      <c r="Q252" s="184" t="s">
        <v>592</v>
      </c>
      <c r="R252" s="205" t="s">
        <v>513</v>
      </c>
    </row>
    <row r="253" spans="1:18" ht="30" x14ac:dyDescent="0.25">
      <c r="A253" s="558" t="s">
        <v>295</v>
      </c>
      <c r="B253" s="431">
        <v>900</v>
      </c>
      <c r="C253" s="206" t="s">
        <v>130</v>
      </c>
      <c r="D253" s="235" t="s">
        <v>158</v>
      </c>
      <c r="E253" s="206" t="s">
        <v>170</v>
      </c>
      <c r="F253" s="235" t="s">
        <v>341</v>
      </c>
      <c r="G253" s="151">
        <v>912</v>
      </c>
      <c r="H253" s="614">
        <v>0</v>
      </c>
      <c r="I253" s="645"/>
      <c r="J253" s="645"/>
      <c r="K253" s="645"/>
      <c r="L253" s="645"/>
      <c r="M253" s="645"/>
      <c r="N253" s="437" t="s">
        <v>132</v>
      </c>
      <c r="O253" s="437"/>
      <c r="P253" s="431"/>
      <c r="Q253" s="467"/>
      <c r="R253" s="525"/>
    </row>
    <row r="254" spans="1:18" ht="30" x14ac:dyDescent="0.25">
      <c r="A254" s="558"/>
      <c r="B254" s="433"/>
      <c r="C254" s="206" t="s">
        <v>136</v>
      </c>
      <c r="D254" s="235" t="s">
        <v>158</v>
      </c>
      <c r="E254" s="206" t="s">
        <v>170</v>
      </c>
      <c r="F254" s="235" t="s">
        <v>341</v>
      </c>
      <c r="G254" s="241">
        <v>-912</v>
      </c>
      <c r="H254" s="616"/>
      <c r="I254" s="646"/>
      <c r="J254" s="646"/>
      <c r="K254" s="646"/>
      <c r="L254" s="646"/>
      <c r="M254" s="646"/>
      <c r="N254" s="438"/>
      <c r="O254" s="438"/>
      <c r="P254" s="433"/>
      <c r="Q254" s="469"/>
      <c r="R254" s="481"/>
    </row>
    <row r="255" spans="1:18" ht="30" x14ac:dyDescent="0.25">
      <c r="A255" s="558" t="s">
        <v>296</v>
      </c>
      <c r="B255" s="431">
        <v>270</v>
      </c>
      <c r="C255" s="206" t="s">
        <v>130</v>
      </c>
      <c r="D255" s="235" t="s">
        <v>133</v>
      </c>
      <c r="E255" s="206" t="s">
        <v>170</v>
      </c>
      <c r="F255" s="235" t="s">
        <v>341</v>
      </c>
      <c r="G255" s="241">
        <v>269.98689999999999</v>
      </c>
      <c r="H255" s="614">
        <v>0</v>
      </c>
      <c r="I255" s="434"/>
      <c r="J255" s="434"/>
      <c r="K255" s="434"/>
      <c r="L255" s="434"/>
      <c r="M255" s="434"/>
      <c r="N255" s="552" t="s">
        <v>91</v>
      </c>
      <c r="O255" s="546" t="s">
        <v>9</v>
      </c>
      <c r="P255" s="547" t="s">
        <v>454</v>
      </c>
      <c r="Q255" s="531" t="s">
        <v>494</v>
      </c>
      <c r="R255" s="482" t="s">
        <v>513</v>
      </c>
    </row>
    <row r="256" spans="1:18" ht="35.25" customHeight="1" x14ac:dyDescent="0.25">
      <c r="A256" s="558"/>
      <c r="B256" s="432"/>
      <c r="C256" s="206" t="s">
        <v>136</v>
      </c>
      <c r="D256" s="235" t="s">
        <v>133</v>
      </c>
      <c r="E256" s="206" t="s">
        <v>170</v>
      </c>
      <c r="F256" s="235" t="s">
        <v>341</v>
      </c>
      <c r="G256" s="241">
        <v>-7.2362219999999997</v>
      </c>
      <c r="H256" s="615"/>
      <c r="I256" s="435"/>
      <c r="J256" s="435"/>
      <c r="K256" s="435"/>
      <c r="L256" s="435"/>
      <c r="M256" s="435"/>
      <c r="N256" s="552"/>
      <c r="O256" s="546"/>
      <c r="P256" s="547"/>
      <c r="Q256" s="531"/>
      <c r="R256" s="483"/>
    </row>
    <row r="257" spans="1:18" ht="35.25" customHeight="1" x14ac:dyDescent="0.25">
      <c r="A257" s="558"/>
      <c r="B257" s="432"/>
      <c r="C257" s="206" t="s">
        <v>136</v>
      </c>
      <c r="D257" s="235" t="s">
        <v>133</v>
      </c>
      <c r="E257" s="206" t="s">
        <v>131</v>
      </c>
      <c r="F257" s="235" t="s">
        <v>90</v>
      </c>
      <c r="G257" s="241">
        <v>7.2362219999999997</v>
      </c>
      <c r="H257" s="615"/>
      <c r="I257" s="435"/>
      <c r="J257" s="435"/>
      <c r="K257" s="435"/>
      <c r="L257" s="435"/>
      <c r="M257" s="435"/>
      <c r="N257" s="552"/>
      <c r="O257" s="546"/>
      <c r="P257" s="547"/>
      <c r="Q257" s="531"/>
      <c r="R257" s="483"/>
    </row>
    <row r="258" spans="1:18" ht="35.25" customHeight="1" x14ac:dyDescent="0.25">
      <c r="A258" s="558"/>
      <c r="B258" s="432"/>
      <c r="C258" s="206" t="s">
        <v>398</v>
      </c>
      <c r="D258" s="235" t="s">
        <v>133</v>
      </c>
      <c r="E258" s="206" t="s">
        <v>170</v>
      </c>
      <c r="F258" s="235" t="s">
        <v>341</v>
      </c>
      <c r="G258" s="241">
        <v>-2.5944470000000002</v>
      </c>
      <c r="H258" s="615"/>
      <c r="I258" s="435"/>
      <c r="J258" s="435"/>
      <c r="K258" s="435"/>
      <c r="L258" s="435"/>
      <c r="M258" s="435"/>
      <c r="N258" s="552"/>
      <c r="O258" s="546"/>
      <c r="P258" s="547"/>
      <c r="Q258" s="531"/>
      <c r="R258" s="483"/>
    </row>
    <row r="259" spans="1:18" ht="30" x14ac:dyDescent="0.25">
      <c r="A259" s="558"/>
      <c r="B259" s="433"/>
      <c r="C259" s="220" t="s">
        <v>398</v>
      </c>
      <c r="D259" s="235" t="s">
        <v>133</v>
      </c>
      <c r="E259" s="220" t="s">
        <v>131</v>
      </c>
      <c r="F259" s="232" t="s">
        <v>90</v>
      </c>
      <c r="G259" s="152">
        <f>0.397689+2.104984</f>
        <v>2.5026730000000001</v>
      </c>
      <c r="H259" s="616"/>
      <c r="I259" s="436"/>
      <c r="J259" s="436"/>
      <c r="K259" s="436"/>
      <c r="L259" s="436"/>
      <c r="M259" s="436"/>
      <c r="N259" s="552"/>
      <c r="O259" s="546"/>
      <c r="P259" s="547"/>
      <c r="Q259" s="531"/>
      <c r="R259" s="483"/>
    </row>
    <row r="260" spans="1:18" ht="60" x14ac:dyDescent="0.25">
      <c r="A260" s="558" t="s">
        <v>298</v>
      </c>
      <c r="B260" s="431">
        <v>8</v>
      </c>
      <c r="C260" s="206" t="s">
        <v>130</v>
      </c>
      <c r="D260" s="235" t="s">
        <v>137</v>
      </c>
      <c r="E260" s="206" t="s">
        <v>170</v>
      </c>
      <c r="F260" s="235" t="s">
        <v>342</v>
      </c>
      <c r="G260" s="241">
        <v>7.5</v>
      </c>
      <c r="H260" s="614">
        <v>0</v>
      </c>
      <c r="I260" s="434" t="s">
        <v>130</v>
      </c>
      <c r="J260" s="584" t="s">
        <v>137</v>
      </c>
      <c r="K260" s="434" t="s">
        <v>131</v>
      </c>
      <c r="L260" s="434" t="s">
        <v>90</v>
      </c>
      <c r="M260" s="434">
        <v>3.299229</v>
      </c>
      <c r="N260" s="552" t="s">
        <v>91</v>
      </c>
      <c r="O260" s="546" t="s">
        <v>14</v>
      </c>
      <c r="P260" s="521" t="s">
        <v>92</v>
      </c>
      <c r="Q260" s="531" t="s">
        <v>362</v>
      </c>
      <c r="R260" s="482" t="s">
        <v>663</v>
      </c>
    </row>
    <row r="261" spans="1:18" ht="60" x14ac:dyDescent="0.25">
      <c r="A261" s="558"/>
      <c r="B261" s="432"/>
      <c r="C261" s="206" t="s">
        <v>136</v>
      </c>
      <c r="D261" s="235" t="s">
        <v>137</v>
      </c>
      <c r="E261" s="206" t="s">
        <v>170</v>
      </c>
      <c r="F261" s="235" t="s">
        <v>342</v>
      </c>
      <c r="G261" s="241">
        <v>-3.299229</v>
      </c>
      <c r="H261" s="615"/>
      <c r="I261" s="435"/>
      <c r="J261" s="591"/>
      <c r="K261" s="435"/>
      <c r="L261" s="435"/>
      <c r="M261" s="435"/>
      <c r="N261" s="552"/>
      <c r="O261" s="546"/>
      <c r="P261" s="521"/>
      <c r="Q261" s="531"/>
      <c r="R261" s="483"/>
    </row>
    <row r="262" spans="1:18" ht="30" x14ac:dyDescent="0.25">
      <c r="A262" s="558"/>
      <c r="B262" s="433"/>
      <c r="C262" s="206" t="s">
        <v>136</v>
      </c>
      <c r="D262" s="235" t="s">
        <v>137</v>
      </c>
      <c r="E262" s="206" t="s">
        <v>131</v>
      </c>
      <c r="F262" s="235" t="s">
        <v>90</v>
      </c>
      <c r="G262" s="241">
        <v>3.299229</v>
      </c>
      <c r="H262" s="616"/>
      <c r="I262" s="436"/>
      <c r="J262" s="585"/>
      <c r="K262" s="436"/>
      <c r="L262" s="436"/>
      <c r="M262" s="436"/>
      <c r="N262" s="552"/>
      <c r="O262" s="546"/>
      <c r="P262" s="521"/>
      <c r="Q262" s="531"/>
      <c r="R262" s="483"/>
    </row>
    <row r="263" spans="1:18" ht="60" x14ac:dyDescent="0.25">
      <c r="A263" s="229" t="s">
        <v>297</v>
      </c>
      <c r="B263" s="96">
        <v>20</v>
      </c>
      <c r="C263" s="206" t="s">
        <v>130</v>
      </c>
      <c r="D263" s="235" t="s">
        <v>158</v>
      </c>
      <c r="E263" s="206" t="s">
        <v>170</v>
      </c>
      <c r="F263" s="235" t="s">
        <v>342</v>
      </c>
      <c r="G263" s="241">
        <v>20</v>
      </c>
      <c r="H263" s="312">
        <v>0</v>
      </c>
      <c r="I263" s="206"/>
      <c r="J263" s="235"/>
      <c r="K263" s="206"/>
      <c r="L263" s="235"/>
      <c r="M263" s="241"/>
      <c r="N263" s="206" t="s">
        <v>426</v>
      </c>
      <c r="O263" s="206" t="s">
        <v>90</v>
      </c>
      <c r="P263" s="216" t="s">
        <v>454</v>
      </c>
      <c r="Q263" s="227" t="s">
        <v>442</v>
      </c>
      <c r="R263" s="210" t="s">
        <v>513</v>
      </c>
    </row>
    <row r="264" spans="1:18" ht="30" x14ac:dyDescent="0.25">
      <c r="A264" s="229" t="s">
        <v>299</v>
      </c>
      <c r="B264" s="96">
        <v>365</v>
      </c>
      <c r="C264" s="206" t="s">
        <v>88</v>
      </c>
      <c r="D264" s="235" t="s">
        <v>89</v>
      </c>
      <c r="E264" s="206" t="s">
        <v>90</v>
      </c>
      <c r="F264" s="235" t="s">
        <v>341</v>
      </c>
      <c r="G264" s="241" t="s">
        <v>90</v>
      </c>
      <c r="H264" s="312">
        <v>-30</v>
      </c>
      <c r="I264" s="206"/>
      <c r="J264" s="235"/>
      <c r="K264" s="206"/>
      <c r="L264" s="235"/>
      <c r="M264" s="241"/>
      <c r="N264" s="206" t="s">
        <v>91</v>
      </c>
      <c r="O264" s="207" t="s">
        <v>29</v>
      </c>
      <c r="P264" s="235" t="s">
        <v>92</v>
      </c>
      <c r="Q264" s="226" t="s">
        <v>93</v>
      </c>
      <c r="R264" s="205"/>
    </row>
    <row r="265" spans="1:18" ht="60" x14ac:dyDescent="0.25">
      <c r="A265" s="229" t="s">
        <v>300</v>
      </c>
      <c r="B265" s="96">
        <v>20</v>
      </c>
      <c r="C265" s="206" t="s">
        <v>136</v>
      </c>
      <c r="D265" s="235" t="s">
        <v>301</v>
      </c>
      <c r="E265" s="206" t="s">
        <v>170</v>
      </c>
      <c r="F265" s="235" t="s">
        <v>339</v>
      </c>
      <c r="G265" s="241">
        <v>20</v>
      </c>
      <c r="H265" s="312">
        <v>0</v>
      </c>
      <c r="I265" s="206"/>
      <c r="J265" s="235"/>
      <c r="K265" s="206"/>
      <c r="L265" s="235"/>
      <c r="M265" s="241"/>
      <c r="N265" s="206" t="s">
        <v>91</v>
      </c>
      <c r="O265" s="207" t="s">
        <v>46</v>
      </c>
      <c r="P265" s="216" t="s">
        <v>454</v>
      </c>
      <c r="Q265" s="227" t="s">
        <v>396</v>
      </c>
      <c r="R265" s="240" t="s">
        <v>513</v>
      </c>
    </row>
    <row r="266" spans="1:18" ht="60" x14ac:dyDescent="0.25">
      <c r="A266" s="229" t="s">
        <v>302</v>
      </c>
      <c r="B266" s="231">
        <v>350</v>
      </c>
      <c r="C266" s="206" t="s">
        <v>130</v>
      </c>
      <c r="D266" s="235" t="s">
        <v>158</v>
      </c>
      <c r="E266" s="206" t="s">
        <v>170</v>
      </c>
      <c r="F266" s="235" t="s">
        <v>342</v>
      </c>
      <c r="G266" s="214">
        <v>350</v>
      </c>
      <c r="H266" s="314">
        <v>0</v>
      </c>
      <c r="I266" s="206"/>
      <c r="J266" s="235"/>
      <c r="K266" s="206"/>
      <c r="L266" s="235"/>
      <c r="M266" s="214"/>
      <c r="N266" s="206" t="s">
        <v>426</v>
      </c>
      <c r="O266" s="179" t="s">
        <v>90</v>
      </c>
      <c r="P266" s="216" t="s">
        <v>454</v>
      </c>
      <c r="Q266" s="222" t="s">
        <v>443</v>
      </c>
      <c r="R266" s="240" t="s">
        <v>513</v>
      </c>
    </row>
    <row r="267" spans="1:18" ht="30" x14ac:dyDescent="0.25">
      <c r="A267" s="450" t="s">
        <v>638</v>
      </c>
      <c r="B267" s="431">
        <f>75+100</f>
        <v>175</v>
      </c>
      <c r="C267" s="206" t="s">
        <v>130</v>
      </c>
      <c r="D267" s="235" t="s">
        <v>118</v>
      </c>
      <c r="E267" s="206" t="s">
        <v>170</v>
      </c>
      <c r="F267" s="235" t="s">
        <v>341</v>
      </c>
      <c r="G267" s="241">
        <v>75</v>
      </c>
      <c r="H267" s="614">
        <v>140</v>
      </c>
      <c r="I267" s="618" t="s">
        <v>130</v>
      </c>
      <c r="J267" s="617" t="s">
        <v>118</v>
      </c>
      <c r="K267" s="617" t="s">
        <v>131</v>
      </c>
      <c r="L267" s="617" t="s">
        <v>90</v>
      </c>
      <c r="M267" s="590">
        <v>140</v>
      </c>
      <c r="N267" s="437" t="s">
        <v>91</v>
      </c>
      <c r="O267" s="467" t="s">
        <v>15</v>
      </c>
      <c r="P267" s="470" t="s">
        <v>454</v>
      </c>
      <c r="Q267" s="473" t="s">
        <v>593</v>
      </c>
      <c r="R267" s="455" t="s">
        <v>513</v>
      </c>
    </row>
    <row r="268" spans="1:18" ht="30" x14ac:dyDescent="0.25">
      <c r="A268" s="451"/>
      <c r="B268" s="432"/>
      <c r="C268" s="206" t="s">
        <v>136</v>
      </c>
      <c r="D268" s="235" t="s">
        <v>118</v>
      </c>
      <c r="E268" s="206" t="s">
        <v>131</v>
      </c>
      <c r="F268" s="235" t="s">
        <v>90</v>
      </c>
      <c r="G268" s="241">
        <v>50</v>
      </c>
      <c r="H268" s="615"/>
      <c r="I268" s="620"/>
      <c r="J268" s="617"/>
      <c r="K268" s="617"/>
      <c r="L268" s="617"/>
      <c r="M268" s="590"/>
      <c r="N268" s="446"/>
      <c r="O268" s="468"/>
      <c r="P268" s="471"/>
      <c r="Q268" s="474"/>
      <c r="R268" s="456"/>
    </row>
    <row r="269" spans="1:18" ht="30" x14ac:dyDescent="0.25">
      <c r="A269" s="451"/>
      <c r="B269" s="432"/>
      <c r="C269" s="206" t="s">
        <v>136</v>
      </c>
      <c r="D269" s="235" t="s">
        <v>118</v>
      </c>
      <c r="E269" s="206" t="s">
        <v>170</v>
      </c>
      <c r="F269" s="235" t="s">
        <v>339</v>
      </c>
      <c r="G269" s="241">
        <v>50</v>
      </c>
      <c r="H269" s="615"/>
      <c r="I269" s="617" t="s">
        <v>130</v>
      </c>
      <c r="J269" s="617" t="s">
        <v>118</v>
      </c>
      <c r="K269" s="617" t="s">
        <v>131</v>
      </c>
      <c r="L269" s="517" t="s">
        <v>90</v>
      </c>
      <c r="M269" s="617">
        <v>2.5</v>
      </c>
      <c r="N269" s="446"/>
      <c r="O269" s="468"/>
      <c r="P269" s="471"/>
      <c r="Q269" s="474"/>
      <c r="R269" s="456"/>
    </row>
    <row r="270" spans="1:18" ht="30" x14ac:dyDescent="0.25">
      <c r="A270" s="451"/>
      <c r="B270" s="432"/>
      <c r="C270" s="212" t="s">
        <v>398</v>
      </c>
      <c r="D270" s="235" t="s">
        <v>118</v>
      </c>
      <c r="E270" s="206" t="s">
        <v>131</v>
      </c>
      <c r="F270" s="215" t="s">
        <v>90</v>
      </c>
      <c r="G270" s="241">
        <v>-30</v>
      </c>
      <c r="H270" s="615"/>
      <c r="I270" s="617"/>
      <c r="J270" s="617"/>
      <c r="K270" s="617"/>
      <c r="L270" s="517"/>
      <c r="M270" s="617"/>
      <c r="N270" s="438"/>
      <c r="O270" s="469"/>
      <c r="P270" s="472"/>
      <c r="Q270" s="475"/>
      <c r="R270" s="457"/>
    </row>
    <row r="271" spans="1:18" ht="60" x14ac:dyDescent="0.25">
      <c r="A271" s="452"/>
      <c r="B271" s="433"/>
      <c r="C271" s="212" t="s">
        <v>398</v>
      </c>
      <c r="D271" s="235" t="s">
        <v>133</v>
      </c>
      <c r="E271" s="206" t="s">
        <v>131</v>
      </c>
      <c r="F271" s="215" t="s">
        <v>90</v>
      </c>
      <c r="G271" s="241">
        <v>30</v>
      </c>
      <c r="H271" s="616"/>
      <c r="I271" s="206"/>
      <c r="J271" s="235"/>
      <c r="K271" s="206"/>
      <c r="L271" s="235"/>
      <c r="M271" s="241"/>
      <c r="N271" s="206" t="s">
        <v>91</v>
      </c>
      <c r="O271" s="207" t="s">
        <v>9</v>
      </c>
      <c r="P271" s="216" t="s">
        <v>454</v>
      </c>
      <c r="Q271" s="222" t="s">
        <v>594</v>
      </c>
      <c r="R271" s="211" t="s">
        <v>513</v>
      </c>
    </row>
    <row r="272" spans="1:18" ht="30" x14ac:dyDescent="0.25">
      <c r="A272" s="450" t="s">
        <v>303</v>
      </c>
      <c r="B272" s="431">
        <v>50</v>
      </c>
      <c r="C272" s="206" t="s">
        <v>136</v>
      </c>
      <c r="D272" s="104" t="s">
        <v>304</v>
      </c>
      <c r="E272" s="206" t="s">
        <v>170</v>
      </c>
      <c r="F272" s="235" t="s">
        <v>339</v>
      </c>
      <c r="G272" s="241">
        <v>50</v>
      </c>
      <c r="H272" s="614">
        <v>0</v>
      </c>
      <c r="I272" s="434"/>
      <c r="J272" s="434"/>
      <c r="K272" s="434"/>
      <c r="L272" s="434"/>
      <c r="M272" s="434"/>
      <c r="N272" s="437" t="s">
        <v>91</v>
      </c>
      <c r="O272" s="467" t="s">
        <v>47</v>
      </c>
      <c r="P272" s="437" t="s">
        <v>92</v>
      </c>
      <c r="Q272" s="671" t="s">
        <v>519</v>
      </c>
      <c r="R272" s="455" t="s">
        <v>508</v>
      </c>
    </row>
    <row r="273" spans="1:18" ht="30" x14ac:dyDescent="0.25">
      <c r="A273" s="451"/>
      <c r="B273" s="432"/>
      <c r="C273" s="206" t="s">
        <v>398</v>
      </c>
      <c r="D273" s="104" t="s">
        <v>304</v>
      </c>
      <c r="E273" s="206" t="s">
        <v>170</v>
      </c>
      <c r="F273" s="235" t="s">
        <v>339</v>
      </c>
      <c r="G273" s="241">
        <v>-8.6999999999999993</v>
      </c>
      <c r="H273" s="615"/>
      <c r="I273" s="435"/>
      <c r="J273" s="435"/>
      <c r="K273" s="435"/>
      <c r="L273" s="435"/>
      <c r="M273" s="435"/>
      <c r="N273" s="446"/>
      <c r="O273" s="468"/>
      <c r="P273" s="446"/>
      <c r="Q273" s="672"/>
      <c r="R273" s="456"/>
    </row>
    <row r="274" spans="1:18" ht="30" x14ac:dyDescent="0.25">
      <c r="A274" s="452"/>
      <c r="B274" s="433"/>
      <c r="C274" s="206" t="s">
        <v>398</v>
      </c>
      <c r="D274" s="104" t="s">
        <v>304</v>
      </c>
      <c r="E274" s="206" t="s">
        <v>131</v>
      </c>
      <c r="F274" s="235" t="s">
        <v>90</v>
      </c>
      <c r="G274" s="241">
        <v>8.6999999999999993</v>
      </c>
      <c r="H274" s="616"/>
      <c r="I274" s="436"/>
      <c r="J274" s="436"/>
      <c r="K274" s="436"/>
      <c r="L274" s="436"/>
      <c r="M274" s="436"/>
      <c r="N274" s="438"/>
      <c r="O274" s="469"/>
      <c r="P274" s="438"/>
      <c r="Q274" s="673"/>
      <c r="R274" s="457"/>
    </row>
    <row r="275" spans="1:18" ht="30" x14ac:dyDescent="0.25">
      <c r="A275" s="558" t="s">
        <v>305</v>
      </c>
      <c r="B275" s="431">
        <v>50</v>
      </c>
      <c r="C275" s="206" t="s">
        <v>130</v>
      </c>
      <c r="D275" s="104" t="s">
        <v>304</v>
      </c>
      <c r="E275" s="206" t="s">
        <v>131</v>
      </c>
      <c r="F275" s="235" t="s">
        <v>90</v>
      </c>
      <c r="G275" s="241">
        <v>10</v>
      </c>
      <c r="H275" s="614">
        <v>0</v>
      </c>
      <c r="I275" s="434"/>
      <c r="J275" s="434"/>
      <c r="K275" s="434"/>
      <c r="L275" s="434"/>
      <c r="M275" s="434"/>
      <c r="N275" s="552" t="s">
        <v>91</v>
      </c>
      <c r="O275" s="546" t="s">
        <v>47</v>
      </c>
      <c r="P275" s="521" t="s">
        <v>92</v>
      </c>
      <c r="Q275" s="473" t="s">
        <v>435</v>
      </c>
      <c r="R275" s="455" t="s">
        <v>508</v>
      </c>
    </row>
    <row r="276" spans="1:18" ht="30" x14ac:dyDescent="0.25">
      <c r="A276" s="558"/>
      <c r="B276" s="432"/>
      <c r="C276" s="206" t="s">
        <v>130</v>
      </c>
      <c r="D276" s="104" t="s">
        <v>304</v>
      </c>
      <c r="E276" s="206" t="s">
        <v>170</v>
      </c>
      <c r="F276" s="235" t="s">
        <v>341</v>
      </c>
      <c r="G276" s="241">
        <v>30</v>
      </c>
      <c r="H276" s="615"/>
      <c r="I276" s="436"/>
      <c r="J276" s="436"/>
      <c r="K276" s="436"/>
      <c r="L276" s="436"/>
      <c r="M276" s="436"/>
      <c r="N276" s="552"/>
      <c r="O276" s="546"/>
      <c r="P276" s="521"/>
      <c r="Q276" s="475"/>
      <c r="R276" s="457"/>
    </row>
    <row r="277" spans="1:18" ht="33" customHeight="1" x14ac:dyDescent="0.25">
      <c r="A277" s="558"/>
      <c r="B277" s="433"/>
      <c r="C277" s="206" t="s">
        <v>130</v>
      </c>
      <c r="D277" s="235" t="s">
        <v>133</v>
      </c>
      <c r="E277" s="206" t="s">
        <v>170</v>
      </c>
      <c r="F277" s="235" t="s">
        <v>341</v>
      </c>
      <c r="G277" s="241">
        <v>10</v>
      </c>
      <c r="H277" s="616"/>
      <c r="I277" s="206"/>
      <c r="J277" s="235"/>
      <c r="K277" s="206"/>
      <c r="L277" s="235"/>
      <c r="M277" s="241"/>
      <c r="N277" s="206" t="s">
        <v>91</v>
      </c>
      <c r="O277" s="207" t="s">
        <v>9</v>
      </c>
      <c r="P277" s="216" t="s">
        <v>454</v>
      </c>
      <c r="Q277" s="227" t="s">
        <v>493</v>
      </c>
      <c r="R277" s="205" t="s">
        <v>513</v>
      </c>
    </row>
    <row r="278" spans="1:18" ht="30" x14ac:dyDescent="0.25">
      <c r="A278" s="229" t="s">
        <v>307</v>
      </c>
      <c r="B278" s="96">
        <v>5</v>
      </c>
      <c r="C278" s="206" t="s">
        <v>88</v>
      </c>
      <c r="D278" s="235" t="s">
        <v>133</v>
      </c>
      <c r="E278" s="206" t="s">
        <v>90</v>
      </c>
      <c r="F278" s="235" t="s">
        <v>90</v>
      </c>
      <c r="G278" s="241" t="s">
        <v>90</v>
      </c>
      <c r="H278" s="312">
        <v>25</v>
      </c>
      <c r="I278" s="206"/>
      <c r="J278" s="235"/>
      <c r="K278" s="206"/>
      <c r="L278" s="235"/>
      <c r="M278" s="241"/>
      <c r="N278" s="206" t="s">
        <v>91</v>
      </c>
      <c r="O278" s="207" t="s">
        <v>9</v>
      </c>
      <c r="P278" s="235" t="s">
        <v>372</v>
      </c>
      <c r="Q278" s="227" t="s">
        <v>306</v>
      </c>
      <c r="R278" s="205"/>
    </row>
    <row r="279" spans="1:18" ht="60" x14ac:dyDescent="0.25">
      <c r="A279" s="229" t="s">
        <v>308</v>
      </c>
      <c r="B279" s="101">
        <v>1500</v>
      </c>
      <c r="C279" s="206" t="s">
        <v>136</v>
      </c>
      <c r="D279" s="235" t="s">
        <v>158</v>
      </c>
      <c r="E279" s="206" t="s">
        <v>170</v>
      </c>
      <c r="F279" s="235" t="s">
        <v>339</v>
      </c>
      <c r="G279" s="148">
        <v>1500</v>
      </c>
      <c r="H279" s="311">
        <v>0</v>
      </c>
      <c r="I279" s="206"/>
      <c r="J279" s="235"/>
      <c r="K279" s="206"/>
      <c r="L279" s="235"/>
      <c r="M279" s="148"/>
      <c r="N279" s="206" t="s">
        <v>91</v>
      </c>
      <c r="O279" s="207" t="s">
        <v>8</v>
      </c>
      <c r="P279" s="216" t="s">
        <v>454</v>
      </c>
      <c r="Q279" s="227" t="s">
        <v>444</v>
      </c>
      <c r="R279" s="205" t="s">
        <v>513</v>
      </c>
    </row>
    <row r="280" spans="1:18" ht="30" x14ac:dyDescent="0.25">
      <c r="A280" s="450" t="s">
        <v>309</v>
      </c>
      <c r="B280" s="431">
        <v>758</v>
      </c>
      <c r="C280" s="206" t="s">
        <v>136</v>
      </c>
      <c r="D280" s="235" t="s">
        <v>310</v>
      </c>
      <c r="E280" s="206" t="s">
        <v>131</v>
      </c>
      <c r="F280" s="235" t="s">
        <v>90</v>
      </c>
      <c r="G280" s="148">
        <v>253.75</v>
      </c>
      <c r="H280" s="614">
        <v>258</v>
      </c>
      <c r="I280" s="502" t="s">
        <v>478</v>
      </c>
      <c r="J280" s="428" t="s">
        <v>310</v>
      </c>
      <c r="K280" s="502" t="s">
        <v>131</v>
      </c>
      <c r="L280" s="428" t="s">
        <v>90</v>
      </c>
      <c r="M280" s="434">
        <v>258</v>
      </c>
      <c r="N280" s="437" t="s">
        <v>91</v>
      </c>
      <c r="O280" s="467" t="s">
        <v>33</v>
      </c>
      <c r="P280" s="470" t="s">
        <v>454</v>
      </c>
      <c r="Q280" s="476" t="s">
        <v>595</v>
      </c>
      <c r="R280" s="525" t="s">
        <v>513</v>
      </c>
    </row>
    <row r="281" spans="1:18" ht="30" x14ac:dyDescent="0.25">
      <c r="A281" s="451"/>
      <c r="B281" s="432"/>
      <c r="C281" s="206" t="s">
        <v>136</v>
      </c>
      <c r="D281" s="235" t="s">
        <v>310</v>
      </c>
      <c r="E281" s="206" t="s">
        <v>170</v>
      </c>
      <c r="F281" s="235" t="s">
        <v>339</v>
      </c>
      <c r="G281" s="148">
        <v>503.75</v>
      </c>
      <c r="H281" s="615"/>
      <c r="I281" s="503"/>
      <c r="J281" s="429"/>
      <c r="K281" s="503"/>
      <c r="L281" s="429"/>
      <c r="M281" s="435"/>
      <c r="N281" s="446"/>
      <c r="O281" s="468"/>
      <c r="P281" s="471"/>
      <c r="Q281" s="477"/>
      <c r="R281" s="480"/>
    </row>
    <row r="282" spans="1:18" ht="30" x14ac:dyDescent="0.25">
      <c r="A282" s="451"/>
      <c r="B282" s="432"/>
      <c r="C282" s="206" t="s">
        <v>398</v>
      </c>
      <c r="D282" s="235" t="s">
        <v>310</v>
      </c>
      <c r="E282" s="206" t="s">
        <v>170</v>
      </c>
      <c r="F282" s="235" t="s">
        <v>339</v>
      </c>
      <c r="G282" s="148">
        <v>-3.4807480000000002</v>
      </c>
      <c r="H282" s="615"/>
      <c r="I282" s="503"/>
      <c r="J282" s="429"/>
      <c r="K282" s="503"/>
      <c r="L282" s="429"/>
      <c r="M282" s="435"/>
      <c r="N282" s="446"/>
      <c r="O282" s="468"/>
      <c r="P282" s="471"/>
      <c r="Q282" s="477"/>
      <c r="R282" s="480"/>
    </row>
    <row r="283" spans="1:18" ht="30" x14ac:dyDescent="0.25">
      <c r="A283" s="452"/>
      <c r="B283" s="433"/>
      <c r="C283" s="206" t="s">
        <v>398</v>
      </c>
      <c r="D283" s="235" t="s">
        <v>310</v>
      </c>
      <c r="E283" s="206" t="s">
        <v>131</v>
      </c>
      <c r="F283" s="235" t="s">
        <v>90</v>
      </c>
      <c r="G283" s="241">
        <v>3.4807480000000002</v>
      </c>
      <c r="H283" s="616"/>
      <c r="I283" s="504"/>
      <c r="J283" s="430"/>
      <c r="K283" s="504"/>
      <c r="L283" s="430"/>
      <c r="M283" s="436"/>
      <c r="N283" s="438"/>
      <c r="O283" s="469"/>
      <c r="P283" s="472"/>
      <c r="Q283" s="478"/>
      <c r="R283" s="481"/>
    </row>
    <row r="284" spans="1:18" ht="60" x14ac:dyDescent="0.25">
      <c r="A284" s="229" t="s">
        <v>311</v>
      </c>
      <c r="B284" s="96">
        <v>31</v>
      </c>
      <c r="C284" s="206" t="s">
        <v>136</v>
      </c>
      <c r="D284" s="235" t="s">
        <v>276</v>
      </c>
      <c r="E284" s="206" t="s">
        <v>131</v>
      </c>
      <c r="F284" s="235" t="s">
        <v>90</v>
      </c>
      <c r="G284" s="148">
        <f>30+0.511094</f>
        <v>30.511094</v>
      </c>
      <c r="H284" s="312">
        <v>0</v>
      </c>
      <c r="I284" s="206"/>
      <c r="J284" s="235"/>
      <c r="K284" s="206"/>
      <c r="L284" s="235"/>
      <c r="M284" s="148"/>
      <c r="N284" s="206" t="s">
        <v>91</v>
      </c>
      <c r="O284" s="207" t="s">
        <v>44</v>
      </c>
      <c r="P284" s="216" t="s">
        <v>454</v>
      </c>
      <c r="Q284" s="226" t="s">
        <v>596</v>
      </c>
      <c r="R284" s="210" t="s">
        <v>513</v>
      </c>
    </row>
    <row r="285" spans="1:18" ht="28.5" customHeight="1" x14ac:dyDescent="0.25">
      <c r="A285" s="450" t="s">
        <v>312</v>
      </c>
      <c r="B285" s="431">
        <v>10</v>
      </c>
      <c r="C285" s="437" t="s">
        <v>398</v>
      </c>
      <c r="D285" s="431" t="s">
        <v>224</v>
      </c>
      <c r="E285" s="437" t="s">
        <v>131</v>
      </c>
      <c r="F285" s="431" t="s">
        <v>90</v>
      </c>
      <c r="G285" s="612">
        <f>0.235939+0.024684</f>
        <v>0.26062299999999999</v>
      </c>
      <c r="H285" s="614">
        <v>30</v>
      </c>
      <c r="I285" s="206" t="s">
        <v>478</v>
      </c>
      <c r="J285" s="235" t="s">
        <v>224</v>
      </c>
      <c r="K285" s="212" t="s">
        <v>131</v>
      </c>
      <c r="L285" s="235" t="s">
        <v>90</v>
      </c>
      <c r="M285" s="357">
        <v>0.74947299999999994</v>
      </c>
      <c r="N285" s="437" t="s">
        <v>91</v>
      </c>
      <c r="O285" s="467" t="s">
        <v>28</v>
      </c>
      <c r="P285" s="431" t="s">
        <v>372</v>
      </c>
      <c r="Q285" s="476"/>
      <c r="R285" s="525"/>
    </row>
    <row r="286" spans="1:18" ht="30" x14ac:dyDescent="0.25">
      <c r="A286" s="451"/>
      <c r="B286" s="432"/>
      <c r="C286" s="438"/>
      <c r="D286" s="433"/>
      <c r="E286" s="438"/>
      <c r="F286" s="433"/>
      <c r="G286" s="613"/>
      <c r="H286" s="615"/>
      <c r="I286" s="206" t="s">
        <v>478</v>
      </c>
      <c r="J286" s="235" t="s">
        <v>224</v>
      </c>
      <c r="K286" s="212" t="s">
        <v>170</v>
      </c>
      <c r="L286" s="235"/>
      <c r="M286" s="189">
        <v>9.9109999999999997E-3</v>
      </c>
      <c r="N286" s="446"/>
      <c r="O286" s="468"/>
      <c r="P286" s="432"/>
      <c r="Q286" s="477"/>
      <c r="R286" s="480"/>
    </row>
    <row r="287" spans="1:18" x14ac:dyDescent="0.25">
      <c r="A287" s="451"/>
      <c r="B287" s="432"/>
      <c r="C287" s="437" t="s">
        <v>88</v>
      </c>
      <c r="D287" s="437" t="s">
        <v>152</v>
      </c>
      <c r="E287" s="437" t="s">
        <v>90</v>
      </c>
      <c r="F287" s="437" t="s">
        <v>90</v>
      </c>
      <c r="G287" s="441" t="s">
        <v>90</v>
      </c>
      <c r="H287" s="615"/>
      <c r="I287" s="206" t="s">
        <v>478</v>
      </c>
      <c r="J287" s="235" t="s">
        <v>152</v>
      </c>
      <c r="K287" s="212" t="s">
        <v>131</v>
      </c>
      <c r="L287" s="235" t="s">
        <v>90</v>
      </c>
      <c r="M287" s="357">
        <v>1.420876</v>
      </c>
      <c r="N287" s="446"/>
      <c r="O287" s="468"/>
      <c r="P287" s="432"/>
      <c r="Q287" s="477"/>
      <c r="R287" s="480"/>
    </row>
    <row r="288" spans="1:18" x14ac:dyDescent="0.25">
      <c r="A288" s="451"/>
      <c r="B288" s="432"/>
      <c r="C288" s="446"/>
      <c r="D288" s="446"/>
      <c r="E288" s="446"/>
      <c r="F288" s="446"/>
      <c r="G288" s="610"/>
      <c r="H288" s="615"/>
      <c r="I288" s="206" t="s">
        <v>478</v>
      </c>
      <c r="J288" s="235" t="s">
        <v>152</v>
      </c>
      <c r="K288" s="212" t="s">
        <v>170</v>
      </c>
      <c r="L288" s="235"/>
      <c r="M288" s="166">
        <v>6.6338999999999995E-2</v>
      </c>
      <c r="N288" s="446"/>
      <c r="O288" s="468"/>
      <c r="P288" s="432"/>
      <c r="Q288" s="477"/>
      <c r="R288" s="480"/>
    </row>
    <row r="289" spans="1:18" x14ac:dyDescent="0.25">
      <c r="A289" s="451"/>
      <c r="B289" s="432"/>
      <c r="C289" s="438"/>
      <c r="D289" s="438"/>
      <c r="E289" s="438"/>
      <c r="F289" s="438"/>
      <c r="G289" s="442"/>
      <c r="H289" s="615"/>
      <c r="I289" s="322" t="s">
        <v>130</v>
      </c>
      <c r="J289" s="336" t="s">
        <v>152</v>
      </c>
      <c r="K289" s="323" t="s">
        <v>131</v>
      </c>
      <c r="L289" s="336" t="s">
        <v>90</v>
      </c>
      <c r="M289" s="357">
        <f>20+0.665829</f>
        <v>20.665828999999999</v>
      </c>
      <c r="N289" s="446"/>
      <c r="O289" s="468"/>
      <c r="P289" s="432"/>
      <c r="Q289" s="477"/>
      <c r="R289" s="480"/>
    </row>
    <row r="290" spans="1:18" ht="30" x14ac:dyDescent="0.25">
      <c r="A290" s="451"/>
      <c r="B290" s="432"/>
      <c r="C290" s="437" t="s">
        <v>88</v>
      </c>
      <c r="D290" s="431" t="s">
        <v>182</v>
      </c>
      <c r="E290" s="437" t="s">
        <v>90</v>
      </c>
      <c r="F290" s="437" t="s">
        <v>90</v>
      </c>
      <c r="G290" s="655" t="s">
        <v>90</v>
      </c>
      <c r="H290" s="615"/>
      <c r="I290" s="206" t="s">
        <v>478</v>
      </c>
      <c r="J290" s="235" t="s">
        <v>182</v>
      </c>
      <c r="K290" s="212" t="s">
        <v>131</v>
      </c>
      <c r="L290" s="235" t="s">
        <v>90</v>
      </c>
      <c r="M290" s="357">
        <v>2.6719569999999999</v>
      </c>
      <c r="N290" s="446"/>
      <c r="O290" s="468"/>
      <c r="P290" s="432"/>
      <c r="Q290" s="477"/>
      <c r="R290" s="480"/>
    </row>
    <row r="291" spans="1:18" ht="30" x14ac:dyDescent="0.25">
      <c r="A291" s="451"/>
      <c r="B291" s="432"/>
      <c r="C291" s="438"/>
      <c r="D291" s="433"/>
      <c r="E291" s="438"/>
      <c r="F291" s="438"/>
      <c r="G291" s="655"/>
      <c r="H291" s="615"/>
      <c r="I291" s="206" t="s">
        <v>478</v>
      </c>
      <c r="J291" s="235" t="s">
        <v>182</v>
      </c>
      <c r="K291" s="212" t="s">
        <v>170</v>
      </c>
      <c r="L291" s="235"/>
      <c r="M291" s="189">
        <v>2.5597000000000002E-2</v>
      </c>
      <c r="N291" s="446"/>
      <c r="O291" s="468"/>
      <c r="P291" s="432"/>
      <c r="Q291" s="477"/>
      <c r="R291" s="480"/>
    </row>
    <row r="292" spans="1:18" ht="28.5" customHeight="1" x14ac:dyDescent="0.25">
      <c r="A292" s="451"/>
      <c r="B292" s="432"/>
      <c r="C292" s="552" t="s">
        <v>398</v>
      </c>
      <c r="D292" s="521" t="s">
        <v>226</v>
      </c>
      <c r="E292" s="552" t="s">
        <v>131</v>
      </c>
      <c r="F292" s="521" t="s">
        <v>90</v>
      </c>
      <c r="G292" s="611">
        <v>0.10349999999999999</v>
      </c>
      <c r="H292" s="615"/>
      <c r="I292" s="206" t="s">
        <v>478</v>
      </c>
      <c r="J292" s="235" t="s">
        <v>226</v>
      </c>
      <c r="K292" s="212" t="s">
        <v>131</v>
      </c>
      <c r="L292" s="235" t="s">
        <v>90</v>
      </c>
      <c r="M292" s="357">
        <v>3.861256</v>
      </c>
      <c r="N292" s="446"/>
      <c r="O292" s="468"/>
      <c r="P292" s="432"/>
      <c r="Q292" s="477"/>
      <c r="R292" s="480"/>
    </row>
    <row r="293" spans="1:18" ht="45" x14ac:dyDescent="0.25">
      <c r="A293" s="451"/>
      <c r="B293" s="432"/>
      <c r="C293" s="552"/>
      <c r="D293" s="521"/>
      <c r="E293" s="552"/>
      <c r="F293" s="521"/>
      <c r="G293" s="611"/>
      <c r="H293" s="615"/>
      <c r="I293" s="206" t="s">
        <v>478</v>
      </c>
      <c r="J293" s="235" t="s">
        <v>226</v>
      </c>
      <c r="K293" s="212" t="s">
        <v>170</v>
      </c>
      <c r="L293" s="235"/>
      <c r="M293" s="189">
        <v>2.5597000000000002E-2</v>
      </c>
      <c r="N293" s="446"/>
      <c r="O293" s="468"/>
      <c r="P293" s="432"/>
      <c r="Q293" s="477"/>
      <c r="R293" s="480"/>
    </row>
    <row r="294" spans="1:18" ht="30" x14ac:dyDescent="0.25">
      <c r="A294" s="451"/>
      <c r="B294" s="432"/>
      <c r="C294" s="437" t="s">
        <v>88</v>
      </c>
      <c r="D294" s="431" t="s">
        <v>227</v>
      </c>
      <c r="E294" s="437" t="s">
        <v>90</v>
      </c>
      <c r="F294" s="437" t="s">
        <v>90</v>
      </c>
      <c r="G294" s="652" t="s">
        <v>90</v>
      </c>
      <c r="H294" s="615"/>
      <c r="I294" s="206" t="s">
        <v>478</v>
      </c>
      <c r="J294" s="235" t="s">
        <v>227</v>
      </c>
      <c r="K294" s="212" t="s">
        <v>131</v>
      </c>
      <c r="L294" s="235" t="s">
        <v>90</v>
      </c>
      <c r="M294" s="357">
        <v>8.1332140000000006</v>
      </c>
      <c r="N294" s="446"/>
      <c r="O294" s="468"/>
      <c r="P294" s="432"/>
      <c r="Q294" s="477"/>
      <c r="R294" s="480"/>
    </row>
    <row r="295" spans="1:18" ht="30" x14ac:dyDescent="0.25">
      <c r="A295" s="451"/>
      <c r="B295" s="432"/>
      <c r="C295" s="446"/>
      <c r="D295" s="432"/>
      <c r="E295" s="446"/>
      <c r="F295" s="446"/>
      <c r="G295" s="653"/>
      <c r="H295" s="615"/>
      <c r="I295" s="206" t="s">
        <v>478</v>
      </c>
      <c r="J295" s="235" t="s">
        <v>227</v>
      </c>
      <c r="K295" s="212" t="s">
        <v>170</v>
      </c>
      <c r="L295" s="235"/>
      <c r="M295" s="189">
        <v>7.6789999999999997E-2</v>
      </c>
      <c r="N295" s="446"/>
      <c r="O295" s="468"/>
      <c r="P295" s="432"/>
      <c r="Q295" s="477"/>
      <c r="R295" s="480"/>
    </row>
    <row r="296" spans="1:18" ht="30" x14ac:dyDescent="0.25">
      <c r="A296" s="452"/>
      <c r="B296" s="433"/>
      <c r="C296" s="438"/>
      <c r="D296" s="433"/>
      <c r="E296" s="438"/>
      <c r="F296" s="438"/>
      <c r="G296" s="654"/>
      <c r="H296" s="616"/>
      <c r="I296" s="329" t="s">
        <v>130</v>
      </c>
      <c r="J296" s="336" t="s">
        <v>227</v>
      </c>
      <c r="K296" s="323" t="s">
        <v>131</v>
      </c>
      <c r="L296" s="336" t="s">
        <v>90</v>
      </c>
      <c r="M296" s="167">
        <v>0.155251</v>
      </c>
      <c r="N296" s="438"/>
      <c r="O296" s="469"/>
      <c r="P296" s="433"/>
      <c r="Q296" s="478"/>
      <c r="R296" s="481"/>
    </row>
    <row r="297" spans="1:18" x14ac:dyDescent="0.25">
      <c r="A297" s="450" t="s">
        <v>313</v>
      </c>
      <c r="B297" s="431">
        <v>151</v>
      </c>
      <c r="C297" s="437" t="s">
        <v>398</v>
      </c>
      <c r="D297" s="431" t="s">
        <v>334</v>
      </c>
      <c r="E297" s="437" t="s">
        <v>131</v>
      </c>
      <c r="F297" s="431" t="s">
        <v>90</v>
      </c>
      <c r="G297" s="447">
        <v>135.75823500000001</v>
      </c>
      <c r="H297" s="614">
        <f>22+155</f>
        <v>177</v>
      </c>
      <c r="I297" s="206" t="s">
        <v>478</v>
      </c>
      <c r="J297" s="235" t="s">
        <v>334</v>
      </c>
      <c r="K297" s="212" t="s">
        <v>131</v>
      </c>
      <c r="L297" s="235" t="s">
        <v>90</v>
      </c>
      <c r="M297" s="190">
        <v>11.838437000000001</v>
      </c>
      <c r="N297" s="437" t="s">
        <v>91</v>
      </c>
      <c r="O297" s="467" t="s">
        <v>387</v>
      </c>
      <c r="P297" s="437" t="s">
        <v>92</v>
      </c>
      <c r="Q297" s="476" t="s">
        <v>431</v>
      </c>
      <c r="R297" s="525" t="s">
        <v>432</v>
      </c>
    </row>
    <row r="298" spans="1:18" x14ac:dyDescent="0.25">
      <c r="A298" s="452"/>
      <c r="B298" s="433"/>
      <c r="C298" s="438"/>
      <c r="D298" s="433"/>
      <c r="E298" s="438"/>
      <c r="F298" s="433"/>
      <c r="G298" s="449"/>
      <c r="H298" s="616"/>
      <c r="I298" s="206" t="s">
        <v>478</v>
      </c>
      <c r="J298" s="235" t="s">
        <v>334</v>
      </c>
      <c r="K298" s="212" t="s">
        <v>170</v>
      </c>
      <c r="L298" s="235"/>
      <c r="M298" s="241">
        <v>3.1963780000000002</v>
      </c>
      <c r="N298" s="438"/>
      <c r="O298" s="469"/>
      <c r="P298" s="438"/>
      <c r="Q298" s="478"/>
      <c r="R298" s="481"/>
    </row>
    <row r="299" spans="1:18" x14ac:dyDescent="0.25">
      <c r="A299" s="450" t="s">
        <v>314</v>
      </c>
      <c r="B299" s="431">
        <f>74+54</f>
        <v>128</v>
      </c>
      <c r="C299" s="206" t="s">
        <v>136</v>
      </c>
      <c r="D299" s="235" t="s">
        <v>315</v>
      </c>
      <c r="E299" s="206" t="s">
        <v>131</v>
      </c>
      <c r="F299" s="235" t="s">
        <v>90</v>
      </c>
      <c r="G299" s="148">
        <v>74.099999999999994</v>
      </c>
      <c r="H299" s="614">
        <v>72</v>
      </c>
      <c r="I299" s="650"/>
      <c r="J299" s="650"/>
      <c r="K299" s="650"/>
      <c r="L299" s="650"/>
      <c r="M299" s="650"/>
      <c r="N299" s="437" t="s">
        <v>91</v>
      </c>
      <c r="O299" s="467" t="s">
        <v>48</v>
      </c>
      <c r="P299" s="470" t="s">
        <v>454</v>
      </c>
      <c r="Q299" s="473" t="s">
        <v>446</v>
      </c>
      <c r="R299" s="461" t="s">
        <v>513</v>
      </c>
    </row>
    <row r="300" spans="1:18" x14ac:dyDescent="0.25">
      <c r="A300" s="452"/>
      <c r="B300" s="433"/>
      <c r="C300" s="206" t="s">
        <v>398</v>
      </c>
      <c r="D300" s="235" t="s">
        <v>315</v>
      </c>
      <c r="E300" s="206" t="s">
        <v>131</v>
      </c>
      <c r="F300" s="235" t="s">
        <v>90</v>
      </c>
      <c r="G300" s="241">
        <v>54.1</v>
      </c>
      <c r="H300" s="616"/>
      <c r="I300" s="651"/>
      <c r="J300" s="651"/>
      <c r="K300" s="651"/>
      <c r="L300" s="651"/>
      <c r="M300" s="651"/>
      <c r="N300" s="438"/>
      <c r="O300" s="469"/>
      <c r="P300" s="472"/>
      <c r="Q300" s="475"/>
      <c r="R300" s="463"/>
    </row>
    <row r="301" spans="1:18" ht="60" x14ac:dyDescent="0.25">
      <c r="A301" s="229" t="s">
        <v>316</v>
      </c>
      <c r="B301" s="96">
        <v>5</v>
      </c>
      <c r="C301" s="206" t="s">
        <v>398</v>
      </c>
      <c r="D301" s="235" t="s">
        <v>333</v>
      </c>
      <c r="E301" s="206" t="s">
        <v>131</v>
      </c>
      <c r="F301" s="235" t="s">
        <v>90</v>
      </c>
      <c r="G301" s="143">
        <v>1.944599</v>
      </c>
      <c r="H301" s="312">
        <v>0</v>
      </c>
      <c r="I301" s="206"/>
      <c r="J301" s="235"/>
      <c r="K301" s="206"/>
      <c r="L301" s="235"/>
      <c r="M301" s="143"/>
      <c r="N301" s="206" t="s">
        <v>91</v>
      </c>
      <c r="O301" s="207" t="s">
        <v>388</v>
      </c>
      <c r="P301" s="216" t="s">
        <v>454</v>
      </c>
      <c r="Q301" s="226" t="s">
        <v>497</v>
      </c>
      <c r="R301" s="205" t="s">
        <v>513</v>
      </c>
    </row>
    <row r="302" spans="1:18" ht="30" x14ac:dyDescent="0.25">
      <c r="A302" s="229" t="s">
        <v>317</v>
      </c>
      <c r="B302" s="96">
        <v>25</v>
      </c>
      <c r="C302" s="206" t="s">
        <v>88</v>
      </c>
      <c r="D302" s="235" t="s">
        <v>172</v>
      </c>
      <c r="E302" s="206" t="s">
        <v>90</v>
      </c>
      <c r="F302" s="235" t="s">
        <v>90</v>
      </c>
      <c r="G302" s="241" t="s">
        <v>90</v>
      </c>
      <c r="H302" s="312">
        <v>30</v>
      </c>
      <c r="I302" s="206"/>
      <c r="J302" s="235"/>
      <c r="K302" s="206"/>
      <c r="L302" s="235"/>
      <c r="M302" s="241"/>
      <c r="N302" s="206" t="s">
        <v>91</v>
      </c>
      <c r="O302" s="228" t="s">
        <v>4</v>
      </c>
      <c r="P302" s="206" t="s">
        <v>134</v>
      </c>
      <c r="Q302" s="226"/>
      <c r="R302" s="205"/>
    </row>
    <row r="303" spans="1:18" ht="60" x14ac:dyDescent="0.25">
      <c r="A303" s="229" t="s">
        <v>318</v>
      </c>
      <c r="B303" s="96">
        <v>26</v>
      </c>
      <c r="C303" s="206" t="s">
        <v>398</v>
      </c>
      <c r="D303" s="235" t="s">
        <v>158</v>
      </c>
      <c r="E303" s="206" t="s">
        <v>131</v>
      </c>
      <c r="F303" s="235" t="s">
        <v>90</v>
      </c>
      <c r="G303" s="143">
        <v>2.5999460000000001</v>
      </c>
      <c r="H303" s="312">
        <v>4</v>
      </c>
      <c r="I303" s="212" t="s">
        <v>478</v>
      </c>
      <c r="J303" s="235" t="s">
        <v>158</v>
      </c>
      <c r="K303" s="212" t="s">
        <v>170</v>
      </c>
      <c r="L303" s="235"/>
      <c r="M303" s="241">
        <v>0.813523</v>
      </c>
      <c r="N303" s="206" t="s">
        <v>91</v>
      </c>
      <c r="O303" s="207" t="s">
        <v>389</v>
      </c>
      <c r="P303" s="216" t="s">
        <v>454</v>
      </c>
      <c r="Q303" s="226" t="s">
        <v>597</v>
      </c>
      <c r="R303" s="205" t="s">
        <v>513</v>
      </c>
    </row>
    <row r="304" spans="1:18" ht="30" x14ac:dyDescent="0.25">
      <c r="A304" s="229" t="s">
        <v>319</v>
      </c>
      <c r="B304" s="96">
        <v>16</v>
      </c>
      <c r="C304" s="206" t="s">
        <v>88</v>
      </c>
      <c r="D304" s="235" t="s">
        <v>158</v>
      </c>
      <c r="E304" s="206" t="s">
        <v>90</v>
      </c>
      <c r="F304" s="235" t="s">
        <v>90</v>
      </c>
      <c r="G304" s="241" t="s">
        <v>90</v>
      </c>
      <c r="H304" s="312">
        <v>16</v>
      </c>
      <c r="I304" s="206" t="s">
        <v>130</v>
      </c>
      <c r="J304" s="336" t="s">
        <v>158</v>
      </c>
      <c r="K304" s="206" t="s">
        <v>131</v>
      </c>
      <c r="L304" s="235" t="s">
        <v>90</v>
      </c>
      <c r="M304" s="357">
        <v>11.879782000000001</v>
      </c>
      <c r="N304" s="206" t="s">
        <v>91</v>
      </c>
      <c r="O304" s="207" t="s">
        <v>389</v>
      </c>
      <c r="P304" s="206" t="s">
        <v>372</v>
      </c>
      <c r="Q304" s="226"/>
      <c r="R304" s="205"/>
    </row>
    <row r="305" spans="1:18" x14ac:dyDescent="0.25">
      <c r="A305" s="229" t="s">
        <v>320</v>
      </c>
      <c r="B305" s="96">
        <v>46</v>
      </c>
      <c r="C305" s="206" t="s">
        <v>398</v>
      </c>
      <c r="D305" s="235" t="s">
        <v>324</v>
      </c>
      <c r="E305" s="206" t="s">
        <v>131</v>
      </c>
      <c r="F305" s="235" t="s">
        <v>90</v>
      </c>
      <c r="G305" s="148">
        <v>46</v>
      </c>
      <c r="H305" s="312">
        <v>0</v>
      </c>
      <c r="I305" s="206"/>
      <c r="J305" s="235"/>
      <c r="K305" s="206"/>
      <c r="L305" s="235"/>
      <c r="M305" s="148"/>
      <c r="N305" s="206" t="s">
        <v>91</v>
      </c>
      <c r="O305" s="207" t="s">
        <v>390</v>
      </c>
      <c r="P305" s="206" t="s">
        <v>372</v>
      </c>
      <c r="Q305" s="226"/>
      <c r="R305" s="205"/>
    </row>
    <row r="306" spans="1:18" ht="60" x14ac:dyDescent="0.25">
      <c r="A306" s="450" t="s">
        <v>321</v>
      </c>
      <c r="B306" s="431">
        <v>50</v>
      </c>
      <c r="C306" s="206" t="s">
        <v>398</v>
      </c>
      <c r="D306" s="235" t="s">
        <v>400</v>
      </c>
      <c r="E306" s="206" t="s">
        <v>131</v>
      </c>
      <c r="F306" s="235" t="s">
        <v>90</v>
      </c>
      <c r="G306" s="143">
        <v>5.5008489999999997</v>
      </c>
      <c r="H306" s="614">
        <v>5</v>
      </c>
      <c r="I306" s="206"/>
      <c r="J306" s="235"/>
      <c r="K306" s="206"/>
      <c r="L306" s="235"/>
      <c r="M306" s="143"/>
      <c r="N306" s="437" t="s">
        <v>91</v>
      </c>
      <c r="O306" s="467" t="s">
        <v>390</v>
      </c>
      <c r="P306" s="216" t="s">
        <v>454</v>
      </c>
      <c r="Q306" s="98" t="s">
        <v>598</v>
      </c>
      <c r="R306" s="205" t="s">
        <v>513</v>
      </c>
    </row>
    <row r="307" spans="1:18" ht="30" x14ac:dyDescent="0.25">
      <c r="A307" s="451"/>
      <c r="B307" s="432"/>
      <c r="C307" s="437" t="s">
        <v>398</v>
      </c>
      <c r="D307" s="431" t="s">
        <v>401</v>
      </c>
      <c r="E307" s="437" t="s">
        <v>131</v>
      </c>
      <c r="F307" s="431" t="s">
        <v>90</v>
      </c>
      <c r="G307" s="447">
        <v>0.50501499999999999</v>
      </c>
      <c r="H307" s="615"/>
      <c r="I307" s="233" t="s">
        <v>478</v>
      </c>
      <c r="J307" s="215" t="s">
        <v>401</v>
      </c>
      <c r="K307" s="212" t="s">
        <v>131</v>
      </c>
      <c r="L307" s="235" t="s">
        <v>90</v>
      </c>
      <c r="M307" s="166">
        <v>6.6402000000000003E-2</v>
      </c>
      <c r="N307" s="446"/>
      <c r="O307" s="468"/>
      <c r="P307" s="470" t="s">
        <v>454</v>
      </c>
      <c r="Q307" s="476" t="s">
        <v>599</v>
      </c>
      <c r="R307" s="525" t="s">
        <v>513</v>
      </c>
    </row>
    <row r="308" spans="1:18" ht="30" x14ac:dyDescent="0.25">
      <c r="A308" s="451"/>
      <c r="B308" s="432"/>
      <c r="C308" s="446"/>
      <c r="D308" s="432"/>
      <c r="E308" s="446"/>
      <c r="F308" s="432"/>
      <c r="G308" s="448"/>
      <c r="H308" s="615"/>
      <c r="I308" s="323" t="s">
        <v>478</v>
      </c>
      <c r="J308" s="215" t="s">
        <v>401</v>
      </c>
      <c r="K308" s="212" t="s">
        <v>170</v>
      </c>
      <c r="L308" s="235"/>
      <c r="M308" s="189">
        <v>1.7929E-2</v>
      </c>
      <c r="N308" s="446"/>
      <c r="O308" s="468"/>
      <c r="P308" s="471"/>
      <c r="Q308" s="477"/>
      <c r="R308" s="480"/>
    </row>
    <row r="309" spans="1:18" ht="30" x14ac:dyDescent="0.25">
      <c r="A309" s="452"/>
      <c r="B309" s="433"/>
      <c r="C309" s="438"/>
      <c r="D309" s="433"/>
      <c r="E309" s="438"/>
      <c r="F309" s="433"/>
      <c r="G309" s="449"/>
      <c r="H309" s="616"/>
      <c r="I309" s="323" t="s">
        <v>130</v>
      </c>
      <c r="J309" s="320" t="s">
        <v>401</v>
      </c>
      <c r="K309" s="323" t="s">
        <v>131</v>
      </c>
      <c r="L309" s="336" t="s">
        <v>90</v>
      </c>
      <c r="M309" s="367">
        <v>0.439139</v>
      </c>
      <c r="N309" s="438"/>
      <c r="O309" s="469"/>
      <c r="P309" s="472"/>
      <c r="Q309" s="478"/>
      <c r="R309" s="481"/>
    </row>
    <row r="310" spans="1:18" ht="30" customHeight="1" x14ac:dyDescent="0.25">
      <c r="A310" s="450" t="s">
        <v>322</v>
      </c>
      <c r="B310" s="431">
        <v>0</v>
      </c>
      <c r="C310" s="437" t="s">
        <v>88</v>
      </c>
      <c r="D310" s="235" t="s">
        <v>89</v>
      </c>
      <c r="E310" s="206" t="s">
        <v>90</v>
      </c>
      <c r="F310" s="235" t="s">
        <v>90</v>
      </c>
      <c r="G310" s="241" t="s">
        <v>90</v>
      </c>
      <c r="H310" s="614">
        <v>98</v>
      </c>
      <c r="I310" s="98"/>
      <c r="J310" s="235"/>
      <c r="K310" s="206"/>
      <c r="L310" s="235"/>
      <c r="M310" s="241"/>
      <c r="N310" s="206" t="s">
        <v>355</v>
      </c>
      <c r="O310" s="206"/>
      <c r="P310" s="206"/>
      <c r="Q310" s="226"/>
      <c r="R310" s="205"/>
    </row>
    <row r="311" spans="1:18" ht="30" customHeight="1" x14ac:dyDescent="0.25">
      <c r="A311" s="451"/>
      <c r="B311" s="432"/>
      <c r="C311" s="446"/>
      <c r="D311" s="431" t="s">
        <v>158</v>
      </c>
      <c r="E311" s="437" t="s">
        <v>90</v>
      </c>
      <c r="F311" s="431" t="s">
        <v>90</v>
      </c>
      <c r="G311" s="439" t="s">
        <v>90</v>
      </c>
      <c r="H311" s="615"/>
      <c r="I311" s="212" t="s">
        <v>478</v>
      </c>
      <c r="J311" s="235" t="s">
        <v>158</v>
      </c>
      <c r="K311" s="212" t="s">
        <v>131</v>
      </c>
      <c r="L311" s="232" t="s">
        <v>90</v>
      </c>
      <c r="M311" s="236">
        <v>92.579048999999998</v>
      </c>
      <c r="N311" s="437" t="s">
        <v>355</v>
      </c>
      <c r="O311" s="437"/>
      <c r="P311" s="437"/>
      <c r="Q311" s="437"/>
      <c r="R311" s="525"/>
    </row>
    <row r="312" spans="1:18" ht="30" x14ac:dyDescent="0.25">
      <c r="A312" s="452"/>
      <c r="B312" s="433"/>
      <c r="C312" s="438"/>
      <c r="D312" s="433"/>
      <c r="E312" s="438"/>
      <c r="F312" s="433"/>
      <c r="G312" s="440"/>
      <c r="H312" s="616"/>
      <c r="I312" s="212" t="s">
        <v>478</v>
      </c>
      <c r="J312" s="235" t="s">
        <v>158</v>
      </c>
      <c r="K312" s="212" t="s">
        <v>170</v>
      </c>
      <c r="L312" s="231"/>
      <c r="M312" s="236">
        <v>5.9055989999999996</v>
      </c>
      <c r="N312" s="438"/>
      <c r="O312" s="438"/>
      <c r="P312" s="438"/>
      <c r="Q312" s="438"/>
      <c r="R312" s="481"/>
    </row>
    <row r="313" spans="1:18" ht="60" x14ac:dyDescent="0.25">
      <c r="A313" s="230" t="s">
        <v>323</v>
      </c>
      <c r="B313" s="99">
        <v>188</v>
      </c>
      <c r="C313" s="219" t="s">
        <v>398</v>
      </c>
      <c r="D313" s="231" t="s">
        <v>335</v>
      </c>
      <c r="E313" s="219" t="s">
        <v>131</v>
      </c>
      <c r="F313" s="231" t="s">
        <v>90</v>
      </c>
      <c r="G313" s="153">
        <v>187.5</v>
      </c>
      <c r="H313" s="315">
        <v>0</v>
      </c>
      <c r="I313" s="219"/>
      <c r="J313" s="231"/>
      <c r="K313" s="219"/>
      <c r="L313" s="231"/>
      <c r="M313" s="153"/>
      <c r="N313" s="206" t="s">
        <v>91</v>
      </c>
      <c r="O313" s="218" t="s">
        <v>391</v>
      </c>
      <c r="P313" s="216" t="s">
        <v>454</v>
      </c>
      <c r="Q313" s="217" t="s">
        <v>600</v>
      </c>
      <c r="R313" s="208" t="s">
        <v>513</v>
      </c>
    </row>
    <row r="314" spans="1:18" x14ac:dyDescent="0.25">
      <c r="A314" s="244" t="s">
        <v>639</v>
      </c>
      <c r="B314" s="296">
        <v>0</v>
      </c>
      <c r="C314" s="308" t="s">
        <v>88</v>
      </c>
      <c r="D314" s="307" t="s">
        <v>90</v>
      </c>
      <c r="E314" s="307" t="s">
        <v>90</v>
      </c>
      <c r="F314" s="307" t="s">
        <v>90</v>
      </c>
      <c r="G314" s="310" t="s">
        <v>90</v>
      </c>
      <c r="H314" s="315">
        <v>105</v>
      </c>
      <c r="I314" s="295"/>
      <c r="J314" s="296"/>
      <c r="K314" s="295"/>
      <c r="L314" s="296"/>
      <c r="M314" s="299"/>
      <c r="N314" s="295"/>
      <c r="O314" s="297"/>
      <c r="P314" s="298"/>
      <c r="Q314" s="300"/>
      <c r="R314" s="55"/>
    </row>
    <row r="315" spans="1:18" ht="30" x14ac:dyDescent="0.25">
      <c r="A315" s="244" t="s">
        <v>640</v>
      </c>
      <c r="B315" s="296">
        <v>0</v>
      </c>
      <c r="C315" s="308" t="s">
        <v>88</v>
      </c>
      <c r="D315" s="307" t="s">
        <v>90</v>
      </c>
      <c r="E315" s="307" t="s">
        <v>90</v>
      </c>
      <c r="F315" s="307" t="s">
        <v>90</v>
      </c>
      <c r="G315" s="310" t="s">
        <v>90</v>
      </c>
      <c r="H315" s="315">
        <v>4</v>
      </c>
      <c r="I315" s="400"/>
      <c r="J315" s="398"/>
      <c r="K315" s="400"/>
      <c r="L315" s="398"/>
      <c r="M315" s="299"/>
      <c r="N315" s="295"/>
      <c r="O315" s="297"/>
      <c r="P315" s="298"/>
      <c r="Q315" s="300"/>
      <c r="R315" s="55"/>
    </row>
    <row r="316" spans="1:18" x14ac:dyDescent="0.25">
      <c r="A316" s="244" t="s">
        <v>641</v>
      </c>
      <c r="B316" s="296">
        <v>0</v>
      </c>
      <c r="C316" s="308" t="s">
        <v>88</v>
      </c>
      <c r="D316" s="307" t="s">
        <v>90</v>
      </c>
      <c r="E316" s="307" t="s">
        <v>90</v>
      </c>
      <c r="F316" s="307" t="s">
        <v>90</v>
      </c>
      <c r="G316" s="310" t="s">
        <v>90</v>
      </c>
      <c r="H316" s="315">
        <v>425</v>
      </c>
      <c r="I316" s="400" t="s">
        <v>130</v>
      </c>
      <c r="J316" s="398" t="s">
        <v>263</v>
      </c>
      <c r="K316" s="400" t="s">
        <v>131</v>
      </c>
      <c r="L316" s="398" t="s">
        <v>90</v>
      </c>
      <c r="M316" s="361">
        <v>100</v>
      </c>
      <c r="N316" s="360" t="s">
        <v>355</v>
      </c>
      <c r="O316" s="297"/>
      <c r="P316" s="298"/>
      <c r="Q316" s="300"/>
      <c r="R316" s="55"/>
    </row>
    <row r="317" spans="1:18" ht="30" x14ac:dyDescent="0.25">
      <c r="A317" s="244" t="s">
        <v>642</v>
      </c>
      <c r="B317" s="296">
        <v>0</v>
      </c>
      <c r="C317" s="308" t="s">
        <v>88</v>
      </c>
      <c r="D317" s="307" t="s">
        <v>90</v>
      </c>
      <c r="E317" s="307" t="s">
        <v>90</v>
      </c>
      <c r="F317" s="307" t="s">
        <v>90</v>
      </c>
      <c r="G317" s="310" t="s">
        <v>90</v>
      </c>
      <c r="H317" s="315">
        <v>222</v>
      </c>
      <c r="I317" s="400" t="s">
        <v>130</v>
      </c>
      <c r="J317" s="398" t="s">
        <v>263</v>
      </c>
      <c r="K317" s="400" t="s">
        <v>131</v>
      </c>
      <c r="L317" s="398" t="s">
        <v>90</v>
      </c>
      <c r="M317" s="361">
        <v>150</v>
      </c>
      <c r="N317" s="295" t="s">
        <v>355</v>
      </c>
      <c r="O317" s="297"/>
      <c r="P317" s="298"/>
      <c r="Q317" s="300"/>
      <c r="R317" s="55"/>
    </row>
    <row r="318" spans="1:18" ht="30" x14ac:dyDescent="0.25">
      <c r="A318" s="244" t="s">
        <v>643</v>
      </c>
      <c r="B318" s="296">
        <v>0</v>
      </c>
      <c r="C318" s="308" t="s">
        <v>88</v>
      </c>
      <c r="D318" s="307" t="s">
        <v>90</v>
      </c>
      <c r="E318" s="307" t="s">
        <v>90</v>
      </c>
      <c r="F318" s="307" t="s">
        <v>90</v>
      </c>
      <c r="G318" s="310" t="s">
        <v>90</v>
      </c>
      <c r="H318" s="315">
        <v>100</v>
      </c>
      <c r="I318" s="400"/>
      <c r="J318" s="398"/>
      <c r="K318" s="400"/>
      <c r="L318" s="398"/>
      <c r="M318" s="299"/>
      <c r="N318" s="295"/>
      <c r="O318" s="297"/>
      <c r="P318" s="298"/>
      <c r="Q318" s="300"/>
      <c r="R318" s="55"/>
    </row>
    <row r="319" spans="1:18" x14ac:dyDescent="0.25">
      <c r="A319" s="244" t="s">
        <v>644</v>
      </c>
      <c r="B319" s="296">
        <v>0</v>
      </c>
      <c r="C319" s="308" t="s">
        <v>88</v>
      </c>
      <c r="D319" s="307" t="s">
        <v>90</v>
      </c>
      <c r="E319" s="307" t="s">
        <v>90</v>
      </c>
      <c r="F319" s="307" t="s">
        <v>90</v>
      </c>
      <c r="G319" s="310" t="s">
        <v>90</v>
      </c>
      <c r="H319" s="315">
        <v>21</v>
      </c>
      <c r="I319" s="400"/>
      <c r="J319" s="398"/>
      <c r="K319" s="400"/>
      <c r="L319" s="398"/>
      <c r="M319" s="299"/>
      <c r="N319" s="295"/>
      <c r="O319" s="297"/>
      <c r="P319" s="298"/>
      <c r="Q319" s="300"/>
      <c r="R319" s="55"/>
    </row>
    <row r="320" spans="1:18" x14ac:dyDescent="0.25">
      <c r="A320" s="244" t="s">
        <v>645</v>
      </c>
      <c r="B320" s="296">
        <v>0</v>
      </c>
      <c r="C320" s="308" t="s">
        <v>88</v>
      </c>
      <c r="D320" s="307" t="s">
        <v>90</v>
      </c>
      <c r="E320" s="307" t="s">
        <v>90</v>
      </c>
      <c r="F320" s="307" t="s">
        <v>90</v>
      </c>
      <c r="G320" s="310" t="s">
        <v>90</v>
      </c>
      <c r="H320" s="315">
        <v>23</v>
      </c>
      <c r="I320" s="400"/>
      <c r="J320" s="398"/>
      <c r="K320" s="400"/>
      <c r="L320" s="398"/>
      <c r="M320" s="299"/>
      <c r="N320" s="295"/>
      <c r="O320" s="297"/>
      <c r="P320" s="298"/>
      <c r="Q320" s="300"/>
      <c r="R320" s="55"/>
    </row>
    <row r="321" spans="1:18" x14ac:dyDescent="0.25">
      <c r="A321" s="244" t="s">
        <v>646</v>
      </c>
      <c r="B321" s="296">
        <v>0</v>
      </c>
      <c r="C321" s="308" t="s">
        <v>88</v>
      </c>
      <c r="D321" s="307" t="s">
        <v>90</v>
      </c>
      <c r="E321" s="307" t="s">
        <v>90</v>
      </c>
      <c r="F321" s="307" t="s">
        <v>90</v>
      </c>
      <c r="G321" s="310" t="s">
        <v>90</v>
      </c>
      <c r="H321" s="315">
        <v>5</v>
      </c>
      <c r="I321" s="400"/>
      <c r="J321" s="398"/>
      <c r="K321" s="400"/>
      <c r="L321" s="398"/>
      <c r="M321" s="299"/>
      <c r="N321" s="295"/>
      <c r="O321" s="297"/>
      <c r="P321" s="298"/>
      <c r="Q321" s="300"/>
      <c r="R321" s="55"/>
    </row>
    <row r="322" spans="1:18" ht="30" x14ac:dyDescent="0.25">
      <c r="A322" s="244" t="s">
        <v>647</v>
      </c>
      <c r="B322" s="296">
        <v>0</v>
      </c>
      <c r="C322" s="308" t="s">
        <v>88</v>
      </c>
      <c r="D322" s="307" t="s">
        <v>90</v>
      </c>
      <c r="E322" s="307" t="s">
        <v>90</v>
      </c>
      <c r="F322" s="307" t="s">
        <v>90</v>
      </c>
      <c r="G322" s="310" t="s">
        <v>90</v>
      </c>
      <c r="H322" s="315">
        <v>117</v>
      </c>
      <c r="I322" s="400" t="s">
        <v>130</v>
      </c>
      <c r="J322" s="400" t="s">
        <v>133</v>
      </c>
      <c r="K322" s="400" t="s">
        <v>131</v>
      </c>
      <c r="L322" s="400" t="s">
        <v>90</v>
      </c>
      <c r="M322" s="299">
        <v>117</v>
      </c>
      <c r="N322" s="295"/>
      <c r="O322" s="297"/>
      <c r="P322" s="298"/>
      <c r="Q322" s="300"/>
      <c r="R322" s="55"/>
    </row>
    <row r="323" spans="1:18" ht="30" x14ac:dyDescent="0.25">
      <c r="A323" s="244" t="s">
        <v>648</v>
      </c>
      <c r="B323" s="296">
        <v>0</v>
      </c>
      <c r="C323" s="308" t="s">
        <v>88</v>
      </c>
      <c r="D323" s="307" t="s">
        <v>90</v>
      </c>
      <c r="E323" s="307" t="s">
        <v>90</v>
      </c>
      <c r="F323" s="307" t="s">
        <v>90</v>
      </c>
      <c r="G323" s="310" t="s">
        <v>90</v>
      </c>
      <c r="H323" s="315">
        <v>33</v>
      </c>
      <c r="I323" s="400"/>
      <c r="J323" s="398"/>
      <c r="K323" s="400"/>
      <c r="L323" s="398"/>
      <c r="M323" s="299"/>
      <c r="N323" s="295"/>
      <c r="O323" s="297"/>
      <c r="P323" s="298"/>
      <c r="Q323" s="300"/>
      <c r="R323" s="55"/>
    </row>
    <row r="324" spans="1:18" ht="30" x14ac:dyDescent="0.25">
      <c r="A324" s="244" t="s">
        <v>649</v>
      </c>
      <c r="B324" s="296">
        <v>0</v>
      </c>
      <c r="C324" s="308" t="s">
        <v>88</v>
      </c>
      <c r="D324" s="307" t="s">
        <v>90</v>
      </c>
      <c r="E324" s="307" t="s">
        <v>90</v>
      </c>
      <c r="F324" s="307" t="s">
        <v>90</v>
      </c>
      <c r="G324" s="310" t="s">
        <v>90</v>
      </c>
      <c r="H324" s="315">
        <v>102</v>
      </c>
      <c r="I324" s="400" t="s">
        <v>130</v>
      </c>
      <c r="J324" s="400" t="s">
        <v>133</v>
      </c>
      <c r="K324" s="400" t="s">
        <v>131</v>
      </c>
      <c r="L324" s="400" t="s">
        <v>90</v>
      </c>
      <c r="M324" s="404">
        <f>75.3+26.259103</f>
        <v>101.55910299999999</v>
      </c>
      <c r="N324" s="60"/>
      <c r="O324" s="60"/>
      <c r="P324" s="60"/>
      <c r="Q324" s="60"/>
      <c r="R324" s="6"/>
    </row>
    <row r="325" spans="1:18" ht="30.75" thickBot="1" x14ac:dyDescent="0.3">
      <c r="A325" s="301" t="s">
        <v>650</v>
      </c>
      <c r="B325" s="294">
        <v>0</v>
      </c>
      <c r="C325" s="308" t="s">
        <v>88</v>
      </c>
      <c r="D325" s="307" t="s">
        <v>90</v>
      </c>
      <c r="E325" s="307" t="s">
        <v>90</v>
      </c>
      <c r="F325" s="307" t="s">
        <v>90</v>
      </c>
      <c r="G325" s="310" t="s">
        <v>90</v>
      </c>
      <c r="H325" s="314">
        <v>39</v>
      </c>
      <c r="I325" s="44"/>
      <c r="J325" s="44"/>
      <c r="K325" s="44"/>
      <c r="L325" s="44"/>
      <c r="M325" s="44"/>
      <c r="N325" s="44"/>
      <c r="O325" s="44"/>
      <c r="P325" s="44"/>
      <c r="Q325" s="44"/>
      <c r="R325" s="42"/>
    </row>
    <row r="326" spans="1:18" ht="15.75" thickBot="1" x14ac:dyDescent="0.3">
      <c r="A326" s="64" t="s">
        <v>331</v>
      </c>
      <c r="B326" s="85">
        <f>SUM(B4:B325)</f>
        <v>234270</v>
      </c>
      <c r="C326" s="65"/>
      <c r="D326" s="65"/>
      <c r="E326" s="65"/>
      <c r="F326" s="65"/>
      <c r="G326" s="66">
        <f>SUM(G4:G325)</f>
        <v>113011.999396</v>
      </c>
      <c r="H326" s="85">
        <f>SUM(H4:H325)</f>
        <v>60252</v>
      </c>
      <c r="I326" s="65"/>
      <c r="J326" s="65"/>
      <c r="K326" s="65"/>
      <c r="L326" s="195"/>
      <c r="M326" s="66">
        <f>SUM(M4:M325)</f>
        <v>18816.067273999994</v>
      </c>
      <c r="N326" s="65"/>
      <c r="O326" s="65"/>
      <c r="P326" s="65"/>
      <c r="Q326" s="65"/>
      <c r="R326" s="67"/>
    </row>
    <row r="327" spans="1:18" ht="15.75" thickBot="1" x14ac:dyDescent="0.3">
      <c r="A327" s="22" t="s">
        <v>485</v>
      </c>
      <c r="B327" s="80"/>
      <c r="C327" s="19"/>
      <c r="D327" s="19"/>
      <c r="E327" s="19"/>
      <c r="F327" s="19"/>
      <c r="G327" s="36">
        <f>SUMIF(C4:C325,"*Supp A*",G4:G325)</f>
        <v>77334.329612999994</v>
      </c>
      <c r="H327" s="80"/>
      <c r="I327" s="19"/>
      <c r="J327" s="19"/>
      <c r="K327" s="19"/>
      <c r="L327" s="19"/>
      <c r="M327" s="292" t="s">
        <v>90</v>
      </c>
      <c r="N327" s="19"/>
      <c r="O327" s="19"/>
      <c r="P327" s="19"/>
      <c r="Q327" s="19"/>
      <c r="R327" s="20"/>
    </row>
    <row r="328" spans="1:18" ht="15.75" thickBot="1" x14ac:dyDescent="0.3">
      <c r="A328" s="68" t="s">
        <v>486</v>
      </c>
      <c r="B328" s="80"/>
      <c r="C328" s="69"/>
      <c r="D328" s="69"/>
      <c r="E328" s="69"/>
      <c r="F328" s="69"/>
      <c r="G328" s="70">
        <f>SUMIF(C4:C325,"*Supp B*",G4:G325)</f>
        <v>36072.668049000007</v>
      </c>
      <c r="H328" s="80"/>
      <c r="I328" s="69"/>
      <c r="J328" s="69"/>
      <c r="K328" s="69"/>
      <c r="L328" s="69"/>
      <c r="M328" s="292" t="s">
        <v>90</v>
      </c>
      <c r="N328" s="69"/>
      <c r="O328" s="69"/>
      <c r="P328" s="69"/>
      <c r="Q328" s="69"/>
      <c r="R328" s="71"/>
    </row>
    <row r="329" spans="1:18" ht="15.75" thickBot="1" x14ac:dyDescent="0.3">
      <c r="A329" s="68" t="s">
        <v>487</v>
      </c>
      <c r="B329" s="80"/>
      <c r="C329" s="69"/>
      <c r="D329" s="69"/>
      <c r="E329" s="69"/>
      <c r="F329" s="69"/>
      <c r="G329" s="70">
        <f>SUMIF(C5:C325,"*Supp C*",G5:G325)</f>
        <v>-394.99826600000245</v>
      </c>
      <c r="H329" s="80"/>
      <c r="I329" s="69"/>
      <c r="J329" s="69"/>
      <c r="K329" s="69"/>
      <c r="L329" s="69"/>
      <c r="M329" s="292" t="s">
        <v>90</v>
      </c>
      <c r="N329" s="69"/>
      <c r="O329" s="69"/>
      <c r="P329" s="69"/>
      <c r="Q329" s="69"/>
      <c r="R329" s="71"/>
    </row>
    <row r="330" spans="1:18" ht="15.75" thickBot="1" x14ac:dyDescent="0.3">
      <c r="A330" s="64" t="s">
        <v>488</v>
      </c>
      <c r="B330" s="65"/>
      <c r="C330" s="65"/>
      <c r="D330" s="65"/>
      <c r="E330" s="65"/>
      <c r="F330" s="65"/>
      <c r="G330" s="292" t="s">
        <v>90</v>
      </c>
      <c r="H330" s="65"/>
      <c r="I330" s="65"/>
      <c r="J330" s="65"/>
      <c r="K330" s="65"/>
      <c r="L330" s="65"/>
      <c r="M330" s="66">
        <f>SUMIF(I4:I325,"*Budget principal*",M4:M325)</f>
        <v>12366.440100999993</v>
      </c>
      <c r="N330" s="65"/>
      <c r="O330" s="65"/>
      <c r="P330" s="65"/>
      <c r="Q330" s="65"/>
      <c r="R330" s="67"/>
    </row>
    <row r="331" spans="1:18" ht="15.75" thickBot="1" x14ac:dyDescent="0.3">
      <c r="A331" s="22" t="s">
        <v>612</v>
      </c>
      <c r="B331" s="19"/>
      <c r="C331" s="19"/>
      <c r="D331" s="19"/>
      <c r="E331" s="19"/>
      <c r="F331" s="19"/>
      <c r="G331" s="293" t="s">
        <v>90</v>
      </c>
      <c r="H331" s="19"/>
      <c r="I331" s="19"/>
      <c r="J331" s="19"/>
      <c r="K331" s="19"/>
      <c r="L331" s="19"/>
      <c r="M331" s="36">
        <f>SUMIF(I4:I313,"*Supp Al*",M4:M313)</f>
        <v>0</v>
      </c>
      <c r="N331" s="19"/>
      <c r="O331" s="19"/>
      <c r="P331" s="19"/>
      <c r="Q331" s="19"/>
      <c r="R331" s="20"/>
    </row>
    <row r="333" spans="1:18" ht="17.25" x14ac:dyDescent="0.25">
      <c r="A333" s="91" t="s">
        <v>629</v>
      </c>
    </row>
    <row r="334" spans="1:18" s="194" customFormat="1" x14ac:dyDescent="0.25">
      <c r="A334" s="91" t="s">
        <v>501</v>
      </c>
    </row>
    <row r="335" spans="1:18" x14ac:dyDescent="0.25">
      <c r="A335" t="s">
        <v>370</v>
      </c>
    </row>
    <row r="336" spans="1:18" x14ac:dyDescent="0.25">
      <c r="A336" t="s">
        <v>631</v>
      </c>
    </row>
    <row r="337" spans="1:1" x14ac:dyDescent="0.25">
      <c r="A337" t="s">
        <v>470</v>
      </c>
    </row>
    <row r="338" spans="1:1" x14ac:dyDescent="0.25">
      <c r="A338" t="s">
        <v>469</v>
      </c>
    </row>
  </sheetData>
  <mergeCells count="791">
    <mergeCell ref="M23:M26"/>
    <mergeCell ref="I23:I26"/>
    <mergeCell ref="J23:J26"/>
    <mergeCell ref="I198:I199"/>
    <mergeCell ref="M280:M283"/>
    <mergeCell ref="M198:M199"/>
    <mergeCell ref="M97:M101"/>
    <mergeCell ref="I97:I101"/>
    <mergeCell ref="J97:J101"/>
    <mergeCell ref="K97:K101"/>
    <mergeCell ref="L97:L101"/>
    <mergeCell ref="M104:M105"/>
    <mergeCell ref="I104:I105"/>
    <mergeCell ref="J104:J105"/>
    <mergeCell ref="M55:M65"/>
    <mergeCell ref="I55:I65"/>
    <mergeCell ref="J55:J65"/>
    <mergeCell ref="K55:K65"/>
    <mergeCell ref="L55:L65"/>
    <mergeCell ref="M69:M70"/>
    <mergeCell ref="I69:I70"/>
    <mergeCell ref="J69:J70"/>
    <mergeCell ref="J130:J135"/>
    <mergeCell ref="K130:K135"/>
    <mergeCell ref="Q275:Q276"/>
    <mergeCell ref="N230:N233"/>
    <mergeCell ref="O230:O233"/>
    <mergeCell ref="P230:P233"/>
    <mergeCell ref="R224:R225"/>
    <mergeCell ref="N224:N225"/>
    <mergeCell ref="O224:O225"/>
    <mergeCell ref="P224:P225"/>
    <mergeCell ref="Q224:Q225"/>
    <mergeCell ref="Q238:Q241"/>
    <mergeCell ref="R238:R241"/>
    <mergeCell ref="Q230:Q233"/>
    <mergeCell ref="P238:P241"/>
    <mergeCell ref="N226:N229"/>
    <mergeCell ref="Q246:Q247"/>
    <mergeCell ref="O275:O276"/>
    <mergeCell ref="P275:P276"/>
    <mergeCell ref="N255:N259"/>
    <mergeCell ref="O255:O259"/>
    <mergeCell ref="O244:O245"/>
    <mergeCell ref="A175:A177"/>
    <mergeCell ref="B175:B177"/>
    <mergeCell ref="C175:C177"/>
    <mergeCell ref="D175:D177"/>
    <mergeCell ref="E175:E177"/>
    <mergeCell ref="F175:F177"/>
    <mergeCell ref="G175:G177"/>
    <mergeCell ref="A136:A139"/>
    <mergeCell ref="B136:B139"/>
    <mergeCell ref="A141:A150"/>
    <mergeCell ref="B141:B150"/>
    <mergeCell ref="E83:E85"/>
    <mergeCell ref="F83:F85"/>
    <mergeCell ref="G83:G85"/>
    <mergeCell ref="A127:A129"/>
    <mergeCell ref="B127:B129"/>
    <mergeCell ref="C127:C129"/>
    <mergeCell ref="D127:D129"/>
    <mergeCell ref="E127:E129"/>
    <mergeCell ref="F127:F129"/>
    <mergeCell ref="G127:G129"/>
    <mergeCell ref="C86:C87"/>
    <mergeCell ref="E86:E87"/>
    <mergeCell ref="F86:F87"/>
    <mergeCell ref="G86:G87"/>
    <mergeCell ref="C88:C90"/>
    <mergeCell ref="A104:A105"/>
    <mergeCell ref="A112:A114"/>
    <mergeCell ref="B112:B114"/>
    <mergeCell ref="B104:B105"/>
    <mergeCell ref="A97:A101"/>
    <mergeCell ref="B253:B254"/>
    <mergeCell ref="N15:N65"/>
    <mergeCell ref="O15:O65"/>
    <mergeCell ref="O97:O101"/>
    <mergeCell ref="N97:N101"/>
    <mergeCell ref="B97:B101"/>
    <mergeCell ref="Q104:Q105"/>
    <mergeCell ref="R104:R105"/>
    <mergeCell ref="Q97:Q101"/>
    <mergeCell ref="R123:R126"/>
    <mergeCell ref="P97:P101"/>
    <mergeCell ref="P104:P105"/>
    <mergeCell ref="R97:R101"/>
    <mergeCell ref="O242:O243"/>
    <mergeCell ref="R242:R243"/>
    <mergeCell ref="O226:O229"/>
    <mergeCell ref="K23:K26"/>
    <mergeCell ref="L23:L26"/>
    <mergeCell ref="F81:F82"/>
    <mergeCell ref="G81:G82"/>
    <mergeCell ref="C75:C77"/>
    <mergeCell ref="D75:D77"/>
    <mergeCell ref="E75:E77"/>
    <mergeCell ref="F75:F77"/>
    <mergeCell ref="B255:B259"/>
    <mergeCell ref="A224:A250"/>
    <mergeCell ref="B224:B250"/>
    <mergeCell ref="J238:J241"/>
    <mergeCell ref="K238:K241"/>
    <mergeCell ref="L238:L241"/>
    <mergeCell ref="M242:M243"/>
    <mergeCell ref="I242:I243"/>
    <mergeCell ref="J242:J243"/>
    <mergeCell ref="K242:K243"/>
    <mergeCell ref="L242:L243"/>
    <mergeCell ref="M244:M245"/>
    <mergeCell ref="I244:I245"/>
    <mergeCell ref="J244:J245"/>
    <mergeCell ref="K244:K245"/>
    <mergeCell ref="L244:L245"/>
    <mergeCell ref="M253:M254"/>
    <mergeCell ref="M226:M229"/>
    <mergeCell ref="I226:I229"/>
    <mergeCell ref="J226:J229"/>
    <mergeCell ref="K226:K229"/>
    <mergeCell ref="L226:L229"/>
    <mergeCell ref="M224:M225"/>
    <mergeCell ref="I224:I225"/>
    <mergeCell ref="A178:A182"/>
    <mergeCell ref="N178:N182"/>
    <mergeCell ref="O178:O182"/>
    <mergeCell ref="P178:P182"/>
    <mergeCell ref="Q181:Q182"/>
    <mergeCell ref="R198:R199"/>
    <mergeCell ref="A200:A203"/>
    <mergeCell ref="R253:R254"/>
    <mergeCell ref="B200:B203"/>
    <mergeCell ref="P242:P243"/>
    <mergeCell ref="Q242:Q243"/>
    <mergeCell ref="N242:N243"/>
    <mergeCell ref="N246:N247"/>
    <mergeCell ref="Q183:Q185"/>
    <mergeCell ref="P195:P197"/>
    <mergeCell ref="Q195:Q197"/>
    <mergeCell ref="R195:R197"/>
    <mergeCell ref="A205:A209"/>
    <mergeCell ref="B205:B209"/>
    <mergeCell ref="N205:N208"/>
    <mergeCell ref="O205:O208"/>
    <mergeCell ref="P205:P208"/>
    <mergeCell ref="A253:A254"/>
    <mergeCell ref="N244:N245"/>
    <mergeCell ref="Q23:Q26"/>
    <mergeCell ref="R23:R26"/>
    <mergeCell ref="Q27:Q37"/>
    <mergeCell ref="R27:R37"/>
    <mergeCell ref="Q38:Q47"/>
    <mergeCell ref="P72:P74"/>
    <mergeCell ref="Q72:Q74"/>
    <mergeCell ref="R38:R47"/>
    <mergeCell ref="Q48:Q54"/>
    <mergeCell ref="R48:R54"/>
    <mergeCell ref="Q55:Q65"/>
    <mergeCell ref="R55:R65"/>
    <mergeCell ref="Q69:Q70"/>
    <mergeCell ref="N104:N105"/>
    <mergeCell ref="O104:O105"/>
    <mergeCell ref="A198:A199"/>
    <mergeCell ref="N198:N199"/>
    <mergeCell ref="O198:O199"/>
    <mergeCell ref="P198:P199"/>
    <mergeCell ref="Q198:Q199"/>
    <mergeCell ref="B198:B199"/>
    <mergeCell ref="A130:A135"/>
    <mergeCell ref="N130:N135"/>
    <mergeCell ref="O130:O135"/>
    <mergeCell ref="P130:P135"/>
    <mergeCell ref="B130:B135"/>
    <mergeCell ref="Q178:Q180"/>
    <mergeCell ref="N146:N147"/>
    <mergeCell ref="O146:O147"/>
    <mergeCell ref="P146:P147"/>
    <mergeCell ref="Q146:Q147"/>
    <mergeCell ref="A123:A126"/>
    <mergeCell ref="N123:N126"/>
    <mergeCell ref="O123:O126"/>
    <mergeCell ref="P123:P126"/>
    <mergeCell ref="Q123:Q126"/>
    <mergeCell ref="N136:N139"/>
    <mergeCell ref="P285:P296"/>
    <mergeCell ref="P299:P300"/>
    <mergeCell ref="R272:R274"/>
    <mergeCell ref="B260:B262"/>
    <mergeCell ref="A260:A262"/>
    <mergeCell ref="N260:N262"/>
    <mergeCell ref="O260:O262"/>
    <mergeCell ref="A210:A215"/>
    <mergeCell ref="B210:B215"/>
    <mergeCell ref="R230:R233"/>
    <mergeCell ref="P236:P237"/>
    <mergeCell ref="Q236:Q237"/>
    <mergeCell ref="R236:R237"/>
    <mergeCell ref="P255:P259"/>
    <mergeCell ref="Q255:Q259"/>
    <mergeCell ref="R255:R259"/>
    <mergeCell ref="P272:P274"/>
    <mergeCell ref="N236:N237"/>
    <mergeCell ref="O236:O237"/>
    <mergeCell ref="N253:N254"/>
    <mergeCell ref="O253:O254"/>
    <mergeCell ref="N238:N241"/>
    <mergeCell ref="O238:O241"/>
    <mergeCell ref="A255:A259"/>
    <mergeCell ref="B272:B274"/>
    <mergeCell ref="N272:N274"/>
    <mergeCell ref="O272:O274"/>
    <mergeCell ref="B310:B312"/>
    <mergeCell ref="A306:A309"/>
    <mergeCell ref="B306:B309"/>
    <mergeCell ref="N306:N309"/>
    <mergeCell ref="O306:O309"/>
    <mergeCell ref="B285:B296"/>
    <mergeCell ref="A285:A296"/>
    <mergeCell ref="N285:N296"/>
    <mergeCell ref="O285:O296"/>
    <mergeCell ref="A299:A300"/>
    <mergeCell ref="B299:B300"/>
    <mergeCell ref="N299:N300"/>
    <mergeCell ref="O299:O300"/>
    <mergeCell ref="A310:A312"/>
    <mergeCell ref="C310:C312"/>
    <mergeCell ref="B275:B277"/>
    <mergeCell ref="A272:A274"/>
    <mergeCell ref="I280:I283"/>
    <mergeCell ref="J280:J283"/>
    <mergeCell ref="K280:K283"/>
    <mergeCell ref="L280:L283"/>
    <mergeCell ref="Q285:Q296"/>
    <mergeCell ref="R285:R296"/>
    <mergeCell ref="P244:P245"/>
    <mergeCell ref="Q244:Q245"/>
    <mergeCell ref="R244:R245"/>
    <mergeCell ref="A280:A283"/>
    <mergeCell ref="B280:B283"/>
    <mergeCell ref="N280:N283"/>
    <mergeCell ref="O280:O283"/>
    <mergeCell ref="R260:R262"/>
    <mergeCell ref="A275:A277"/>
    <mergeCell ref="P280:P283"/>
    <mergeCell ref="Q280:Q283"/>
    <mergeCell ref="R280:R283"/>
    <mergeCell ref="P253:P254"/>
    <mergeCell ref="Q253:Q254"/>
    <mergeCell ref="R246:R247"/>
    <mergeCell ref="P260:P262"/>
    <mergeCell ref="Q260:Q262"/>
    <mergeCell ref="Q272:Q274"/>
    <mergeCell ref="R275:R276"/>
    <mergeCell ref="O246:O247"/>
    <mergeCell ref="P246:P247"/>
    <mergeCell ref="N275:N276"/>
    <mergeCell ref="O136:O139"/>
    <mergeCell ref="P136:P139"/>
    <mergeCell ref="Q136:Q139"/>
    <mergeCell ref="P175:P177"/>
    <mergeCell ref="Q175:Q177"/>
    <mergeCell ref="N219:N221"/>
    <mergeCell ref="O219:O221"/>
    <mergeCell ref="P219:P221"/>
    <mergeCell ref="N200:N203"/>
    <mergeCell ref="O200:O203"/>
    <mergeCell ref="P200:P203"/>
    <mergeCell ref="Q200:Q203"/>
    <mergeCell ref="Q189:Q190"/>
    <mergeCell ref="N175:N177"/>
    <mergeCell ref="O175:O177"/>
    <mergeCell ref="Q148:Q149"/>
    <mergeCell ref="N210:N214"/>
    <mergeCell ref="O210:O214"/>
    <mergeCell ref="P210:P214"/>
    <mergeCell ref="J113:J114"/>
    <mergeCell ref="K113:K114"/>
    <mergeCell ref="L113:L114"/>
    <mergeCell ref="M113:M114"/>
    <mergeCell ref="R136:R139"/>
    <mergeCell ref="A161:A167"/>
    <mergeCell ref="A169:A174"/>
    <mergeCell ref="N169:N174"/>
    <mergeCell ref="O169:O174"/>
    <mergeCell ref="P169:P174"/>
    <mergeCell ref="A153:A160"/>
    <mergeCell ref="N153:N160"/>
    <mergeCell ref="O153:O160"/>
    <mergeCell ref="P153:P160"/>
    <mergeCell ref="B153:B160"/>
    <mergeCell ref="B161:B167"/>
    <mergeCell ref="B169:B174"/>
    <mergeCell ref="Q169:Q174"/>
    <mergeCell ref="R169:R174"/>
    <mergeCell ref="R141:R143"/>
    <mergeCell ref="N141:N143"/>
    <mergeCell ref="O141:O143"/>
    <mergeCell ref="P141:P143"/>
    <mergeCell ref="Q141:Q143"/>
    <mergeCell ref="R148:R149"/>
    <mergeCell ref="N148:N149"/>
    <mergeCell ref="O148:O149"/>
    <mergeCell ref="P148:P149"/>
    <mergeCell ref="R106:R109"/>
    <mergeCell ref="R112:R114"/>
    <mergeCell ref="R115:R119"/>
    <mergeCell ref="R146:R147"/>
    <mergeCell ref="A106:A110"/>
    <mergeCell ref="B106:B110"/>
    <mergeCell ref="B123:B126"/>
    <mergeCell ref="Q106:Q109"/>
    <mergeCell ref="A115:A119"/>
    <mergeCell ref="B115:B119"/>
    <mergeCell ref="N115:N119"/>
    <mergeCell ref="O115:O119"/>
    <mergeCell ref="N127:N129"/>
    <mergeCell ref="P115:P119"/>
    <mergeCell ref="O127:O129"/>
    <mergeCell ref="P127:P129"/>
    <mergeCell ref="Q127:Q129"/>
    <mergeCell ref="R127:R129"/>
    <mergeCell ref="Q112:Q114"/>
    <mergeCell ref="I130:I135"/>
    <mergeCell ref="B178:B182"/>
    <mergeCell ref="P183:P185"/>
    <mergeCell ref="R178:R180"/>
    <mergeCell ref="M178:M182"/>
    <mergeCell ref="I178:I182"/>
    <mergeCell ref="J178:J182"/>
    <mergeCell ref="K178:K182"/>
    <mergeCell ref="L178:L182"/>
    <mergeCell ref="K183:K185"/>
    <mergeCell ref="L183:L185"/>
    <mergeCell ref="R186:R188"/>
    <mergeCell ref="R189:R190"/>
    <mergeCell ref="R219:R221"/>
    <mergeCell ref="Q153:Q154"/>
    <mergeCell ref="R153:R154"/>
    <mergeCell ref="Q155:Q158"/>
    <mergeCell ref="R155:R158"/>
    <mergeCell ref="Q159:Q160"/>
    <mergeCell ref="R159:R160"/>
    <mergeCell ref="R181:R182"/>
    <mergeCell ref="R183:R185"/>
    <mergeCell ref="Q186:Q188"/>
    <mergeCell ref="Q205:Q208"/>
    <mergeCell ref="R205:R208"/>
    <mergeCell ref="Q219:Q221"/>
    <mergeCell ref="R175:R177"/>
    <mergeCell ref="Q191:Q194"/>
    <mergeCell ref="R191:R194"/>
    <mergeCell ref="R200:R203"/>
    <mergeCell ref="Q210:Q214"/>
    <mergeCell ref="R210:R214"/>
    <mergeCell ref="A267:A271"/>
    <mergeCell ref="B267:B271"/>
    <mergeCell ref="N267:N270"/>
    <mergeCell ref="O267:O270"/>
    <mergeCell ref="P267:P270"/>
    <mergeCell ref="Q267:Q270"/>
    <mergeCell ref="R267:R270"/>
    <mergeCell ref="A219:A222"/>
    <mergeCell ref="B219:B222"/>
    <mergeCell ref="P226:P229"/>
    <mergeCell ref="Q226:Q229"/>
    <mergeCell ref="R226:R229"/>
    <mergeCell ref="M230:M233"/>
    <mergeCell ref="I230:I233"/>
    <mergeCell ref="J230:J233"/>
    <mergeCell ref="K230:K233"/>
    <mergeCell ref="L230:L233"/>
    <mergeCell ref="M236:M237"/>
    <mergeCell ref="I236:I237"/>
    <mergeCell ref="J236:J237"/>
    <mergeCell ref="K236:K237"/>
    <mergeCell ref="L236:L237"/>
    <mergeCell ref="M238:M241"/>
    <mergeCell ref="I238:I241"/>
    <mergeCell ref="A195:A197"/>
    <mergeCell ref="A183:A194"/>
    <mergeCell ref="B183:B194"/>
    <mergeCell ref="O186:O194"/>
    <mergeCell ref="P186:P194"/>
    <mergeCell ref="N183:N185"/>
    <mergeCell ref="O183:O185"/>
    <mergeCell ref="B195:B197"/>
    <mergeCell ref="N195:N197"/>
    <mergeCell ref="O195:O197"/>
    <mergeCell ref="M186:M194"/>
    <mergeCell ref="I186:I194"/>
    <mergeCell ref="J186:J194"/>
    <mergeCell ref="K186:K194"/>
    <mergeCell ref="L186:L194"/>
    <mergeCell ref="I196:I197"/>
    <mergeCell ref="J196:J197"/>
    <mergeCell ref="K196:K197"/>
    <mergeCell ref="L196:L197"/>
    <mergeCell ref="M196:M197"/>
    <mergeCell ref="N186:N194"/>
    <mergeCell ref="M183:M185"/>
    <mergeCell ref="I183:I185"/>
    <mergeCell ref="J183:J185"/>
    <mergeCell ref="C294:C296"/>
    <mergeCell ref="D294:D296"/>
    <mergeCell ref="E294:E296"/>
    <mergeCell ref="F294:F296"/>
    <mergeCell ref="G294:G296"/>
    <mergeCell ref="C290:C291"/>
    <mergeCell ref="D290:D291"/>
    <mergeCell ref="E290:E291"/>
    <mergeCell ref="F290:F291"/>
    <mergeCell ref="G290:G291"/>
    <mergeCell ref="A297:A298"/>
    <mergeCell ref="B297:B298"/>
    <mergeCell ref="C297:C298"/>
    <mergeCell ref="D297:D298"/>
    <mergeCell ref="E297:E298"/>
    <mergeCell ref="F297:F298"/>
    <mergeCell ref="G297:G298"/>
    <mergeCell ref="N297:N298"/>
    <mergeCell ref="O297:O298"/>
    <mergeCell ref="P297:P298"/>
    <mergeCell ref="Q297:Q298"/>
    <mergeCell ref="R297:R298"/>
    <mergeCell ref="C307:C309"/>
    <mergeCell ref="D307:D309"/>
    <mergeCell ref="E307:E309"/>
    <mergeCell ref="F307:F309"/>
    <mergeCell ref="G307:G309"/>
    <mergeCell ref="P307:P309"/>
    <mergeCell ref="Q307:Q309"/>
    <mergeCell ref="R307:R309"/>
    <mergeCell ref="Q299:Q300"/>
    <mergeCell ref="R299:R300"/>
    <mergeCell ref="M299:M300"/>
    <mergeCell ref="I299:I300"/>
    <mergeCell ref="J299:J300"/>
    <mergeCell ref="K299:K300"/>
    <mergeCell ref="L299:L300"/>
    <mergeCell ref="H299:H300"/>
    <mergeCell ref="H306:H309"/>
    <mergeCell ref="H297:H298"/>
    <mergeCell ref="D311:D312"/>
    <mergeCell ref="E311:E312"/>
    <mergeCell ref="F311:F312"/>
    <mergeCell ref="G311:G312"/>
    <mergeCell ref="N311:N312"/>
    <mergeCell ref="O311:O312"/>
    <mergeCell ref="P311:P312"/>
    <mergeCell ref="Q311:Q312"/>
    <mergeCell ref="R311:R312"/>
    <mergeCell ref="H310:H312"/>
    <mergeCell ref="R88:R90"/>
    <mergeCell ref="O112:O114"/>
    <mergeCell ref="Q115:Q119"/>
    <mergeCell ref="M115:M119"/>
    <mergeCell ref="I115:I119"/>
    <mergeCell ref="J115:J119"/>
    <mergeCell ref="K115:K119"/>
    <mergeCell ref="L115:L119"/>
    <mergeCell ref="K104:K105"/>
    <mergeCell ref="L104:L105"/>
    <mergeCell ref="I113:I114"/>
    <mergeCell ref="N75:N90"/>
    <mergeCell ref="O75:O90"/>
    <mergeCell ref="N106:N109"/>
    <mergeCell ref="O106:O109"/>
    <mergeCell ref="P113:P114"/>
    <mergeCell ref="P106:P107"/>
    <mergeCell ref="P108:P109"/>
    <mergeCell ref="M106:M109"/>
    <mergeCell ref="I106:I109"/>
    <mergeCell ref="J106:J109"/>
    <mergeCell ref="K106:K109"/>
    <mergeCell ref="L106:L109"/>
    <mergeCell ref="N112:N114"/>
    <mergeCell ref="L130:L135"/>
    <mergeCell ref="I123:I126"/>
    <mergeCell ref="J123:J126"/>
    <mergeCell ref="K123:K126"/>
    <mergeCell ref="L123:L126"/>
    <mergeCell ref="M123:M126"/>
    <mergeCell ref="M130:M135"/>
    <mergeCell ref="L136:L139"/>
    <mergeCell ref="M141:M143"/>
    <mergeCell ref="I141:I143"/>
    <mergeCell ref="J141:J143"/>
    <mergeCell ref="K141:K143"/>
    <mergeCell ref="L141:L143"/>
    <mergeCell ref="M136:M139"/>
    <mergeCell ref="I136:I139"/>
    <mergeCell ref="J136:J139"/>
    <mergeCell ref="K136:K139"/>
    <mergeCell ref="M146:M147"/>
    <mergeCell ref="I146:I147"/>
    <mergeCell ref="J146:J147"/>
    <mergeCell ref="K146:K147"/>
    <mergeCell ref="L146:L147"/>
    <mergeCell ref="J211:J212"/>
    <mergeCell ref="K211:K212"/>
    <mergeCell ref="L211:L212"/>
    <mergeCell ref="L153:L154"/>
    <mergeCell ref="M155:M158"/>
    <mergeCell ref="I155:I158"/>
    <mergeCell ref="J155:J158"/>
    <mergeCell ref="K155:K158"/>
    <mergeCell ref="L155:L158"/>
    <mergeCell ref="L205:L208"/>
    <mergeCell ref="M159:M160"/>
    <mergeCell ref="I159:I160"/>
    <mergeCell ref="J169:J174"/>
    <mergeCell ref="K169:K174"/>
    <mergeCell ref="I153:I154"/>
    <mergeCell ref="J153:J154"/>
    <mergeCell ref="K153:K154"/>
    <mergeCell ref="J205:J208"/>
    <mergeCell ref="J159:J160"/>
    <mergeCell ref="K159:K160"/>
    <mergeCell ref="L159:L160"/>
    <mergeCell ref="M169:M174"/>
    <mergeCell ref="I169:I174"/>
    <mergeCell ref="K205:K208"/>
    <mergeCell ref="M260:M262"/>
    <mergeCell ref="I260:I262"/>
    <mergeCell ref="J260:J262"/>
    <mergeCell ref="K260:K262"/>
    <mergeCell ref="L260:L262"/>
    <mergeCell ref="I253:I254"/>
    <mergeCell ref="J253:J254"/>
    <mergeCell ref="K253:K254"/>
    <mergeCell ref="L253:L254"/>
    <mergeCell ref="M255:M259"/>
    <mergeCell ref="I255:I259"/>
    <mergeCell ref="J255:J259"/>
    <mergeCell ref="K255:K259"/>
    <mergeCell ref="L255:L259"/>
    <mergeCell ref="J198:J199"/>
    <mergeCell ref="K198:K199"/>
    <mergeCell ref="M272:M274"/>
    <mergeCell ref="I272:I274"/>
    <mergeCell ref="J272:J274"/>
    <mergeCell ref="K272:K274"/>
    <mergeCell ref="L272:L274"/>
    <mergeCell ref="I267:I268"/>
    <mergeCell ref="J267:J268"/>
    <mergeCell ref="K267:K268"/>
    <mergeCell ref="L267:L268"/>
    <mergeCell ref="I269:I270"/>
    <mergeCell ref="J269:J270"/>
    <mergeCell ref="K269:K270"/>
    <mergeCell ref="L269:L270"/>
    <mergeCell ref="M269:M270"/>
    <mergeCell ref="H115:H119"/>
    <mergeCell ref="H123:H126"/>
    <mergeCell ref="H127:H129"/>
    <mergeCell ref="H130:H135"/>
    <mergeCell ref="H136:H139"/>
    <mergeCell ref="H141:H150"/>
    <mergeCell ref="H153:H160"/>
    <mergeCell ref="H161:H167"/>
    <mergeCell ref="H169:H174"/>
    <mergeCell ref="H195:H197"/>
    <mergeCell ref="H198:H199"/>
    <mergeCell ref="H200:H203"/>
    <mergeCell ref="H205:H209"/>
    <mergeCell ref="H210:H215"/>
    <mergeCell ref="H219:H222"/>
    <mergeCell ref="H224:H250"/>
    <mergeCell ref="H253:H254"/>
    <mergeCell ref="H255:H259"/>
    <mergeCell ref="H267:H271"/>
    <mergeCell ref="H175:H177"/>
    <mergeCell ref="H178:H182"/>
    <mergeCell ref="H183:H194"/>
    <mergeCell ref="B2:G2"/>
    <mergeCell ref="H2:M2"/>
    <mergeCell ref="H260:H262"/>
    <mergeCell ref="H15:H65"/>
    <mergeCell ref="H67:H68"/>
    <mergeCell ref="H69:H70"/>
    <mergeCell ref="H72:H74"/>
    <mergeCell ref="H75:H90"/>
    <mergeCell ref="H97:H101"/>
    <mergeCell ref="H104:H105"/>
    <mergeCell ref="H106:H110"/>
    <mergeCell ref="H112:H114"/>
    <mergeCell ref="M211:M212"/>
    <mergeCell ref="B75:B90"/>
    <mergeCell ref="H7:H8"/>
    <mergeCell ref="L169:L174"/>
    <mergeCell ref="J224:J225"/>
    <mergeCell ref="K224:K225"/>
    <mergeCell ref="L224:L225"/>
    <mergeCell ref="M153:M154"/>
    <mergeCell ref="A67:A68"/>
    <mergeCell ref="B67:B68"/>
    <mergeCell ref="C67:C68"/>
    <mergeCell ref="R75:R76"/>
    <mergeCell ref="R78:R79"/>
    <mergeCell ref="R81:R82"/>
    <mergeCell ref="R83:R84"/>
    <mergeCell ref="R86:R87"/>
    <mergeCell ref="R72:R74"/>
    <mergeCell ref="A69:A70"/>
    <mergeCell ref="D86:D87"/>
    <mergeCell ref="C81:C82"/>
    <mergeCell ref="R69:R70"/>
    <mergeCell ref="A75:A90"/>
    <mergeCell ref="D81:D82"/>
    <mergeCell ref="E81:E82"/>
    <mergeCell ref="D88:D90"/>
    <mergeCell ref="E88:E90"/>
    <mergeCell ref="F88:F90"/>
    <mergeCell ref="G88:G90"/>
    <mergeCell ref="G75:G77"/>
    <mergeCell ref="C78:C80"/>
    <mergeCell ref="D78:D80"/>
    <mergeCell ref="E78:E80"/>
    <mergeCell ref="B69:B70"/>
    <mergeCell ref="N69:N70"/>
    <mergeCell ref="O69:O70"/>
    <mergeCell ref="Q75:Q76"/>
    <mergeCell ref="Q78:Q79"/>
    <mergeCell ref="Q81:Q82"/>
    <mergeCell ref="Q83:Q84"/>
    <mergeCell ref="Q86:Q87"/>
    <mergeCell ref="Q88:Q90"/>
    <mergeCell ref="K72:K74"/>
    <mergeCell ref="L72:L74"/>
    <mergeCell ref="M72:M74"/>
    <mergeCell ref="N72:N74"/>
    <mergeCell ref="O72:O74"/>
    <mergeCell ref="P75:P76"/>
    <mergeCell ref="P78:P79"/>
    <mergeCell ref="P81:P82"/>
    <mergeCell ref="P83:P84"/>
    <mergeCell ref="P86:P87"/>
    <mergeCell ref="P88:P90"/>
    <mergeCell ref="F78:F80"/>
    <mergeCell ref="G78:G80"/>
    <mergeCell ref="C83:C85"/>
    <mergeCell ref="D83:D85"/>
    <mergeCell ref="A7:A8"/>
    <mergeCell ref="B7:B8"/>
    <mergeCell ref="I72:I74"/>
    <mergeCell ref="J72:J74"/>
    <mergeCell ref="P69:P70"/>
    <mergeCell ref="A15:A65"/>
    <mergeCell ref="B15:B65"/>
    <mergeCell ref="P15:P65"/>
    <mergeCell ref="A72:A74"/>
    <mergeCell ref="B72:B74"/>
    <mergeCell ref="K69:K70"/>
    <mergeCell ref="L69:L70"/>
    <mergeCell ref="H9:H10"/>
    <mergeCell ref="H11:H12"/>
    <mergeCell ref="A9:A10"/>
    <mergeCell ref="A11:A12"/>
    <mergeCell ref="B9:B10"/>
    <mergeCell ref="B11:B12"/>
    <mergeCell ref="C9:C10"/>
    <mergeCell ref="D9:D10"/>
    <mergeCell ref="E9:E10"/>
    <mergeCell ref="F9:F10"/>
    <mergeCell ref="D11:D12"/>
    <mergeCell ref="E11:E12"/>
    <mergeCell ref="F11:F12"/>
    <mergeCell ref="C11:C12"/>
    <mergeCell ref="G9:G10"/>
    <mergeCell ref="G11:G12"/>
    <mergeCell ref="N9:N10"/>
    <mergeCell ref="O9:O10"/>
    <mergeCell ref="O11:O12"/>
    <mergeCell ref="N11:N12"/>
    <mergeCell ref="P11:P12"/>
    <mergeCell ref="P9:P10"/>
    <mergeCell ref="Q9:Q10"/>
    <mergeCell ref="Q11:Q12"/>
    <mergeCell ref="R9:R10"/>
    <mergeCell ref="R11:R12"/>
    <mergeCell ref="I21:I22"/>
    <mergeCell ref="J21:J22"/>
    <mergeCell ref="K21:K22"/>
    <mergeCell ref="L21:L22"/>
    <mergeCell ref="M21:M22"/>
    <mergeCell ref="I15:I17"/>
    <mergeCell ref="J15:J17"/>
    <mergeCell ref="K15:K17"/>
    <mergeCell ref="L15:L17"/>
    <mergeCell ref="I18:I20"/>
    <mergeCell ref="J18:J20"/>
    <mergeCell ref="K18:K20"/>
    <mergeCell ref="L18:L20"/>
    <mergeCell ref="M15:M17"/>
    <mergeCell ref="M18:M20"/>
    <mergeCell ref="Q15:Q22"/>
    <mergeCell ref="R15:R22"/>
    <mergeCell ref="I27:I30"/>
    <mergeCell ref="J27:J30"/>
    <mergeCell ref="K27:K30"/>
    <mergeCell ref="L27:L30"/>
    <mergeCell ref="M27:M30"/>
    <mergeCell ref="I31:I34"/>
    <mergeCell ref="J31:J34"/>
    <mergeCell ref="K31:K34"/>
    <mergeCell ref="L31:L34"/>
    <mergeCell ref="M31:M34"/>
    <mergeCell ref="I35:I37"/>
    <mergeCell ref="J35:J37"/>
    <mergeCell ref="K35:K37"/>
    <mergeCell ref="L35:L37"/>
    <mergeCell ref="M35:M37"/>
    <mergeCell ref="I38:I42"/>
    <mergeCell ref="J38:J42"/>
    <mergeCell ref="K38:K42"/>
    <mergeCell ref="L38:L42"/>
    <mergeCell ref="M38:M42"/>
    <mergeCell ref="I43:I47"/>
    <mergeCell ref="J43:J47"/>
    <mergeCell ref="K43:K47"/>
    <mergeCell ref="L43:L47"/>
    <mergeCell ref="M43:M47"/>
    <mergeCell ref="I48:I50"/>
    <mergeCell ref="J48:J50"/>
    <mergeCell ref="K48:K50"/>
    <mergeCell ref="L48:L50"/>
    <mergeCell ref="I51:I52"/>
    <mergeCell ref="J51:J52"/>
    <mergeCell ref="K51:K52"/>
    <mergeCell ref="L51:L52"/>
    <mergeCell ref="J53:J54"/>
    <mergeCell ref="K53:K54"/>
    <mergeCell ref="L53:L54"/>
    <mergeCell ref="I53:I54"/>
    <mergeCell ref="M48:M50"/>
    <mergeCell ref="M51:M52"/>
    <mergeCell ref="M53:M54"/>
    <mergeCell ref="H272:H274"/>
    <mergeCell ref="H275:H277"/>
    <mergeCell ref="H280:H283"/>
    <mergeCell ref="H285:H296"/>
    <mergeCell ref="M148:M149"/>
    <mergeCell ref="I148:I149"/>
    <mergeCell ref="J148:J149"/>
    <mergeCell ref="K148:K149"/>
    <mergeCell ref="L148:L149"/>
    <mergeCell ref="M205:M208"/>
    <mergeCell ref="I205:I208"/>
    <mergeCell ref="I211:I212"/>
    <mergeCell ref="M267:M268"/>
    <mergeCell ref="I220:I221"/>
    <mergeCell ref="J220:J221"/>
    <mergeCell ref="K220:K221"/>
    <mergeCell ref="L220:L221"/>
    <mergeCell ref="M220:M221"/>
    <mergeCell ref="L198:L199"/>
    <mergeCell ref="M200:M203"/>
    <mergeCell ref="I200:I203"/>
    <mergeCell ref="J200:J203"/>
    <mergeCell ref="K200:K203"/>
    <mergeCell ref="L200:L203"/>
    <mergeCell ref="M275:M276"/>
    <mergeCell ref="I275:I276"/>
    <mergeCell ref="J275:J276"/>
    <mergeCell ref="K275:K276"/>
    <mergeCell ref="L275:L276"/>
    <mergeCell ref="C292:C293"/>
    <mergeCell ref="D292:D293"/>
    <mergeCell ref="E292:E293"/>
    <mergeCell ref="F292:F293"/>
    <mergeCell ref="C287:C289"/>
    <mergeCell ref="D287:D289"/>
    <mergeCell ref="E287:E289"/>
    <mergeCell ref="F287:F289"/>
    <mergeCell ref="G287:G289"/>
    <mergeCell ref="G292:G293"/>
    <mergeCell ref="C285:C286"/>
    <mergeCell ref="D285:D286"/>
    <mergeCell ref="E285:E286"/>
    <mergeCell ref="F285:F286"/>
    <mergeCell ref="G285:G286"/>
    <mergeCell ref="C211:C212"/>
    <mergeCell ref="D211:D212"/>
    <mergeCell ref="E211:E212"/>
    <mergeCell ref="F211:F212"/>
    <mergeCell ref="G211:G212"/>
    <mergeCell ref="C213:C214"/>
    <mergeCell ref="D213:D214"/>
    <mergeCell ref="E213:E214"/>
    <mergeCell ref="F213:F214"/>
    <mergeCell ref="G213:G214"/>
  </mergeCells>
  <hyperlinks>
    <hyperlink ref="P4" r:id="rId1" display="Donnees concernant la SSUC" xr:uid="{5FDD2B3F-22BE-4C64-85BB-C765C3911F83}"/>
    <hyperlink ref="O4" r:id="rId2" xr:uid="{C4C035C0-8A53-4616-8DE0-1239EE483471}"/>
    <hyperlink ref="O6" r:id="rId3" xr:uid="{C1BAC7FB-1D78-4C2C-BE72-255C2A191300}"/>
    <hyperlink ref="P7" r:id="rId4" display="Données PCRE" xr:uid="{9418FB88-38C7-4A71-B733-7D866709359F}"/>
    <hyperlink ref="P9" r:id="rId5" display="Données PCMRE" xr:uid="{68675FEC-978A-43F0-A6F5-5D83BEACCA2F}"/>
    <hyperlink ref="P11" r:id="rId6" display="Données PCREPA" xr:uid="{AF33C9D4-6905-4465-93F5-2620D6CBBF47}"/>
    <hyperlink ref="O14" r:id="rId7" xr:uid="{DC53C398-0BD5-4D63-8B7C-4B331BCE3FF7}"/>
    <hyperlink ref="P14" r:id="rId8" xr:uid="{FA3D6FC8-4C90-498B-9D77-47E0A154B8D3}"/>
    <hyperlink ref="O15" r:id="rId9" display="https://www.pbo-dpb.gc.ca/web/default/files/Documents/Info%20Requests/2020/IR0471_ISED_COVID-19_Measures_request_e_signed.pdf" xr:uid="{4086BE6A-721F-42AF-8C4E-4B1CBF7CDB26}"/>
    <hyperlink ref="O15:O56" r:id="rId10" display="IR0471" xr:uid="{B2EBB7DF-38E0-4624-BE13-EA0D4EC9E108}"/>
    <hyperlink ref="O69" r:id="rId11" xr:uid="{56E97EBB-024A-44F7-A36C-AA212E0531DB}"/>
    <hyperlink ref="O72" r:id="rId12" xr:uid="{474566B5-648A-4A3A-A417-E2CD1F09B9A6}"/>
    <hyperlink ref="O95" r:id="rId13" xr:uid="{7C97AB8A-398A-46DE-8381-044722DAFFE7}"/>
    <hyperlink ref="O97" r:id="rId14" xr:uid="{49FF470C-4DC0-473B-A9C8-2B566F104DFB}"/>
    <hyperlink ref="O102" r:id="rId15" xr:uid="{24F5EE90-129B-4B16-A425-949F4089D618}"/>
    <hyperlink ref="O103" r:id="rId16" xr:uid="{D45E14FB-8FF4-46D9-87C2-413A4248A8F7}"/>
    <hyperlink ref="O104:O105" r:id="rId17" display="IR0550" xr:uid="{978DA720-9EC0-4E94-A8B1-F6BFE346DF85}"/>
    <hyperlink ref="O106" r:id="rId18" xr:uid="{87E47B07-0C3C-438E-977E-76A4F9A68FD3}"/>
    <hyperlink ref="P106" r:id="rId19" display="https://www.canada.ca/en/services/benefits/ei/claims-report.html" xr:uid="{313BDFF2-72A0-4FD2-8FE0-09B20FD4E011}"/>
    <hyperlink ref="O106:O109" r:id="rId20" display="IR0517" xr:uid="{95DD82A2-B468-4F2F-AC7B-29FC1F4D9AA5}"/>
    <hyperlink ref="O111" r:id="rId21" xr:uid="{BCDAFAFF-201A-447D-8E87-801746724016}"/>
    <hyperlink ref="P112" r:id="rId22" display="Donnees concernant ls PCUE" xr:uid="{5F51586F-499F-4BAA-8869-CCC8A06FC852}"/>
    <hyperlink ref="O115" r:id="rId23" xr:uid="{05E8EE53-B0D0-4F70-AEEE-38DCF3CFB446}"/>
    <hyperlink ref="O115:O117" r:id="rId24" display="IR0480" xr:uid="{4ABF384A-CB47-44F1-94F6-969B6FCB6724}"/>
    <hyperlink ref="O121" r:id="rId25" xr:uid="{4CBAD8E4-B851-4E10-9A9B-AF25E4A35391}"/>
    <hyperlink ref="O122" r:id="rId26" xr:uid="{DEBBC746-D7A6-454A-AE55-10830C007501}"/>
    <hyperlink ref="O123" r:id="rId27" xr:uid="{718C451A-3166-436C-8824-50B3ECDB977A}"/>
    <hyperlink ref="O123:O126" r:id="rId28" display="IR0523" xr:uid="{04805497-5B2E-452E-8D23-D3F4A56A25A4}"/>
    <hyperlink ref="O130" r:id="rId29" xr:uid="{8F70D12D-F81F-4B99-9D24-5ADBBEC6BD4E}"/>
    <hyperlink ref="O130:O135" r:id="rId30" display="IR0524" xr:uid="{90271B41-AD2C-44FB-9478-EAC07DC5F338}"/>
    <hyperlink ref="O136" r:id="rId31" xr:uid="{694A4DC6-DFD5-4E1C-AB43-6B2D3FA60110}"/>
    <hyperlink ref="O136:O137" r:id="rId32" display="IR0516" xr:uid="{5E9A8839-DAC4-4C3E-8035-2D88765A9583}"/>
    <hyperlink ref="O140" r:id="rId33" xr:uid="{462D10D4-7F04-4D89-B904-660C01539421}"/>
    <hyperlink ref="O141" r:id="rId34" xr:uid="{3A60333A-1AF7-4EC7-AB85-830B75F1A284}"/>
    <hyperlink ref="O141:O142" r:id="rId35" display="IR0540" xr:uid="{1D83CC5E-C6FF-4187-8E53-CFE73867206C}"/>
    <hyperlink ref="O148" r:id="rId36" xr:uid="{9EF85BFC-82BE-4765-852E-61DA3B08DCC6}"/>
    <hyperlink ref="O145" r:id="rId37" xr:uid="{B136714F-0863-4112-A0EA-3EB752CDCD80}"/>
    <hyperlink ref="O146" r:id="rId38" xr:uid="{1F3EE1E1-4CA6-4F6E-A40C-A25F14DF2BCE}"/>
    <hyperlink ref="O144" r:id="rId39" xr:uid="{16D74774-F468-465B-95D2-996EC44963AE}"/>
    <hyperlink ref="O152" r:id="rId40" xr:uid="{FD1ED60B-3484-4BA8-B33C-CE573B965B9C}"/>
    <hyperlink ref="O153" r:id="rId41" display="https://www.pbo-dpb.gc.ca/web/default/files/Documents/Info%20Requests/2020/IR0469_Heritage_COVID-19_Measures_request_e_signed.pdf" xr:uid="{641D1FAA-DD0C-48DB-A4C8-04276B678639}"/>
    <hyperlink ref="O153:O159" r:id="rId42" display="IR0469" xr:uid="{2888700E-F687-4C9C-A4FB-11D4513F3872}"/>
    <hyperlink ref="O153:O160" r:id="rId43" display="IR0469" xr:uid="{F5FC3029-5B13-4A3F-9AEB-02058E1070E2}"/>
    <hyperlink ref="O169" r:id="rId44" display="https://www.pbo-dpb.gc.ca/web/default/files/Documents/Info%20Requests/2020/IR0494_FIN_COVID-19_Measures_request_e.pdf" xr:uid="{D6B39381-7B2B-4301-B74D-CD7C618BC880}"/>
    <hyperlink ref="O169:O174" r:id="rId45" display="IR0494" xr:uid="{FA32F96F-08F2-4F9B-AE91-629FA442E2F8}"/>
    <hyperlink ref="O175" r:id="rId46" xr:uid="{D30B401F-7C59-4C5E-9334-3EFA50939408}"/>
    <hyperlink ref="O178" r:id="rId47" display="https://www.pbo-dpb.gc.ca/web/default/files/Documents/Info%20Requests/2020/IR0456_AAFC_COVID-19_Allocations_request_e_signed.pdf" xr:uid="{D6B2FF07-8211-4738-9ACE-56E5E7C7BD2F}"/>
    <hyperlink ref="O178:O182" r:id="rId48" display="IR0456" xr:uid="{408A0C3E-9D91-4167-96E7-C06D45430C03}"/>
    <hyperlink ref="O186" r:id="rId49" display="https://www.pbo-dpb.gc.ca/web/default/files/Documents/Info%20Requests/2020/IR0539_ISED_COVID-19_Funding_request_e.pdf" xr:uid="{3663A2E5-427E-4E4F-A0F0-1477B04314A3}"/>
    <hyperlink ref="O186:O192" r:id="rId50" display="IR0539" xr:uid="{47A18D68-267C-40A2-9664-39B8DC202938}"/>
    <hyperlink ref="O183" r:id="rId51" display="https://www.pbo-dpb.gc.ca/web/default/files/Documents/Info%20Requests/2020/IR0482_FOC_COVID-19_ltr_e.pdf" xr:uid="{6D708C4B-DC57-48E4-B1A4-07ECFB705FA8}"/>
    <hyperlink ref="O183:O184" r:id="rId52" display="IR0482" xr:uid="{B77D4771-57D7-496F-A327-0CCB7279720D}"/>
    <hyperlink ref="O195" r:id="rId53" xr:uid="{6B6ECDF2-35C8-4247-B8FE-CBAFD0635366}"/>
    <hyperlink ref="O198" r:id="rId54" xr:uid="{683DDF1B-FA4D-4610-B4E6-D95F267063D0}"/>
    <hyperlink ref="O198:O199" r:id="rId55" display="IR0522" xr:uid="{4E91B0FE-E2E4-4FFB-909B-3AEE5A54DBD0}"/>
    <hyperlink ref="O200" r:id="rId56" xr:uid="{6F98A2E3-FCCA-46F3-BAC5-C8C9903F0C63}"/>
    <hyperlink ref="O200:O203" r:id="rId57" display="IR0519" xr:uid="{BA905009-79DB-4FEB-8F7E-BB12792DAD27}"/>
    <hyperlink ref="O205:O206" r:id="rId58" display="IR0547" xr:uid="{5301D4A4-B4F1-466C-A1D2-F7DCB449CEF4}"/>
    <hyperlink ref="O209" r:id="rId59" xr:uid="{13799848-4759-4AEF-99B6-1A8C21EE500D}"/>
    <hyperlink ref="O210" r:id="rId60" xr:uid="{3792A24C-18A5-4816-9AC8-E6CFD2A571BD}"/>
    <hyperlink ref="O216" r:id="rId61" xr:uid="{0BA83120-CA07-417F-AF35-6D15E113D782}"/>
    <hyperlink ref="O217" r:id="rId62" xr:uid="{69EC4304-466D-4B5C-B860-E4033DFCE70A}"/>
    <hyperlink ref="O218" r:id="rId63" xr:uid="{250201C5-0500-4568-AFCA-693A62AFAD9D}"/>
    <hyperlink ref="O219:O220" r:id="rId64" display="IR0549" xr:uid="{C85762E8-525D-480A-B7D6-51E998F342BD}"/>
    <hyperlink ref="O226" r:id="rId65" display="https://www.pbo-dpb.gc.ca/web/default/files/Documents/Info%20Requests/2020/IR0456_AAFC_COVID-19_Allocations_request_e_signed.pdf" xr:uid="{0978DB66-B51C-4698-9AB9-B8E1B782439C}"/>
    <hyperlink ref="O226:O227" r:id="rId66" display="IR0456" xr:uid="{929BAB74-4749-4659-A1FC-5AD84791D1DA}"/>
    <hyperlink ref="O230" r:id="rId67" display="https://www.pbo-dpb.gc.ca/web/default/files/Documents/Info%20Requests/2020/IR0516_CMHC_COVID19_update_2_request_e.pdf" xr:uid="{AFCC0C10-9AE0-4D21-B308-DE794FEF800E}"/>
    <hyperlink ref="O230:O231" r:id="rId68" display="IR0516" xr:uid="{B0B3EAAA-B63F-483C-9A1F-A491312FB117}"/>
    <hyperlink ref="O234" r:id="rId69" xr:uid="{933E9FB2-2755-4369-B2DD-B3F445099082}"/>
    <hyperlink ref="O236" r:id="rId70" display="https://www.pbo-dpb.gc.ca/web/default/files/Documents/Info%20Requests/2020/IR0523_ISC_COVID19_update_2_request_e.pdf" xr:uid="{775728EF-FB79-461C-8E50-0C7C55108A6F}"/>
    <hyperlink ref="O236:O237" r:id="rId71" display="IR0523" xr:uid="{61870558-416C-4A75-9588-02CD7045B119}"/>
    <hyperlink ref="O238" r:id="rId72" display="https://www.pbo-dpb.gc.ca/web/default/files/Documents/Info%20Requests/2020/IR0524_ISED_COVID19_update_2_request_e.pdf" xr:uid="{F3427241-E1BD-4550-A7D3-28834EF4EAF3}"/>
    <hyperlink ref="O238:O239" r:id="rId73" display="IR0524" xr:uid="{C15503E4-1E2A-4756-83B8-B9221098ED24}"/>
    <hyperlink ref="O246" r:id="rId74" display="https://www.pbo-dpb.gc.ca/web/default/files/Documents/Info%20Requests/2020/IR0526_NRCCan_COVID19_update_2_request_e.pdf" xr:uid="{4463AC52-3A77-466B-B785-E6B130B5FEBB}"/>
    <hyperlink ref="O246:O247" r:id="rId75" display="IR0526" xr:uid="{8B728A21-011E-4C2D-98FA-CD0CF93F10A2}"/>
    <hyperlink ref="O248" r:id="rId76" xr:uid="{6A3FA9D3-EE50-42CC-A754-887F6551D254}"/>
    <hyperlink ref="O250" r:id="rId77" xr:uid="{14D3610E-87E9-4040-B555-D7300332D151}"/>
    <hyperlink ref="O242:O243" r:id="rId78" display="IR0552" xr:uid="{2EACBFF3-EE67-45E3-830C-F0541423CA19}"/>
    <hyperlink ref="O224:O225" r:id="rId79" display="IR0549" xr:uid="{5B815964-A2A9-42FB-B9E0-4827EDE9F55B}"/>
    <hyperlink ref="O244:O245" r:id="rId80" display="IR0557" xr:uid="{10950783-2327-4101-BCA5-AED67950E99A}"/>
    <hyperlink ref="O235" r:id="rId81" xr:uid="{7FAA2DB1-8138-410C-A9EC-57E5FEA3C8EF}"/>
    <hyperlink ref="O249" r:id="rId82" xr:uid="{2CFAE417-4FC3-490E-9112-6E23643FA060}"/>
    <hyperlink ref="O251" r:id="rId83" xr:uid="{F45A169F-DC4D-4678-920C-1A8BDEE10CC8}"/>
    <hyperlink ref="O252" r:id="rId84" xr:uid="{7E666394-D8C3-4D32-8F81-B34E57C0AA92}"/>
    <hyperlink ref="O255" r:id="rId85" xr:uid="{BE7D83DB-C5F6-4C97-B85F-60C5329E462F}"/>
    <hyperlink ref="O255:O259" r:id="rId86" display="IR0523" xr:uid="{B191F233-7B28-4376-8E97-C1131C6CABAA}"/>
    <hyperlink ref="O260" r:id="rId87" xr:uid="{12104366-963F-4C63-A63D-1FE12BCD9977}"/>
    <hyperlink ref="O260:O262" r:id="rId88" display="IR0468" xr:uid="{18C2C4B1-24ED-48A1-B87D-BD72F77DE467}"/>
    <hyperlink ref="O264" r:id="rId89" xr:uid="{89052450-4DA5-4946-83EA-9A2ABF1E167E}"/>
    <hyperlink ref="O265" r:id="rId90" xr:uid="{069CB8A1-8790-4082-8D9E-28C1B929769B}"/>
    <hyperlink ref="O267" r:id="rId91" xr:uid="{5C8B5084-E08A-42B1-8778-EB95E59E4522}"/>
    <hyperlink ref="O267:O269" r:id="rId92" display="IR0456" xr:uid="{DF15C55B-5BC6-45E1-A9D0-72374C8919F3}"/>
    <hyperlink ref="O272" r:id="rId93" xr:uid="{FC7BE7FD-F844-481F-A662-A5F4CE6D246E}"/>
    <hyperlink ref="O275" r:id="rId94" display="https://www.pbo-dpb.gc.ca/web/default/files/Documents/Info%20Requests/2020/IR0475_WAGE_COVID-19_Measures_request_e_signed.pdf" xr:uid="{0B46948C-43AD-4BD7-BA5E-DC3457363B23}"/>
    <hyperlink ref="O275:O276" r:id="rId95" display="IR0475" xr:uid="{B4A551CB-C4D1-4528-A493-34A759CA69DF}"/>
    <hyperlink ref="O277" r:id="rId96" xr:uid="{E0738273-27F3-43F6-AF56-B6C168715944}"/>
    <hyperlink ref="O278" r:id="rId97" xr:uid="{469505AC-7C57-4DF5-93F4-41FD1FC18000}"/>
    <hyperlink ref="O279" r:id="rId98" xr:uid="{714ED481-1386-4987-A1A9-2AFD20F7BA3A}"/>
    <hyperlink ref="O280" r:id="rId99" xr:uid="{48F4482D-ACC6-40BD-83BD-0D413C2CD833}"/>
    <hyperlink ref="O280:O281" r:id="rId100" display="IR0516" xr:uid="{4FBB5FEF-C82D-45B1-A0E8-70AE9233A75C}"/>
    <hyperlink ref="O284" r:id="rId101" xr:uid="{206A1843-255E-41C5-8751-85722913AB6E}"/>
    <hyperlink ref="O285" r:id="rId102" xr:uid="{E6F404B3-FD94-4489-8E0F-51E0A22E7216}"/>
    <hyperlink ref="O299" r:id="rId103" xr:uid="{EB5135B6-E56C-4451-8BAA-DC6F9A2B043A}"/>
    <hyperlink ref="F6" r:id="rId104" xr:uid="{3D0F9A8F-3FCC-453F-8F84-BDEBFF8087F5}"/>
    <hyperlink ref="O66" r:id="rId105" xr:uid="{124F222F-D714-476D-9240-691FF67D53B4}"/>
    <hyperlink ref="O75" r:id="rId106" xr:uid="{0A788879-47D1-4701-984A-669C5D2489E9}"/>
    <hyperlink ref="O93" r:id="rId107" xr:uid="{0775E235-8099-418E-B64C-EAD12450D68D}"/>
    <hyperlink ref="O5" r:id="rId108" xr:uid="{CA23897F-54C3-4BEA-8F2F-E9FF6F80A41C}"/>
    <hyperlink ref="O127" r:id="rId109" xr:uid="{B9F72005-71A3-4C09-8973-709106FACBC0}"/>
    <hyperlink ref="O204" r:id="rId110" xr:uid="{E30FFA4C-3D7B-4803-9904-A25760CF6F0F}"/>
    <hyperlink ref="O223" r:id="rId111" xr:uid="{0AD4C1F5-FDA7-4034-B5BF-9DEC13572A5F}"/>
    <hyperlink ref="O297" r:id="rId112" xr:uid="{9B4697DC-5F66-4989-A283-41AB9A0077B5}"/>
    <hyperlink ref="O301" r:id="rId113" xr:uid="{26445319-7ADE-4670-8FDE-2E94A81D52F2}"/>
    <hyperlink ref="O303" r:id="rId114" xr:uid="{A59C0728-5231-49AA-B256-A5AA7769DB79}"/>
    <hyperlink ref="O304" r:id="rId115" xr:uid="{016877CB-EE43-4BD9-B5ED-392E83CD5917}"/>
    <hyperlink ref="O305" r:id="rId116" xr:uid="{591869E7-8566-47F4-B1C0-D27AE8373CBD}"/>
    <hyperlink ref="O306" r:id="rId117" xr:uid="{DBC73779-D36E-48E4-9E48-BB8B1041AB9C}"/>
    <hyperlink ref="O313" r:id="rId118" xr:uid="{D698F2F7-B769-413D-AD85-7AAD56A6C2D6}"/>
    <hyperlink ref="O302" r:id="rId119" xr:uid="{7916F467-E8F3-4EB1-BB82-6A9634EB9148}"/>
    <hyperlink ref="O150" r:id="rId120" xr:uid="{674FBB6F-82A7-4D9B-8AD7-97DB2542B992}"/>
    <hyperlink ref="P13" r:id="rId121" xr:uid="{E1D8412A-349C-4386-823B-44E015994C9A}"/>
    <hyperlink ref="O93:O94" r:id="rId122" display="IR0519" xr:uid="{CBF9D31D-629F-47E5-B4AC-5C5D255A31F8}"/>
    <hyperlink ref="O96" r:id="rId123" xr:uid="{507167A1-B73C-4987-B367-CE68A303FC0C}"/>
    <hyperlink ref="O271" r:id="rId124" xr:uid="{B4D794BD-2C6C-4FCF-AFDF-730548A3D309}"/>
    <hyperlink ref="P161" r:id="rId125" xr:uid="{2FC07662-5BFC-4D43-9C30-8ADE7A121475}"/>
    <hyperlink ref="P175" r:id="rId126" xr:uid="{C57665AA-7C77-41D5-A812-C0AA7BFD8B22}"/>
    <hyperlink ref="P152" r:id="rId127" xr:uid="{6C4D7241-A8C6-4285-97F5-3EB06096017C}"/>
    <hyperlink ref="P150" r:id="rId128" xr:uid="{94EEC8F0-A398-4233-90AF-E2C4B0623842}"/>
    <hyperlink ref="P144" r:id="rId129" xr:uid="{27DA69E4-DCCA-429B-BB09-BA26F5C1981B}"/>
    <hyperlink ref="P141:P143" r:id="rId130" display="Données du SCT: Estimation des dépenses du Plan d’intervention économique pour répondre à la COVID-19 " xr:uid="{514A730F-2CA3-4D5A-BF82-638983EE9B28}"/>
    <hyperlink ref="P195:P197" r:id="rId131" display="Données du SCT: Estimation des dépenses du Plan d’intervention économique pour répondre à la COVID-19 " xr:uid="{316F38D6-CB70-4B19-A6C2-6F42B97BD4DF}"/>
    <hyperlink ref="P219:P221" r:id="rId132" display="Données du SCT: Estimation des dépenses du Plan d’intervention économique pour répondre à la COVID-19 " xr:uid="{DD4C818A-B7F9-492D-8CAD-583A6B4583F0}"/>
    <hyperlink ref="P306" r:id="rId133" xr:uid="{2ABD6639-1EF4-4F26-A641-DF0579E6A13A}"/>
    <hyperlink ref="P301" r:id="rId134" xr:uid="{11A1EC56-3B91-440F-9F4D-A78BF5FF6BFF}"/>
    <hyperlink ref="P284" r:id="rId135" xr:uid="{4A225861-35A9-4A2B-8847-BEF472896A9B}"/>
    <hyperlink ref="P279" r:id="rId136" xr:uid="{81D5C134-CFCA-416D-B1FE-FB594226E290}"/>
    <hyperlink ref="P277" r:id="rId137" xr:uid="{98C1D7FB-0BB5-41C9-B042-5B7288B79C61}"/>
    <hyperlink ref="P271" r:id="rId138" xr:uid="{BB3DC48D-F74F-4A64-820B-5C358C34D5A6}"/>
    <hyperlink ref="P250" r:id="rId139" xr:uid="{0B2EE377-7CC3-4DB4-AC01-DC94FF36E7C4}"/>
    <hyperlink ref="P248" r:id="rId140" xr:uid="{CB1FDE0E-2FA8-4B04-8C83-A9B4F54EA4DD}"/>
    <hyperlink ref="P222" r:id="rId141" xr:uid="{7B22CF35-A792-4AE7-AAE8-BEC0B6C5AC1F}"/>
    <hyperlink ref="P218" r:id="rId142" xr:uid="{B179D801-4FA1-4C3F-B997-41746C5AB474}"/>
    <hyperlink ref="P204" r:id="rId143" xr:uid="{77979644-15E3-400A-84B0-17D2866C88EF}"/>
    <hyperlink ref="P299:P300" r:id="rId144" display="Données du SCT: Estimation des dépenses du Plan d’intervention économique pour répondre à la COVID-19 " xr:uid="{EEAF3D5F-CF1E-4ADE-B9C2-9BD4FA093CA3}"/>
    <hyperlink ref="P266" r:id="rId145" xr:uid="{1AB9914D-8E78-4FEF-9249-341EA19201BC}"/>
    <hyperlink ref="P265" r:id="rId146" xr:uid="{B8ED2AC0-0059-443B-A678-85669A1DDEF8}"/>
    <hyperlink ref="P263" r:id="rId147" xr:uid="{7F139A3F-672F-4E49-AFB5-A6C7BD57E20B}"/>
    <hyperlink ref="P255:P259" r:id="rId148" display="Données du SCT: Estimation des dépenses du Plan d’intervention économique pour répondre à la COVID-19 " xr:uid="{4CED7B85-01D9-4A34-9B31-440E21BEE170}"/>
    <hyperlink ref="P246:P247" r:id="rId149" display="Données du SCT: Estimation des dépenses du Plan d’intervention économique pour répondre à la COVID-19 " xr:uid="{378546AF-3741-409B-B739-2B919E3AF4B1}"/>
    <hyperlink ref="P244:P245" r:id="rId150" display="Données du SCT: Estimation des dépenses du Plan d’intervention économique pour répondre à la COVID-19 " xr:uid="{0070A500-43A0-4AAA-9D8F-261200441BC3}"/>
    <hyperlink ref="P242:P243" r:id="rId151" display="Données du SCT: Estimation des dépenses du Plan d’intervention économique pour répondre à la COVID-19 " xr:uid="{E196A291-7E92-4357-9775-2E23BBCD8445}"/>
    <hyperlink ref="P235" r:id="rId152" xr:uid="{B9E4B996-DB50-48DD-AA90-2C931E59328D}"/>
    <hyperlink ref="P236:P237" r:id="rId153" display="Données du SCT: Estimation des dépenses du Plan d’intervention économique pour répondre à la COVID-19 " xr:uid="{6F2436A6-3D8B-4250-938F-0204CFD7A6C7}"/>
    <hyperlink ref="P238:P241" r:id="rId154" display="Données du SCT: Estimation des dépenses du Plan d’intervention économique pour répondre à la COVID-19 " xr:uid="{EEB00B79-EBD4-4930-9D48-7DE36350BD0C}"/>
    <hyperlink ref="P230:P233" r:id="rId155" display="Données du SCT: Estimation des dépenses du Plan d’intervention économique pour répondre à la COVID-19 " xr:uid="{4F2BFB13-F053-41BE-9761-6D17564B8152}"/>
    <hyperlink ref="P224:P225" r:id="rId156" display="Données du SCT: Estimation des dépenses du Plan d’intervention économique pour répondre à la COVID-19 " xr:uid="{B4ECCBFC-3AC2-40DE-A2A7-C3EFDBB96827}"/>
    <hyperlink ref="P198:P199" r:id="rId157" display="Données du SCT: Estimation des dépenses du Plan d’intervention économique pour répondre à la COVID-19 " xr:uid="{0663BD96-C935-40DB-88B6-360AC8F46475}"/>
    <hyperlink ref="P200:P203" r:id="rId158" display="Données du SCT: Estimation des dépenses du Plan d’intervention économique pour répondre à la COVID-19 " xr:uid="{00D11417-97F5-49F3-82FF-4B5A9F9E5FE7}"/>
    <hyperlink ref="P186:P194" r:id="rId159" display="Données du SCT: Estimation des dépenses du Plan d’intervention économique pour répondre à la COVID-19 " xr:uid="{EF1853F5-94A0-4707-9DB7-73F437A2D0DB}"/>
    <hyperlink ref="P169:P174" r:id="rId160" display="Données du SCT: Estimation des dépenses du Plan d’intervention économique pour répondre à la COVID-19 " xr:uid="{4392BA35-7A3E-4A65-8266-8759E12DD09D}"/>
    <hyperlink ref="P153:P160" r:id="rId161" display="Données du SCT: Estimation des dépenses du Plan d’intervention économique pour répondre à la COVID-19 " xr:uid="{D4A16A36-1F80-43A2-914E-445C2639DDF2}"/>
    <hyperlink ref="P146:P147" r:id="rId162" display="Données du SCT: Estimation des dépenses du Plan d’intervention économique pour répondre à la COVID-19 " xr:uid="{4444A40E-D7D8-4C83-8AB7-72874634CE1B}"/>
    <hyperlink ref="P140" r:id="rId163" xr:uid="{0B533D6F-3AF7-4220-A252-D64EA2044915}"/>
    <hyperlink ref="P130:P135" r:id="rId164" display="Données du SCT: Estimation des dépenses du Plan d’intervention économique pour répondre à la COVID-19 " xr:uid="{996709B5-74B7-4B68-A8F5-DA2C98A9FBAE}"/>
    <hyperlink ref="P123:P126" r:id="rId165" display="Données du SCT: Estimation des dépenses du Plan d’intervention économique pour répondre à la COVID-19 " xr:uid="{FE05F024-464B-4210-8297-1038875DCBDF}"/>
    <hyperlink ref="P122" r:id="rId166" xr:uid="{FAB8BF39-CFE5-4085-A3E8-820DCFFDF05E}"/>
    <hyperlink ref="P121" r:id="rId167" xr:uid="{B66FBF3E-71B1-4EF9-B870-D966CB8A0827}"/>
    <hyperlink ref="P115:P119" r:id="rId168" display=" L'intervention d'urgence du Canada en réponse à la COVID-19 : SCHL" xr:uid="{5E1946BB-C6CE-4860-885B-9B2D1D7343A4}"/>
    <hyperlink ref="P113:P114" r:id="rId169" display="Données du SCT: Estimation des dépenses du Plan d’intervention économique pour répondre à la COVID-19 " xr:uid="{20E98369-06F4-49FC-B135-EFBD64CA18B5}"/>
    <hyperlink ref="P110" r:id="rId170" xr:uid="{65D01924-9985-4422-8BFE-95EDB7388D6A}"/>
    <hyperlink ref="P108:P109" r:id="rId171" display="Données du SCT: Estimation des dépenses du Plan d’intervention économique pour répondre à la COVID-19 " xr:uid="{B0481DF6-1AAA-4D4E-BDD1-03F75B7C7DA7}"/>
    <hyperlink ref="P97:P101" r:id="rId172" display="Données du SCT: Estimation des dépenses du Plan d’intervention économique pour répondre à la COVID-19 " xr:uid="{833ED0E8-2DAB-4089-9D1B-89208F68C5F5}"/>
    <hyperlink ref="P72:P74" r:id="rId173" display="Données du SCT: Estimation des dépenses du Plan d’intervention économique pour répondre à la COVID-19 " xr:uid="{E92CB2D1-7D66-4FF1-9647-5A1D9D3858B2}"/>
    <hyperlink ref="P69:P70" r:id="rId174" display="Données du SCT: Estimation des dépenses du Plan d’intervention économique pour répondre à la COVID-19 " xr:uid="{F8807894-245E-46B8-8AE9-9FEDBE7A86C1}"/>
    <hyperlink ref="P234" r:id="rId175" xr:uid="{D3F5BFC1-BE77-48D2-8004-2398493195AC}"/>
    <hyperlink ref="P251" r:id="rId176" xr:uid="{0C2ABABC-41A5-4ED2-ABA3-A0DA1B22528C}"/>
    <hyperlink ref="P252" r:id="rId177" xr:uid="{BF6B8C1A-5346-4EA0-AA8F-7D8E4E02ED9C}"/>
    <hyperlink ref="P280:P283" r:id="rId178" display="Données du SCT: Estimation des dépenses du Plan d’intervention économique pour répondre à la COVID-19 " xr:uid="{BE68D0F1-EFFC-4543-BFCA-67217645B568}"/>
    <hyperlink ref="P15:P65" r:id="rId179" display="Données du SCT: Estimation des dépenses du Plan d’intervention économique pour répondre à la COVID-19 " xr:uid="{425AFE5F-1B73-41BF-A935-76ECB4EC9244}"/>
    <hyperlink ref="P162" r:id="rId180" xr:uid="{BCF08AC4-7ED9-467F-8493-54AEA2542377}"/>
    <hyperlink ref="P163" r:id="rId181" xr:uid="{5D763948-A524-449E-B9DD-28E8A45D000F}"/>
    <hyperlink ref="P164" r:id="rId182" xr:uid="{76B5D232-A839-4DF4-B918-1427CCD58923}"/>
    <hyperlink ref="P165" r:id="rId183" xr:uid="{DD0FEB1C-2291-4081-90DD-EA943E5C9B1B}"/>
    <hyperlink ref="P166" r:id="rId184" xr:uid="{CBC0ED5B-215B-416A-8614-ED3F76AA2C48}"/>
    <hyperlink ref="P167" r:id="rId185" xr:uid="{130FF713-1D93-4FF7-85EA-CA173E8DC3B7}"/>
    <hyperlink ref="P168" r:id="rId186" xr:uid="{BDC15B26-0CEC-4882-8213-D17A81B65614}"/>
    <hyperlink ref="P175:P177" r:id="rId187" display="Données du SCT: Estimation des dépenses du Plan d’intervention économique pour répondre à la COVID-19 " xr:uid="{F4A3C9AF-6EED-430F-A905-2344AAD327C8}"/>
    <hyperlink ref="P226:P229" r:id="rId188" display="Données du SCT: Estimation des dépenses du Plan d’intervention économique pour répondre à la COVID-19 " xr:uid="{B1BD9D10-392E-4714-9D79-2A026B6A05EE}"/>
    <hyperlink ref="P267:P270" r:id="rId189" display="Données du SCT: Estimation des dépenses du Plan d’intervention économique pour répondre à la COVID-19 " xr:uid="{42F9CEAA-BB43-4CE4-AE60-447FCE7F52C6}"/>
    <hyperlink ref="P205:P208" r:id="rId190" display="Données du SCT: Estimation des dépenses du Plan d’intervention économique pour répondre à la COVID-19 " xr:uid="{7B033947-451C-4378-8853-1D399FEDDE0D}"/>
    <hyperlink ref="P127:P129" r:id="rId191" display="Données du SCT: Estimation des dépenses du Plan d’intervention économique pour répondre à la COVID-19 " xr:uid="{B6226EEF-4565-45FD-8F1F-B739B325F2CA}"/>
    <hyperlink ref="P307:P309" r:id="rId192" display="Données du SCT: Estimation des dépenses du Plan d’intervention économique pour répondre à la COVID-19 " xr:uid="{B663CEFC-9E7F-4CEF-9D0A-C99173814205}"/>
    <hyperlink ref="P313" r:id="rId193" xr:uid="{6FF8CEBA-582F-47C7-B20C-BCEBD0830217}"/>
    <hyperlink ref="P303" r:id="rId194" xr:uid="{B3CB4B7B-EDB1-409B-A960-BDE35735718C}"/>
    <hyperlink ref="P81:P82" r:id="rId195" display="Données du SCT: Estimation des dépenses du Plan d’intervention économique pour répondre à la COVID-19 " xr:uid="{E8E3D0CF-DD0F-43FD-86CC-EDB2627190AB}"/>
    <hyperlink ref="P8" r:id="rId196" xr:uid="{749C79F9-0E37-40C1-8852-1EA2D7F66EFC}"/>
    <hyperlink ref="P86:P87" r:id="rId197" display="Données du SCT: Estimation des dépenses du Plan d’intervention économique pour répondre à la COVID-19 " xr:uid="{5142CEF6-49E8-471D-8A80-2F3B8CEE2480}"/>
    <hyperlink ref="P71" r:id="rId198" xr:uid="{891FDFB7-9C4C-4F48-9EC0-204B510319DD}"/>
    <hyperlink ref="P136:P139" r:id="rId199" display=" L'intervention d'urgence du Canada en réponse à la COVID-19 : SCHL" xr:uid="{41385FFA-F5A1-45AE-A2C4-84B0CCD9169B}"/>
    <hyperlink ref="P5" r:id="rId200" xr:uid="{02DE88D1-71F3-4141-9600-CF0A6A21B426}"/>
  </hyperlinks>
  <pageMargins left="0.7" right="0.7" top="0.75" bottom="0.75" header="0.3" footer="0.3"/>
  <pageSetup orientation="portrait" r:id="rId20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65AF-18D6-4587-B869-7ECD0AFA1615}">
  <sheetPr>
    <tabColor theme="4"/>
  </sheetPr>
  <dimension ref="A1:L17"/>
  <sheetViews>
    <sheetView showGridLines="0" zoomScale="70" zoomScaleNormal="70" workbookViewId="0"/>
  </sheetViews>
  <sheetFormatPr defaultColWidth="9" defaultRowHeight="15" x14ac:dyDescent="0.25"/>
  <cols>
    <col min="1" max="1" width="82.7109375" customWidth="1"/>
    <col min="2" max="2" width="62.5703125" bestFit="1" customWidth="1"/>
    <col min="3" max="3" width="22.5703125" bestFit="1" customWidth="1"/>
    <col min="4" max="4" width="31.7109375" bestFit="1" customWidth="1"/>
    <col min="5" max="5" width="26.5703125" bestFit="1" customWidth="1"/>
    <col min="6" max="6" width="26.5703125" customWidth="1"/>
    <col min="7" max="7" width="32.42578125" bestFit="1" customWidth="1"/>
    <col min="8" max="8" width="40.28515625" bestFit="1" customWidth="1"/>
    <col min="9" max="9" width="42" bestFit="1" customWidth="1"/>
    <col min="10" max="10" width="28.140625" customWidth="1"/>
    <col min="11" max="11" width="42.5703125" customWidth="1"/>
    <col min="12" max="12" width="14.85546875" bestFit="1" customWidth="1"/>
  </cols>
  <sheetData>
    <row r="1" spans="1:12" x14ac:dyDescent="0.25">
      <c r="A1" s="23" t="s">
        <v>65</v>
      </c>
      <c r="B1" s="23"/>
    </row>
    <row r="2" spans="1:12" ht="15.75" thickBot="1" x14ac:dyDescent="0.3">
      <c r="B2" s="1"/>
      <c r="C2" s="677" t="s">
        <v>476</v>
      </c>
      <c r="D2" s="677"/>
      <c r="E2" s="677"/>
      <c r="F2" s="677"/>
      <c r="G2" s="677"/>
    </row>
    <row r="3" spans="1:12" ht="17.25" x14ac:dyDescent="0.25">
      <c r="A3" s="37" t="s">
        <v>65</v>
      </c>
      <c r="B3" s="79" t="s">
        <v>504</v>
      </c>
      <c r="C3" s="25" t="s">
        <v>473</v>
      </c>
      <c r="D3" s="25" t="s">
        <v>80</v>
      </c>
      <c r="E3" s="25" t="s">
        <v>471</v>
      </c>
      <c r="F3" s="25" t="s">
        <v>326</v>
      </c>
      <c r="G3" s="25" t="s">
        <v>472</v>
      </c>
      <c r="H3" s="26" t="s">
        <v>81</v>
      </c>
      <c r="I3" s="26" t="s">
        <v>82</v>
      </c>
      <c r="J3" s="26" t="s">
        <v>83</v>
      </c>
      <c r="K3" s="26" t="s">
        <v>84</v>
      </c>
      <c r="L3" s="27" t="s">
        <v>85</v>
      </c>
    </row>
    <row r="4" spans="1:12" x14ac:dyDescent="0.25">
      <c r="A4" s="38" t="s">
        <v>86</v>
      </c>
      <c r="B4" s="82"/>
      <c r="C4" s="39"/>
      <c r="D4" s="45"/>
      <c r="E4" s="39"/>
      <c r="F4" s="54"/>
      <c r="G4" s="46"/>
      <c r="H4" s="39"/>
      <c r="I4" s="39"/>
      <c r="J4" s="39"/>
      <c r="K4" s="39"/>
      <c r="L4" s="40"/>
    </row>
    <row r="5" spans="1:12" x14ac:dyDescent="0.25">
      <c r="A5" s="41" t="s">
        <v>87</v>
      </c>
      <c r="B5" s="86" t="s">
        <v>93</v>
      </c>
      <c r="C5" s="2" t="s">
        <v>88</v>
      </c>
      <c r="D5" s="9" t="s">
        <v>89</v>
      </c>
      <c r="E5" s="2" t="s">
        <v>90</v>
      </c>
      <c r="F5" s="21" t="s">
        <v>352</v>
      </c>
      <c r="G5" s="2" t="s">
        <v>90</v>
      </c>
      <c r="H5" s="2" t="s">
        <v>91</v>
      </c>
      <c r="I5" s="8" t="s">
        <v>30</v>
      </c>
      <c r="J5" s="2" t="s">
        <v>92</v>
      </c>
      <c r="K5" s="16" t="s">
        <v>93</v>
      </c>
      <c r="L5" s="6"/>
    </row>
    <row r="6" spans="1:12" ht="60" x14ac:dyDescent="0.25">
      <c r="A6" s="680" t="s">
        <v>94</v>
      </c>
      <c r="B6" s="502" t="s">
        <v>93</v>
      </c>
      <c r="C6" s="502" t="s">
        <v>88</v>
      </c>
      <c r="D6" s="428" t="s">
        <v>95</v>
      </c>
      <c r="E6" s="502" t="s">
        <v>90</v>
      </c>
      <c r="F6" s="431" t="s">
        <v>353</v>
      </c>
      <c r="G6" s="502" t="s">
        <v>90</v>
      </c>
      <c r="H6" s="502" t="s">
        <v>91</v>
      </c>
      <c r="I6" s="678" t="s">
        <v>22</v>
      </c>
      <c r="J6" s="502" t="s">
        <v>92</v>
      </c>
      <c r="K6" s="17" t="s">
        <v>96</v>
      </c>
      <c r="L6" s="47" t="s">
        <v>97</v>
      </c>
    </row>
    <row r="7" spans="1:12" ht="60" x14ac:dyDescent="0.25">
      <c r="A7" s="681"/>
      <c r="B7" s="504"/>
      <c r="C7" s="504"/>
      <c r="D7" s="430"/>
      <c r="E7" s="504"/>
      <c r="F7" s="433"/>
      <c r="G7" s="504"/>
      <c r="H7" s="504"/>
      <c r="I7" s="679"/>
      <c r="J7" s="504"/>
      <c r="K7" s="7" t="s">
        <v>98</v>
      </c>
      <c r="L7" s="48" t="s">
        <v>99</v>
      </c>
    </row>
    <row r="8" spans="1:12" ht="30.75" thickBot="1" x14ac:dyDescent="0.3">
      <c r="A8" s="49" t="s">
        <v>100</v>
      </c>
      <c r="B8" s="87" t="s">
        <v>93</v>
      </c>
      <c r="C8" s="3" t="s">
        <v>88</v>
      </c>
      <c r="D8" s="93" t="s">
        <v>101</v>
      </c>
      <c r="E8" s="94" t="s">
        <v>90</v>
      </c>
      <c r="F8" s="170" t="s">
        <v>90</v>
      </c>
      <c r="G8" s="3" t="s">
        <v>90</v>
      </c>
      <c r="H8" s="3" t="s">
        <v>91</v>
      </c>
      <c r="I8" s="4" t="s">
        <v>1</v>
      </c>
      <c r="J8" s="5" t="s">
        <v>372</v>
      </c>
      <c r="K8" s="3"/>
      <c r="L8" s="42"/>
    </row>
    <row r="9" spans="1:12" ht="15.75" thickBot="1" x14ac:dyDescent="0.3">
      <c r="A9" s="22" t="s">
        <v>102</v>
      </c>
      <c r="B9" s="95">
        <f>SUM(B5:B8)</f>
        <v>0</v>
      </c>
      <c r="C9" s="19"/>
      <c r="D9" s="19"/>
      <c r="E9" s="19"/>
      <c r="F9" s="19"/>
      <c r="G9" s="95">
        <f>SUM(G5:G8)</f>
        <v>0</v>
      </c>
      <c r="H9" s="19"/>
      <c r="I9" s="19"/>
      <c r="J9" s="19"/>
      <c r="K9" s="19"/>
      <c r="L9" s="20"/>
    </row>
    <row r="11" spans="1:12" ht="17.25" x14ac:dyDescent="0.25">
      <c r="A11" s="78" t="s">
        <v>361</v>
      </c>
      <c r="B11" s="1"/>
    </row>
    <row r="13" spans="1:12" x14ac:dyDescent="0.25">
      <c r="A13" s="1"/>
      <c r="B13" s="1"/>
    </row>
    <row r="14" spans="1:12" x14ac:dyDescent="0.25">
      <c r="A14" s="1"/>
      <c r="B14" s="1"/>
    </row>
    <row r="15" spans="1:12" x14ac:dyDescent="0.25">
      <c r="A15" s="1"/>
      <c r="B15" s="1"/>
    </row>
    <row r="16" spans="1:12" x14ac:dyDescent="0.25">
      <c r="A16" s="1"/>
      <c r="B16" s="1"/>
    </row>
    <row r="17" spans="1:2" x14ac:dyDescent="0.25">
      <c r="A17" s="1"/>
      <c r="B17" s="1"/>
    </row>
  </sheetData>
  <mergeCells count="11">
    <mergeCell ref="C2:G2"/>
    <mergeCell ref="I6:I7"/>
    <mergeCell ref="J6:J7"/>
    <mergeCell ref="A6:A7"/>
    <mergeCell ref="C6:C7"/>
    <mergeCell ref="D6:D7"/>
    <mergeCell ref="E6:E7"/>
    <mergeCell ref="G6:G7"/>
    <mergeCell ref="H6:H7"/>
    <mergeCell ref="F6:F7"/>
    <mergeCell ref="B6:B7"/>
  </mergeCells>
  <hyperlinks>
    <hyperlink ref="I5" r:id="rId1" xr:uid="{55423F16-4DE7-47FE-B63F-94A9653CA2F1}"/>
    <hyperlink ref="I6" r:id="rId2" xr:uid="{CC77120A-0F66-4418-99A2-9EE08F28FFB2}"/>
    <hyperlink ref="I8" r:id="rId3" xr:uid="{94C9007A-8ED3-4867-B00E-7F662CF6ED54}"/>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9526-BEEE-4C4C-959C-BC21BA51D51C}">
  <sheetPr>
    <tabColor theme="4"/>
  </sheetPr>
  <dimension ref="A1:L29"/>
  <sheetViews>
    <sheetView showGridLines="0" zoomScale="70" zoomScaleNormal="70" workbookViewId="0"/>
  </sheetViews>
  <sheetFormatPr defaultColWidth="9" defaultRowHeight="15" x14ac:dyDescent="0.25"/>
  <cols>
    <col min="1" max="1" width="98.140625" customWidth="1"/>
    <col min="2" max="2" width="61.140625" customWidth="1"/>
    <col min="3" max="3" width="25.28515625" bestFit="1" customWidth="1"/>
    <col min="4" max="4" width="30" customWidth="1"/>
    <col min="5" max="5" width="21.140625" bestFit="1" customWidth="1"/>
    <col min="6" max="6" width="40.85546875" customWidth="1"/>
    <col min="7" max="7" width="21.42578125" bestFit="1" customWidth="1"/>
    <col min="8" max="8" width="40.28515625" bestFit="1" customWidth="1"/>
    <col min="9" max="9" width="42" bestFit="1" customWidth="1"/>
    <col min="10" max="10" width="20.7109375" bestFit="1" customWidth="1"/>
    <col min="11" max="11" width="51.140625" customWidth="1"/>
    <col min="12" max="12" width="19.5703125" bestFit="1" customWidth="1"/>
  </cols>
  <sheetData>
    <row r="1" spans="1:12" x14ac:dyDescent="0.25">
      <c r="A1" s="23" t="s">
        <v>103</v>
      </c>
      <c r="B1" s="23"/>
    </row>
    <row r="2" spans="1:12" ht="15.75" thickBot="1" x14ac:dyDescent="0.3">
      <c r="B2" s="1"/>
      <c r="C2" s="677" t="s">
        <v>476</v>
      </c>
      <c r="D2" s="677"/>
      <c r="E2" s="677"/>
      <c r="F2" s="677"/>
      <c r="G2" s="677"/>
    </row>
    <row r="3" spans="1:12" ht="17.25" x14ac:dyDescent="0.25">
      <c r="A3" s="37" t="s">
        <v>103</v>
      </c>
      <c r="B3" s="79" t="s">
        <v>504</v>
      </c>
      <c r="C3" s="25" t="s">
        <v>473</v>
      </c>
      <c r="D3" s="25" t="s">
        <v>80</v>
      </c>
      <c r="E3" s="25" t="s">
        <v>471</v>
      </c>
      <c r="F3" s="25" t="s">
        <v>326</v>
      </c>
      <c r="G3" s="25" t="s">
        <v>472</v>
      </c>
      <c r="H3" s="26" t="s">
        <v>81</v>
      </c>
      <c r="I3" s="26" t="s">
        <v>82</v>
      </c>
      <c r="J3" s="26" t="s">
        <v>83</v>
      </c>
      <c r="K3" s="26" t="s">
        <v>84</v>
      </c>
      <c r="L3" s="27" t="s">
        <v>85</v>
      </c>
    </row>
    <row r="4" spans="1:12" x14ac:dyDescent="0.25">
      <c r="A4" s="43" t="s">
        <v>104</v>
      </c>
      <c r="B4" s="83"/>
      <c r="C4" s="60"/>
      <c r="D4" s="60"/>
      <c r="E4" s="60"/>
      <c r="F4" s="60"/>
      <c r="G4" s="161"/>
      <c r="H4" s="60"/>
      <c r="I4" s="60"/>
      <c r="J4" s="56"/>
      <c r="K4" s="73"/>
      <c r="L4" s="59"/>
    </row>
    <row r="5" spans="1:12" ht="126" customHeight="1" x14ac:dyDescent="0.25">
      <c r="A5" s="30" t="s">
        <v>105</v>
      </c>
      <c r="B5" s="88" t="s">
        <v>93</v>
      </c>
      <c r="C5" s="56" t="s">
        <v>88</v>
      </c>
      <c r="D5" s="58" t="s">
        <v>106</v>
      </c>
      <c r="E5" s="56" t="s">
        <v>90</v>
      </c>
      <c r="F5" s="75" t="s">
        <v>341</v>
      </c>
      <c r="G5" s="162" t="s">
        <v>90</v>
      </c>
      <c r="H5" s="56" t="s">
        <v>91</v>
      </c>
      <c r="I5" s="57" t="s">
        <v>52</v>
      </c>
      <c r="J5" s="61" t="s">
        <v>661</v>
      </c>
      <c r="K5" s="28" t="s">
        <v>690</v>
      </c>
      <c r="L5" s="59" t="s">
        <v>691</v>
      </c>
    </row>
    <row r="6" spans="1:12" ht="90" x14ac:dyDescent="0.25">
      <c r="A6" s="30" t="s">
        <v>107</v>
      </c>
      <c r="B6" s="88" t="s">
        <v>93</v>
      </c>
      <c r="C6" s="56" t="s">
        <v>88</v>
      </c>
      <c r="D6" s="58" t="s">
        <v>108</v>
      </c>
      <c r="E6" s="56" t="s">
        <v>90</v>
      </c>
      <c r="F6" s="75" t="s">
        <v>341</v>
      </c>
      <c r="G6" s="162" t="s">
        <v>90</v>
      </c>
      <c r="H6" s="56" t="s">
        <v>91</v>
      </c>
      <c r="I6" s="57" t="s">
        <v>53</v>
      </c>
      <c r="J6" s="61" t="s">
        <v>661</v>
      </c>
      <c r="K6" s="28" t="s">
        <v>695</v>
      </c>
      <c r="L6" s="55" t="s">
        <v>694</v>
      </c>
    </row>
    <row r="7" spans="1:12" ht="89.25" customHeight="1" x14ac:dyDescent="0.25">
      <c r="A7" s="30" t="s">
        <v>110</v>
      </c>
      <c r="B7" s="88" t="s">
        <v>93</v>
      </c>
      <c r="C7" s="56" t="s">
        <v>88</v>
      </c>
      <c r="D7" s="58" t="s">
        <v>108</v>
      </c>
      <c r="E7" s="56" t="s">
        <v>90</v>
      </c>
      <c r="F7" s="72" t="s">
        <v>341</v>
      </c>
      <c r="G7" s="162" t="s">
        <v>90</v>
      </c>
      <c r="H7" s="56" t="s">
        <v>91</v>
      </c>
      <c r="I7" s="57" t="s">
        <v>53</v>
      </c>
      <c r="J7" s="61" t="s">
        <v>111</v>
      </c>
      <c r="K7" s="182" t="s">
        <v>620</v>
      </c>
      <c r="L7" s="183" t="s">
        <v>621</v>
      </c>
    </row>
    <row r="8" spans="1:12" ht="112.5" customHeight="1" x14ac:dyDescent="0.25">
      <c r="A8" s="692" t="s">
        <v>112</v>
      </c>
      <c r="B8" s="502" t="s">
        <v>90</v>
      </c>
      <c r="C8" s="56" t="s">
        <v>88</v>
      </c>
      <c r="D8" s="58" t="s">
        <v>106</v>
      </c>
      <c r="E8" s="56" t="s">
        <v>90</v>
      </c>
      <c r="F8" s="75" t="s">
        <v>341</v>
      </c>
      <c r="G8" s="162" t="s">
        <v>90</v>
      </c>
      <c r="H8" s="56" t="s">
        <v>91</v>
      </c>
      <c r="I8" s="57" t="s">
        <v>52</v>
      </c>
      <c r="J8" s="61" t="s">
        <v>661</v>
      </c>
      <c r="K8" s="28" t="s">
        <v>690</v>
      </c>
      <c r="L8" s="415" t="s">
        <v>691</v>
      </c>
    </row>
    <row r="9" spans="1:12" ht="56.25" customHeight="1" x14ac:dyDescent="0.25">
      <c r="A9" s="693"/>
      <c r="B9" s="504"/>
      <c r="C9" s="56" t="s">
        <v>88</v>
      </c>
      <c r="D9" s="58" t="s">
        <v>108</v>
      </c>
      <c r="E9" s="56" t="s">
        <v>90</v>
      </c>
      <c r="F9" s="75" t="s">
        <v>341</v>
      </c>
      <c r="G9" s="162" t="s">
        <v>90</v>
      </c>
      <c r="H9" s="56" t="s">
        <v>91</v>
      </c>
      <c r="I9" s="57" t="s">
        <v>53</v>
      </c>
      <c r="J9" s="61" t="s">
        <v>661</v>
      </c>
      <c r="K9" s="28" t="s">
        <v>666</v>
      </c>
      <c r="L9" s="55" t="s">
        <v>694</v>
      </c>
    </row>
    <row r="10" spans="1:12" x14ac:dyDescent="0.25">
      <c r="A10" s="43" t="s">
        <v>114</v>
      </c>
      <c r="B10" s="89"/>
      <c r="C10" s="56"/>
      <c r="D10" s="60"/>
      <c r="E10" s="60"/>
      <c r="F10" s="60"/>
      <c r="G10" s="162"/>
      <c r="H10" s="56"/>
      <c r="I10" s="57"/>
      <c r="J10" s="56"/>
      <c r="K10" s="28"/>
      <c r="L10" s="59"/>
    </row>
    <row r="11" spans="1:12" ht="90" x14ac:dyDescent="0.25">
      <c r="A11" s="30" t="s">
        <v>115</v>
      </c>
      <c r="B11" s="88" t="s">
        <v>90</v>
      </c>
      <c r="C11" s="56" t="s">
        <v>88</v>
      </c>
      <c r="D11" s="73" t="s">
        <v>116</v>
      </c>
      <c r="E11" s="56" t="s">
        <v>90</v>
      </c>
      <c r="F11" s="72" t="s">
        <v>341</v>
      </c>
      <c r="G11" s="162" t="s">
        <v>90</v>
      </c>
      <c r="H11" s="56" t="s">
        <v>91</v>
      </c>
      <c r="I11" s="57" t="s">
        <v>54</v>
      </c>
      <c r="J11" s="61" t="s">
        <v>661</v>
      </c>
      <c r="K11" s="28" t="s">
        <v>662</v>
      </c>
      <c r="L11" s="59" t="s">
        <v>663</v>
      </c>
    </row>
    <row r="12" spans="1:12" ht="60" x14ac:dyDescent="0.25">
      <c r="A12" s="30" t="s">
        <v>117</v>
      </c>
      <c r="B12" s="88" t="s">
        <v>90</v>
      </c>
      <c r="C12" s="56" t="s">
        <v>88</v>
      </c>
      <c r="D12" s="58" t="s">
        <v>118</v>
      </c>
      <c r="E12" s="56" t="s">
        <v>90</v>
      </c>
      <c r="F12" s="53" t="s">
        <v>350</v>
      </c>
      <c r="G12" s="162" t="s">
        <v>90</v>
      </c>
      <c r="H12" s="56" t="s">
        <v>91</v>
      </c>
      <c r="I12" s="57" t="s">
        <v>15</v>
      </c>
      <c r="J12" s="58" t="s">
        <v>92</v>
      </c>
      <c r="K12" s="28" t="s">
        <v>667</v>
      </c>
      <c r="L12" s="180" t="s">
        <v>668</v>
      </c>
    </row>
    <row r="13" spans="1:12" ht="45" x14ac:dyDescent="0.25">
      <c r="A13" s="694" t="s">
        <v>119</v>
      </c>
      <c r="B13" s="502" t="s">
        <v>90</v>
      </c>
      <c r="C13" s="56" t="s">
        <v>88</v>
      </c>
      <c r="D13" s="58" t="s">
        <v>120</v>
      </c>
      <c r="E13" s="56" t="s">
        <v>90</v>
      </c>
      <c r="F13" s="76" t="s">
        <v>341</v>
      </c>
      <c r="G13" s="162" t="s">
        <v>90</v>
      </c>
      <c r="H13" s="56" t="s">
        <v>91</v>
      </c>
      <c r="I13" s="57" t="s">
        <v>55</v>
      </c>
      <c r="J13" s="31" t="s">
        <v>121</v>
      </c>
      <c r="K13" s="687" t="s">
        <v>664</v>
      </c>
      <c r="L13" s="689" t="s">
        <v>665</v>
      </c>
    </row>
    <row r="14" spans="1:12" ht="90" x14ac:dyDescent="0.25">
      <c r="A14" s="695"/>
      <c r="B14" s="504"/>
      <c r="C14" s="56" t="s">
        <v>398</v>
      </c>
      <c r="D14" s="141" t="s">
        <v>101</v>
      </c>
      <c r="E14" s="138" t="s">
        <v>170</v>
      </c>
      <c r="F14" s="169" t="s">
        <v>422</v>
      </c>
      <c r="G14" s="143">
        <v>200</v>
      </c>
      <c r="H14" s="56"/>
      <c r="I14" s="140" t="s">
        <v>1</v>
      </c>
      <c r="J14" s="61" t="s">
        <v>661</v>
      </c>
      <c r="K14" s="688"/>
      <c r="L14" s="690"/>
    </row>
    <row r="15" spans="1:12" ht="30" x14ac:dyDescent="0.25">
      <c r="A15" s="51" t="s">
        <v>122</v>
      </c>
      <c r="B15" s="89"/>
      <c r="C15" s="56"/>
      <c r="D15" s="60"/>
      <c r="E15" s="60"/>
      <c r="F15" s="60"/>
      <c r="G15" s="162"/>
      <c r="H15" s="56"/>
      <c r="I15" s="56"/>
      <c r="J15" s="56"/>
      <c r="K15" s="28"/>
      <c r="L15" s="59"/>
    </row>
    <row r="16" spans="1:12" ht="28.5" customHeight="1" x14ac:dyDescent="0.25">
      <c r="A16" s="605" t="s">
        <v>123</v>
      </c>
      <c r="B16" s="502" t="s">
        <v>90</v>
      </c>
      <c r="C16" s="502" t="s">
        <v>88</v>
      </c>
      <c r="D16" s="428" t="s">
        <v>124</v>
      </c>
      <c r="E16" s="502" t="s">
        <v>90</v>
      </c>
      <c r="F16" s="431" t="s">
        <v>341</v>
      </c>
      <c r="G16" s="696" t="s">
        <v>90</v>
      </c>
      <c r="H16" s="502" t="s">
        <v>91</v>
      </c>
      <c r="I16" s="678" t="s">
        <v>31</v>
      </c>
      <c r="J16" s="685" t="s">
        <v>661</v>
      </c>
      <c r="K16" s="683" t="s">
        <v>125</v>
      </c>
      <c r="L16" s="602" t="s">
        <v>624</v>
      </c>
    </row>
    <row r="17" spans="1:12" ht="30" customHeight="1" x14ac:dyDescent="0.25">
      <c r="A17" s="606"/>
      <c r="B17" s="504"/>
      <c r="C17" s="504"/>
      <c r="D17" s="430"/>
      <c r="E17" s="504"/>
      <c r="F17" s="433"/>
      <c r="G17" s="697"/>
      <c r="H17" s="504"/>
      <c r="I17" s="682"/>
      <c r="J17" s="686"/>
      <c r="K17" s="684"/>
      <c r="L17" s="691"/>
    </row>
    <row r="18" spans="1:12" ht="14.25" customHeight="1" x14ac:dyDescent="0.25">
      <c r="A18" s="52" t="s">
        <v>126</v>
      </c>
      <c r="B18" s="88" t="s">
        <v>90</v>
      </c>
      <c r="C18" s="62" t="s">
        <v>88</v>
      </c>
      <c r="D18" s="44"/>
      <c r="E18" s="56" t="s">
        <v>90</v>
      </c>
      <c r="F18" s="176" t="s">
        <v>341</v>
      </c>
      <c r="G18" s="162" t="s">
        <v>90</v>
      </c>
      <c r="H18" s="62"/>
      <c r="I18" s="62"/>
      <c r="J18" s="77"/>
      <c r="K18" s="74"/>
      <c r="L18" s="42"/>
    </row>
    <row r="19" spans="1:12" ht="90.75" thickBot="1" x14ac:dyDescent="0.3">
      <c r="A19" s="173" t="s">
        <v>128</v>
      </c>
      <c r="B19" s="88" t="s">
        <v>90</v>
      </c>
      <c r="C19" s="62" t="s">
        <v>88</v>
      </c>
      <c r="D19" s="76" t="s">
        <v>106</v>
      </c>
      <c r="E19" s="56" t="s">
        <v>90</v>
      </c>
      <c r="F19" s="176" t="s">
        <v>341</v>
      </c>
      <c r="G19" s="162" t="s">
        <v>90</v>
      </c>
      <c r="H19" s="172" t="s">
        <v>132</v>
      </c>
      <c r="I19" s="111"/>
      <c r="J19" s="61" t="s">
        <v>661</v>
      </c>
      <c r="K19" s="406" t="s">
        <v>692</v>
      </c>
      <c r="L19" s="403" t="s">
        <v>665</v>
      </c>
    </row>
    <row r="20" spans="1:12" ht="14.65" customHeight="1" thickBot="1" x14ac:dyDescent="0.3">
      <c r="A20" s="63" t="s">
        <v>127</v>
      </c>
      <c r="B20" s="90">
        <f>SUM(B5:B9,B11:B13,B17:B19)</f>
        <v>0</v>
      </c>
      <c r="C20" s="19"/>
      <c r="D20" s="19"/>
      <c r="E20" s="19"/>
      <c r="F20" s="174"/>
      <c r="G20" s="50">
        <f>SUM(G5:G9,G11:G13,G16:G19)</f>
        <v>0</v>
      </c>
      <c r="H20" s="19"/>
      <c r="I20" s="19"/>
      <c r="J20" s="19"/>
      <c r="K20" s="19"/>
      <c r="L20" s="20"/>
    </row>
    <row r="21" spans="1:12" ht="15.75" thickBot="1" x14ac:dyDescent="0.3">
      <c r="A21" s="63" t="s">
        <v>489</v>
      </c>
      <c r="B21" s="90"/>
      <c r="C21" s="19"/>
      <c r="D21" s="19"/>
      <c r="E21" s="19"/>
      <c r="F21" s="19"/>
      <c r="G21" s="90">
        <f>SUMIF(C3:C19,"*Supp C*",G3:G19)</f>
        <v>200</v>
      </c>
      <c r="H21" s="19"/>
      <c r="I21" s="19"/>
      <c r="J21" s="19"/>
      <c r="K21" s="19"/>
      <c r="L21" s="20"/>
    </row>
    <row r="22" spans="1:12" x14ac:dyDescent="0.25">
      <c r="A22" s="163"/>
      <c r="B22" s="164"/>
      <c r="C22" s="165"/>
      <c r="D22" s="165"/>
      <c r="E22" s="165"/>
      <c r="F22" s="165"/>
      <c r="G22" s="164"/>
      <c r="H22" s="165"/>
      <c r="I22" s="165"/>
      <c r="J22" s="165"/>
      <c r="K22" s="165"/>
      <c r="L22" s="165"/>
    </row>
    <row r="23" spans="1:12" ht="17.25" x14ac:dyDescent="0.25">
      <c r="A23" s="78" t="s">
        <v>361</v>
      </c>
      <c r="B23" s="1"/>
    </row>
    <row r="25" spans="1:12" x14ac:dyDescent="0.25">
      <c r="A25" s="1"/>
      <c r="B25" s="1"/>
    </row>
    <row r="26" spans="1:12" x14ac:dyDescent="0.25">
      <c r="A26" s="1"/>
      <c r="B26" s="1"/>
    </row>
    <row r="27" spans="1:12" x14ac:dyDescent="0.25">
      <c r="A27" s="1"/>
      <c r="B27" s="1"/>
    </row>
    <row r="28" spans="1:12" x14ac:dyDescent="0.25">
      <c r="A28" s="1"/>
      <c r="B28" s="1"/>
    </row>
    <row r="29" spans="1:12" x14ac:dyDescent="0.25">
      <c r="A29" s="1"/>
      <c r="B29" s="1"/>
    </row>
  </sheetData>
  <mergeCells count="19">
    <mergeCell ref="H16:H17"/>
    <mergeCell ref="C2:G2"/>
    <mergeCell ref="A8:A9"/>
    <mergeCell ref="A16:A17"/>
    <mergeCell ref="C16:C17"/>
    <mergeCell ref="D16:D17"/>
    <mergeCell ref="E16:E17"/>
    <mergeCell ref="B8:B9"/>
    <mergeCell ref="B16:B17"/>
    <mergeCell ref="A13:A14"/>
    <mergeCell ref="B13:B14"/>
    <mergeCell ref="F16:F17"/>
    <mergeCell ref="G16:G17"/>
    <mergeCell ref="I16:I17"/>
    <mergeCell ref="K16:K17"/>
    <mergeCell ref="J16:J17"/>
    <mergeCell ref="K13:K14"/>
    <mergeCell ref="L13:L14"/>
    <mergeCell ref="L16:L17"/>
  </mergeCells>
  <hyperlinks>
    <hyperlink ref="J7" r:id="rId1" xr:uid="{B2E891CF-ED6D-4C58-B1AC-208D3C12D95D}"/>
    <hyperlink ref="I6" r:id="rId2" xr:uid="{989D274B-C2F8-4B18-B6A1-AC2F7517BABA}"/>
    <hyperlink ref="I5" r:id="rId3" xr:uid="{6F8D2688-B10B-47FF-9C15-4FFF139643DA}"/>
    <hyperlink ref="I11" r:id="rId4" xr:uid="{A5A88CE2-5EFA-45F2-A748-FD8A613ED789}"/>
    <hyperlink ref="I13" r:id="rId5" xr:uid="{DDE6D6B6-B571-4D40-AEFE-84D1C8B2B0BA}"/>
    <hyperlink ref="I12" r:id="rId6" xr:uid="{51331CB5-47BF-4E3B-930F-85A57B8F0354}"/>
    <hyperlink ref="I7" r:id="rId7" xr:uid="{AFE0A240-DDE3-4C79-9114-68F50ECB31FF}"/>
    <hyperlink ref="I8" r:id="rId8" xr:uid="{1947B3C3-270B-4064-B568-1F86E246AC09}"/>
    <hyperlink ref="I9" r:id="rId9" xr:uid="{5D2E794B-EFBD-4C1B-917E-31DBDCADE95D}"/>
    <hyperlink ref="J13" r:id="rId10" xr:uid="{720884F2-76FA-4C22-B28F-E4D8BFB6320B}"/>
    <hyperlink ref="I16" r:id="rId11" xr:uid="{B80B27F4-15EE-4A3C-9765-1701EF88DAA5}"/>
    <hyperlink ref="I14" r:id="rId12" xr:uid="{F9802534-B63D-4FDB-8694-424B5945E2E3}"/>
    <hyperlink ref="J16:J17" r:id="rId13" display=" L'intervention d'urgence du Canada en réponse à la COVID-19 : SCHL" xr:uid="{50CB3334-17F6-4B57-B3D2-8959E7F1E58C}"/>
    <hyperlink ref="J5" r:id="rId14" xr:uid="{372CB2DF-56F3-4093-86E4-2567FAC98219}"/>
    <hyperlink ref="J6" r:id="rId15" xr:uid="{C1E2578D-643F-4961-B26E-7F19D7EB36BE}"/>
    <hyperlink ref="J8" r:id="rId16" xr:uid="{6B80F7F5-BA85-4750-8765-A136B5011F99}"/>
    <hyperlink ref="J9" r:id="rId17" xr:uid="{246A45BC-6096-4A1D-94C2-F1E03FC37ED7}"/>
    <hyperlink ref="J11" r:id="rId18" xr:uid="{70BF0B1C-83B7-46E4-AB6B-0F4A4808CC18}"/>
    <hyperlink ref="J14" r:id="rId19" xr:uid="{4F4FF04B-FC38-433F-8992-6456262692E0}"/>
    <hyperlink ref="J19" r:id="rId20" xr:uid="{B0993F70-2D87-4A16-8F12-2EDBC3D32F08}"/>
  </hyperlinks>
  <pageMargins left="0.7" right="0.7" top="0.75" bottom="0.75" header="0.3" footer="0.3"/>
  <pageSetup orientation="portrait"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75F37-838F-4E06-B287-5F8B03278ECF}">
  <sheetPr>
    <tabColor theme="9" tint="-0.249977111117893"/>
  </sheetPr>
  <dimension ref="A1:R57"/>
  <sheetViews>
    <sheetView showGridLines="0" zoomScale="70" zoomScaleNormal="70" workbookViewId="0"/>
  </sheetViews>
  <sheetFormatPr defaultRowHeight="15" x14ac:dyDescent="0.25"/>
  <cols>
    <col min="1" max="1" width="82" customWidth="1"/>
    <col min="2" max="2" width="61.42578125" bestFit="1" customWidth="1"/>
    <col min="3" max="3" width="26.140625" bestFit="1" customWidth="1"/>
    <col min="4" max="4" width="46.5703125" customWidth="1"/>
    <col min="5" max="5" width="25.28515625" bestFit="1" customWidth="1"/>
    <col min="6" max="6" width="43.7109375" bestFit="1" customWidth="1"/>
    <col min="7" max="7" width="32.42578125" bestFit="1" customWidth="1"/>
    <col min="8" max="8" width="61.42578125" bestFit="1" customWidth="1"/>
    <col min="9" max="9" width="26.140625" bestFit="1" customWidth="1"/>
    <col min="10" max="10" width="46.5703125" customWidth="1"/>
    <col min="11" max="11" width="25.28515625" bestFit="1" customWidth="1"/>
    <col min="12" max="12" width="43.7109375" bestFit="1" customWidth="1"/>
    <col min="13" max="13" width="32.42578125" bestFit="1" customWidth="1"/>
    <col min="14" max="14" width="42" bestFit="1" customWidth="1"/>
    <col min="15" max="15" width="42.28515625" bestFit="1" customWidth="1"/>
    <col min="16" max="16" width="27.7109375" bestFit="1" customWidth="1"/>
    <col min="17" max="17" width="33" customWidth="1"/>
    <col min="18" max="18" width="23.140625" customWidth="1"/>
  </cols>
  <sheetData>
    <row r="1" spans="1:18" ht="15.75" thickBot="1" x14ac:dyDescent="0.3">
      <c r="A1" s="23" t="s">
        <v>657</v>
      </c>
      <c r="B1" s="23"/>
      <c r="H1" s="23"/>
    </row>
    <row r="2" spans="1:18" ht="15.75" thickBot="1" x14ac:dyDescent="0.3">
      <c r="A2" s="1"/>
      <c r="B2" s="509" t="s">
        <v>476</v>
      </c>
      <c r="C2" s="510"/>
      <c r="D2" s="510"/>
      <c r="E2" s="510"/>
      <c r="F2" s="510"/>
      <c r="G2" s="511"/>
      <c r="H2" s="509" t="s">
        <v>652</v>
      </c>
      <c r="I2" s="510"/>
      <c r="J2" s="510"/>
      <c r="K2" s="510"/>
      <c r="L2" s="510"/>
      <c r="M2" s="511"/>
    </row>
    <row r="3" spans="1:18" ht="17.25" x14ac:dyDescent="0.25">
      <c r="A3" s="24" t="s">
        <v>657</v>
      </c>
      <c r="B3" s="79" t="s">
        <v>504</v>
      </c>
      <c r="C3" s="25" t="s">
        <v>473</v>
      </c>
      <c r="D3" s="25" t="s">
        <v>80</v>
      </c>
      <c r="E3" s="25" t="s">
        <v>471</v>
      </c>
      <c r="F3" s="25" t="s">
        <v>326</v>
      </c>
      <c r="G3" s="25" t="s">
        <v>472</v>
      </c>
      <c r="H3" s="79" t="s">
        <v>509</v>
      </c>
      <c r="I3" s="25" t="s">
        <v>474</v>
      </c>
      <c r="J3" s="25" t="s">
        <v>80</v>
      </c>
      <c r="K3" s="25" t="s">
        <v>471</v>
      </c>
      <c r="L3" s="25" t="s">
        <v>326</v>
      </c>
      <c r="M3" s="25" t="s">
        <v>475</v>
      </c>
      <c r="N3" s="26" t="s">
        <v>81</v>
      </c>
      <c r="O3" s="26" t="s">
        <v>82</v>
      </c>
      <c r="P3" s="26" t="s">
        <v>83</v>
      </c>
      <c r="Q3" s="26" t="s">
        <v>84</v>
      </c>
      <c r="R3" s="27" t="s">
        <v>85</v>
      </c>
    </row>
    <row r="4" spans="1:18" ht="24.75" customHeight="1" x14ac:dyDescent="0.25">
      <c r="A4" s="558" t="s">
        <v>129</v>
      </c>
      <c r="B4" s="431"/>
      <c r="C4" s="133" t="s">
        <v>130</v>
      </c>
      <c r="D4" s="122" t="s">
        <v>118</v>
      </c>
      <c r="E4" s="133" t="s">
        <v>131</v>
      </c>
      <c r="F4" s="133" t="s">
        <v>90</v>
      </c>
      <c r="G4" s="142">
        <v>-20</v>
      </c>
      <c r="H4" s="431"/>
      <c r="I4" s="358"/>
      <c r="J4" s="336"/>
      <c r="K4" s="358"/>
      <c r="L4" s="358"/>
      <c r="M4" s="357"/>
      <c r="N4" s="700" t="s">
        <v>132</v>
      </c>
      <c r="O4" s="700"/>
      <c r="P4" s="700"/>
      <c r="Q4" s="700"/>
      <c r="R4" s="702"/>
    </row>
    <row r="5" spans="1:18" ht="36" customHeight="1" x14ac:dyDescent="0.25">
      <c r="A5" s="450"/>
      <c r="B5" s="433"/>
      <c r="C5" s="133" t="s">
        <v>130</v>
      </c>
      <c r="D5" s="122" t="s">
        <v>118</v>
      </c>
      <c r="E5" s="133" t="s">
        <v>131</v>
      </c>
      <c r="F5" s="133" t="s">
        <v>90</v>
      </c>
      <c r="G5" s="142">
        <v>20</v>
      </c>
      <c r="H5" s="433"/>
      <c r="I5" s="358"/>
      <c r="J5" s="336"/>
      <c r="K5" s="358"/>
      <c r="L5" s="358"/>
      <c r="M5" s="357"/>
      <c r="N5" s="701"/>
      <c r="O5" s="701"/>
      <c r="P5" s="701"/>
      <c r="Q5" s="701"/>
      <c r="R5" s="703"/>
    </row>
    <row r="6" spans="1:18" x14ac:dyDescent="0.25">
      <c r="A6" s="112" t="s">
        <v>135</v>
      </c>
      <c r="B6" s="107"/>
      <c r="C6" s="120" t="s">
        <v>136</v>
      </c>
      <c r="D6" s="122" t="s">
        <v>137</v>
      </c>
      <c r="E6" s="120" t="s">
        <v>131</v>
      </c>
      <c r="F6" s="120" t="s">
        <v>90</v>
      </c>
      <c r="G6" s="142">
        <v>6.4198120000000003</v>
      </c>
      <c r="H6" s="107"/>
      <c r="I6" s="322"/>
      <c r="J6" s="336"/>
      <c r="K6" s="322"/>
      <c r="L6" s="322"/>
      <c r="M6" s="357"/>
      <c r="N6" s="120" t="s">
        <v>91</v>
      </c>
      <c r="O6" s="121" t="s">
        <v>2</v>
      </c>
      <c r="P6" s="122" t="s">
        <v>92</v>
      </c>
      <c r="Q6" s="127" t="s">
        <v>678</v>
      </c>
      <c r="R6" s="405" t="s">
        <v>663</v>
      </c>
    </row>
    <row r="7" spans="1:18" ht="45" x14ac:dyDescent="0.25">
      <c r="A7" s="112" t="s">
        <v>138</v>
      </c>
      <c r="B7" s="107"/>
      <c r="C7" s="120" t="s">
        <v>136</v>
      </c>
      <c r="D7" s="122" t="s">
        <v>139</v>
      </c>
      <c r="E7" s="120" t="s">
        <v>131</v>
      </c>
      <c r="F7" s="120" t="s">
        <v>90</v>
      </c>
      <c r="G7" s="142">
        <v>5</v>
      </c>
      <c r="H7" s="107"/>
      <c r="I7" s="322"/>
      <c r="J7" s="336"/>
      <c r="K7" s="322"/>
      <c r="L7" s="322"/>
      <c r="M7" s="357"/>
      <c r="N7" s="120" t="s">
        <v>91</v>
      </c>
      <c r="O7" s="121" t="s">
        <v>42</v>
      </c>
      <c r="P7" s="122" t="s">
        <v>113</v>
      </c>
      <c r="Q7" s="127"/>
      <c r="R7" s="106"/>
    </row>
    <row r="8" spans="1:18" ht="30" customHeight="1" x14ac:dyDescent="0.25">
      <c r="A8" s="558" t="s">
        <v>140</v>
      </c>
      <c r="B8" s="431"/>
      <c r="C8" s="120" t="s">
        <v>136</v>
      </c>
      <c r="D8" s="120" t="s">
        <v>141</v>
      </c>
      <c r="E8" s="120" t="s">
        <v>131</v>
      </c>
      <c r="F8" s="120" t="s">
        <v>90</v>
      </c>
      <c r="G8" s="142">
        <v>-3.3290000000000002</v>
      </c>
      <c r="H8" s="431"/>
      <c r="I8" s="322"/>
      <c r="J8" s="322"/>
      <c r="K8" s="322"/>
      <c r="L8" s="322"/>
      <c r="M8" s="357"/>
      <c r="N8" s="437" t="s">
        <v>132</v>
      </c>
      <c r="O8" s="552"/>
      <c r="P8" s="552"/>
      <c r="Q8" s="705"/>
      <c r="R8" s="704"/>
    </row>
    <row r="9" spans="1:18" ht="30" customHeight="1" x14ac:dyDescent="0.25">
      <c r="A9" s="558"/>
      <c r="B9" s="433"/>
      <c r="C9" s="120" t="s">
        <v>136</v>
      </c>
      <c r="D9" s="120" t="s">
        <v>141</v>
      </c>
      <c r="E9" s="120" t="s">
        <v>131</v>
      </c>
      <c r="F9" s="120" t="s">
        <v>90</v>
      </c>
      <c r="G9" s="142">
        <v>3.3290000000000002</v>
      </c>
      <c r="H9" s="433"/>
      <c r="I9" s="322"/>
      <c r="J9" s="322"/>
      <c r="K9" s="322"/>
      <c r="L9" s="322"/>
      <c r="M9" s="357"/>
      <c r="N9" s="438"/>
      <c r="O9" s="552"/>
      <c r="P9" s="552"/>
      <c r="Q9" s="705"/>
      <c r="R9" s="704"/>
    </row>
    <row r="10" spans="1:18" ht="15" customHeight="1" x14ac:dyDescent="0.25">
      <c r="A10" s="558" t="s">
        <v>142</v>
      </c>
      <c r="B10" s="431"/>
      <c r="C10" s="120" t="s">
        <v>136</v>
      </c>
      <c r="D10" s="120" t="s">
        <v>143</v>
      </c>
      <c r="E10" s="120" t="s">
        <v>131</v>
      </c>
      <c r="F10" s="120" t="s">
        <v>90</v>
      </c>
      <c r="G10" s="142">
        <v>-33.732999999999997</v>
      </c>
      <c r="H10" s="431"/>
      <c r="I10" s="322"/>
      <c r="J10" s="322"/>
      <c r="K10" s="322"/>
      <c r="L10" s="322"/>
      <c r="M10" s="357"/>
      <c r="N10" s="552" t="s">
        <v>132</v>
      </c>
      <c r="O10" s="552"/>
      <c r="P10" s="552"/>
      <c r="Q10" s="705"/>
      <c r="R10" s="704"/>
    </row>
    <row r="11" spans="1:18" x14ac:dyDescent="0.25">
      <c r="A11" s="558"/>
      <c r="B11" s="433"/>
      <c r="C11" s="120" t="s">
        <v>136</v>
      </c>
      <c r="D11" s="120" t="s">
        <v>143</v>
      </c>
      <c r="E11" s="120" t="s">
        <v>131</v>
      </c>
      <c r="F11" s="120" t="s">
        <v>90</v>
      </c>
      <c r="G11" s="142">
        <v>33.732999999999997</v>
      </c>
      <c r="H11" s="433"/>
      <c r="I11" s="322"/>
      <c r="J11" s="322"/>
      <c r="K11" s="322"/>
      <c r="L11" s="322"/>
      <c r="M11" s="357"/>
      <c r="N11" s="552"/>
      <c r="O11" s="552"/>
      <c r="P11" s="552"/>
      <c r="Q11" s="705"/>
      <c r="R11" s="704"/>
    </row>
    <row r="12" spans="1:18" ht="30" customHeight="1" x14ac:dyDescent="0.25">
      <c r="A12" s="558" t="s">
        <v>144</v>
      </c>
      <c r="B12" s="431"/>
      <c r="C12" s="120" t="s">
        <v>136</v>
      </c>
      <c r="D12" s="120" t="s">
        <v>145</v>
      </c>
      <c r="E12" s="120" t="s">
        <v>131</v>
      </c>
      <c r="F12" s="120" t="s">
        <v>90</v>
      </c>
      <c r="G12" s="142">
        <v>5.5269320000000004</v>
      </c>
      <c r="H12" s="431"/>
      <c r="I12" s="322"/>
      <c r="J12" s="322"/>
      <c r="K12" s="322"/>
      <c r="L12" s="322"/>
      <c r="M12" s="357"/>
      <c r="N12" s="120" t="s">
        <v>132</v>
      </c>
      <c r="O12" s="120"/>
      <c r="P12" s="120"/>
      <c r="Q12" s="127"/>
      <c r="R12" s="106"/>
    </row>
    <row r="13" spans="1:18" x14ac:dyDescent="0.25">
      <c r="A13" s="558"/>
      <c r="B13" s="433"/>
      <c r="C13" s="120" t="s">
        <v>136</v>
      </c>
      <c r="D13" s="113" t="s">
        <v>146</v>
      </c>
      <c r="E13" s="120" t="s">
        <v>131</v>
      </c>
      <c r="F13" s="120" t="s">
        <v>90</v>
      </c>
      <c r="G13" s="142">
        <f>27.30409+63.65</f>
        <v>90.954089999999994</v>
      </c>
      <c r="H13" s="433"/>
      <c r="I13" s="322"/>
      <c r="J13" s="350"/>
      <c r="K13" s="322"/>
      <c r="L13" s="322"/>
      <c r="M13" s="357"/>
      <c r="N13" s="120" t="s">
        <v>91</v>
      </c>
      <c r="O13" s="121" t="s">
        <v>16</v>
      </c>
      <c r="P13" s="122" t="s">
        <v>92</v>
      </c>
      <c r="Q13" s="127" t="s">
        <v>651</v>
      </c>
      <c r="R13" s="117" t="s">
        <v>513</v>
      </c>
    </row>
    <row r="14" spans="1:18" ht="30" customHeight="1" x14ac:dyDescent="0.25">
      <c r="A14" s="558" t="s">
        <v>164</v>
      </c>
      <c r="B14" s="431"/>
      <c r="C14" s="120" t="s">
        <v>136</v>
      </c>
      <c r="D14" s="122" t="s">
        <v>149</v>
      </c>
      <c r="E14" s="120" t="s">
        <v>131</v>
      </c>
      <c r="F14" s="120" t="s">
        <v>90</v>
      </c>
      <c r="G14" s="142">
        <v>1.3129919999999999</v>
      </c>
      <c r="H14" s="431"/>
      <c r="I14" s="322"/>
      <c r="J14" s="336"/>
      <c r="K14" s="322"/>
      <c r="L14" s="322"/>
      <c r="M14" s="357"/>
      <c r="N14" s="120" t="s">
        <v>91</v>
      </c>
      <c r="O14" s="121" t="s">
        <v>50</v>
      </c>
      <c r="P14" s="124" t="s">
        <v>92</v>
      </c>
      <c r="Q14" s="98" t="s">
        <v>373</v>
      </c>
      <c r="R14" s="117" t="s">
        <v>109</v>
      </c>
    </row>
    <row r="15" spans="1:18" x14ac:dyDescent="0.25">
      <c r="A15" s="558"/>
      <c r="B15" s="432"/>
      <c r="C15" s="120" t="s">
        <v>136</v>
      </c>
      <c r="D15" s="122" t="s">
        <v>158</v>
      </c>
      <c r="E15" s="120" t="s">
        <v>131</v>
      </c>
      <c r="F15" s="120" t="s">
        <v>90</v>
      </c>
      <c r="G15" s="166">
        <v>0.44668799999999997</v>
      </c>
      <c r="H15" s="432"/>
      <c r="I15" s="322"/>
      <c r="J15" s="336"/>
      <c r="K15" s="322"/>
      <c r="L15" s="322"/>
      <c r="M15" s="166"/>
      <c r="N15" s="120" t="s">
        <v>91</v>
      </c>
      <c r="O15" s="121" t="s">
        <v>51</v>
      </c>
      <c r="P15" s="122" t="s">
        <v>372</v>
      </c>
      <c r="Q15" s="127"/>
      <c r="R15" s="106"/>
    </row>
    <row r="16" spans="1:18" x14ac:dyDescent="0.25">
      <c r="A16" s="558"/>
      <c r="B16" s="433"/>
      <c r="C16" s="120" t="s">
        <v>136</v>
      </c>
      <c r="D16" s="120" t="s">
        <v>165</v>
      </c>
      <c r="E16" s="120" t="s">
        <v>131</v>
      </c>
      <c r="F16" s="120" t="s">
        <v>90</v>
      </c>
      <c r="G16" s="166">
        <v>0.19544</v>
      </c>
      <c r="H16" s="433"/>
      <c r="I16" s="322"/>
      <c r="J16" s="322"/>
      <c r="K16" s="322"/>
      <c r="L16" s="322"/>
      <c r="M16" s="166"/>
      <c r="N16" s="120" t="s">
        <v>91</v>
      </c>
      <c r="O16" s="121" t="s">
        <v>6</v>
      </c>
      <c r="P16" s="120" t="s">
        <v>134</v>
      </c>
      <c r="Q16" s="127"/>
      <c r="R16" s="106"/>
    </row>
    <row r="17" spans="1:18" ht="30" x14ac:dyDescent="0.25">
      <c r="A17" s="558" t="s">
        <v>166</v>
      </c>
      <c r="B17" s="431"/>
      <c r="C17" s="120" t="s">
        <v>136</v>
      </c>
      <c r="D17" s="124" t="s">
        <v>167</v>
      </c>
      <c r="E17" s="120" t="s">
        <v>131</v>
      </c>
      <c r="F17" s="120" t="s">
        <v>90</v>
      </c>
      <c r="G17" s="142">
        <v>-2</v>
      </c>
      <c r="H17" s="431"/>
      <c r="I17" s="322"/>
      <c r="J17" s="349"/>
      <c r="K17" s="322"/>
      <c r="L17" s="322"/>
      <c r="M17" s="357"/>
      <c r="N17" s="437" t="s">
        <v>91</v>
      </c>
      <c r="O17" s="467" t="s">
        <v>13</v>
      </c>
      <c r="P17" s="431" t="s">
        <v>113</v>
      </c>
      <c r="Q17" s="705"/>
      <c r="R17" s="704"/>
    </row>
    <row r="18" spans="1:18" x14ac:dyDescent="0.25">
      <c r="A18" s="558"/>
      <c r="B18" s="433"/>
      <c r="C18" s="120" t="s">
        <v>136</v>
      </c>
      <c r="D18" s="120" t="s">
        <v>154</v>
      </c>
      <c r="E18" s="120" t="s">
        <v>131</v>
      </c>
      <c r="F18" s="120" t="s">
        <v>90</v>
      </c>
      <c r="G18" s="142">
        <v>2</v>
      </c>
      <c r="H18" s="433"/>
      <c r="I18" s="322"/>
      <c r="J18" s="322"/>
      <c r="K18" s="322"/>
      <c r="L18" s="322"/>
      <c r="M18" s="357"/>
      <c r="N18" s="438"/>
      <c r="O18" s="469"/>
      <c r="P18" s="433"/>
      <c r="Q18" s="705"/>
      <c r="R18" s="704"/>
    </row>
    <row r="19" spans="1:18" x14ac:dyDescent="0.25">
      <c r="A19" s="558" t="s">
        <v>150</v>
      </c>
      <c r="B19" s="437"/>
      <c r="C19" s="120" t="s">
        <v>136</v>
      </c>
      <c r="D19" s="122" t="s">
        <v>151</v>
      </c>
      <c r="E19" s="120" t="s">
        <v>131</v>
      </c>
      <c r="F19" s="120" t="s">
        <v>90</v>
      </c>
      <c r="G19" s="166">
        <v>-0.45871099999999998</v>
      </c>
      <c r="H19" s="437"/>
      <c r="I19" s="322"/>
      <c r="J19" s="336"/>
      <c r="K19" s="322"/>
      <c r="L19" s="322"/>
      <c r="M19" s="166"/>
      <c r="N19" s="437" t="s">
        <v>91</v>
      </c>
      <c r="O19" s="467" t="s">
        <v>28</v>
      </c>
      <c r="P19" s="431" t="s">
        <v>113</v>
      </c>
      <c r="Q19" s="705"/>
      <c r="R19" s="704"/>
    </row>
    <row r="20" spans="1:18" x14ac:dyDescent="0.25">
      <c r="A20" s="558"/>
      <c r="B20" s="438"/>
      <c r="C20" s="120" t="s">
        <v>136</v>
      </c>
      <c r="D20" s="120" t="s">
        <v>152</v>
      </c>
      <c r="E20" s="120" t="s">
        <v>131</v>
      </c>
      <c r="F20" s="120" t="s">
        <v>90</v>
      </c>
      <c r="G20" s="166">
        <v>0.45871099999999998</v>
      </c>
      <c r="H20" s="438"/>
      <c r="I20" s="322"/>
      <c r="J20" s="322"/>
      <c r="K20" s="322"/>
      <c r="L20" s="322"/>
      <c r="M20" s="166"/>
      <c r="N20" s="438"/>
      <c r="O20" s="469"/>
      <c r="P20" s="433"/>
      <c r="Q20" s="705"/>
      <c r="R20" s="704"/>
    </row>
    <row r="21" spans="1:18" ht="30" x14ac:dyDescent="0.25">
      <c r="A21" s="558" t="s">
        <v>153</v>
      </c>
      <c r="B21" s="437"/>
      <c r="C21" s="120" t="s">
        <v>136</v>
      </c>
      <c r="D21" s="120" t="s">
        <v>152</v>
      </c>
      <c r="E21" s="120" t="s">
        <v>131</v>
      </c>
      <c r="F21" s="120" t="s">
        <v>90</v>
      </c>
      <c r="G21" s="142">
        <v>44.52328</v>
      </c>
      <c r="H21" s="437"/>
      <c r="I21" s="322" t="s">
        <v>130</v>
      </c>
      <c r="J21" s="322" t="s">
        <v>152</v>
      </c>
      <c r="K21" s="322" t="s">
        <v>131</v>
      </c>
      <c r="L21" s="322" t="s">
        <v>90</v>
      </c>
      <c r="M21" s="357">
        <v>2.191055</v>
      </c>
      <c r="N21" s="120" t="s">
        <v>91</v>
      </c>
      <c r="O21" s="121" t="s">
        <v>28</v>
      </c>
      <c r="P21" s="122" t="s">
        <v>113</v>
      </c>
      <c r="Q21" s="127"/>
      <c r="R21" s="106"/>
    </row>
    <row r="22" spans="1:18" ht="30" x14ac:dyDescent="0.25">
      <c r="A22" s="558"/>
      <c r="B22" s="438"/>
      <c r="C22" s="120" t="s">
        <v>136</v>
      </c>
      <c r="D22" s="120" t="s">
        <v>154</v>
      </c>
      <c r="E22" s="120" t="s">
        <v>131</v>
      </c>
      <c r="F22" s="120" t="s">
        <v>90</v>
      </c>
      <c r="G22" s="142">
        <v>3.9385840000000001</v>
      </c>
      <c r="H22" s="438"/>
      <c r="I22" s="322"/>
      <c r="J22" s="322"/>
      <c r="K22" s="322"/>
      <c r="L22" s="322"/>
      <c r="M22" s="357"/>
      <c r="N22" s="120" t="s">
        <v>91</v>
      </c>
      <c r="O22" s="121" t="s">
        <v>13</v>
      </c>
      <c r="P22" s="122" t="s">
        <v>113</v>
      </c>
      <c r="Q22" s="127"/>
      <c r="R22" s="106"/>
    </row>
    <row r="23" spans="1:18" ht="30" x14ac:dyDescent="0.25">
      <c r="A23" s="112" t="s">
        <v>155</v>
      </c>
      <c r="B23" s="108"/>
      <c r="C23" s="120" t="s">
        <v>136</v>
      </c>
      <c r="D23" s="122" t="s">
        <v>156</v>
      </c>
      <c r="E23" s="120" t="s">
        <v>131</v>
      </c>
      <c r="F23" s="120" t="s">
        <v>90</v>
      </c>
      <c r="G23" s="142">
        <v>4.2189170000000003</v>
      </c>
      <c r="H23" s="108"/>
      <c r="I23" s="322"/>
      <c r="J23" s="336"/>
      <c r="K23" s="322"/>
      <c r="L23" s="322"/>
      <c r="M23" s="357"/>
      <c r="N23" s="120" t="s">
        <v>132</v>
      </c>
      <c r="O23" s="120"/>
      <c r="P23" s="120"/>
      <c r="Q23" s="127"/>
      <c r="R23" s="106"/>
    </row>
    <row r="24" spans="1:18" x14ac:dyDescent="0.25">
      <c r="A24" s="114" t="s">
        <v>147</v>
      </c>
      <c r="B24" s="107"/>
      <c r="C24" s="120" t="s">
        <v>88</v>
      </c>
      <c r="D24" s="115" t="s">
        <v>148</v>
      </c>
      <c r="E24" s="115" t="s">
        <v>90</v>
      </c>
      <c r="F24" s="115" t="s">
        <v>90</v>
      </c>
      <c r="G24" s="142" t="s">
        <v>90</v>
      </c>
      <c r="H24" s="107"/>
      <c r="I24" s="322"/>
      <c r="J24" s="328"/>
      <c r="K24" s="328"/>
      <c r="L24" s="328"/>
      <c r="M24" s="357"/>
      <c r="N24" s="115" t="s">
        <v>91</v>
      </c>
      <c r="O24" s="119" t="s">
        <v>49</v>
      </c>
      <c r="P24" s="113" t="s">
        <v>92</v>
      </c>
      <c r="Q24" s="105" t="s">
        <v>93</v>
      </c>
      <c r="R24" s="106"/>
    </row>
    <row r="25" spans="1:18" ht="45" x14ac:dyDescent="0.25">
      <c r="A25" s="112" t="s">
        <v>157</v>
      </c>
      <c r="B25" s="107"/>
      <c r="C25" s="120" t="s">
        <v>88</v>
      </c>
      <c r="D25" s="122" t="s">
        <v>158</v>
      </c>
      <c r="E25" s="120" t="s">
        <v>90</v>
      </c>
      <c r="F25" s="120" t="s">
        <v>90</v>
      </c>
      <c r="G25" s="142" t="s">
        <v>90</v>
      </c>
      <c r="H25" s="107"/>
      <c r="I25" s="322"/>
      <c r="J25" s="336"/>
      <c r="K25" s="322"/>
      <c r="L25" s="322"/>
      <c r="M25" s="357"/>
      <c r="N25" s="120" t="s">
        <v>426</v>
      </c>
      <c r="O25" s="120" t="s">
        <v>90</v>
      </c>
      <c r="P25" s="128" t="s">
        <v>159</v>
      </c>
      <c r="Q25" s="125" t="s">
        <v>160</v>
      </c>
      <c r="R25" s="117" t="s">
        <v>161</v>
      </c>
    </row>
    <row r="26" spans="1:18" ht="60" x14ac:dyDescent="0.25">
      <c r="A26" s="136" t="s">
        <v>162</v>
      </c>
      <c r="B26" s="96">
        <v>4</v>
      </c>
      <c r="C26" s="115" t="s">
        <v>88</v>
      </c>
      <c r="D26" s="113" t="s">
        <v>158</v>
      </c>
      <c r="E26" s="115" t="s">
        <v>90</v>
      </c>
      <c r="F26" s="132" t="s">
        <v>348</v>
      </c>
      <c r="G26" s="158" t="s">
        <v>90</v>
      </c>
      <c r="H26" s="96"/>
      <c r="I26" s="328"/>
      <c r="J26" s="350"/>
      <c r="K26" s="328"/>
      <c r="L26" s="343"/>
      <c r="M26" s="354"/>
      <c r="N26" s="115" t="s">
        <v>91</v>
      </c>
      <c r="O26" s="119" t="s">
        <v>56</v>
      </c>
      <c r="P26" s="132" t="s">
        <v>163</v>
      </c>
      <c r="Q26" s="130" t="s">
        <v>622</v>
      </c>
      <c r="R26" s="116" t="s">
        <v>623</v>
      </c>
    </row>
    <row r="27" spans="1:18" ht="30" x14ac:dyDescent="0.25">
      <c r="A27" s="114" t="s">
        <v>329</v>
      </c>
      <c r="B27" s="109"/>
      <c r="C27" s="115" t="s">
        <v>88</v>
      </c>
      <c r="D27" s="113" t="s">
        <v>225</v>
      </c>
      <c r="E27" s="115" t="s">
        <v>90</v>
      </c>
      <c r="F27" s="113" t="s">
        <v>90</v>
      </c>
      <c r="G27" s="158" t="s">
        <v>90</v>
      </c>
      <c r="H27" s="109"/>
      <c r="I27" s="328"/>
      <c r="J27" s="350"/>
      <c r="K27" s="328"/>
      <c r="L27" s="350"/>
      <c r="M27" s="354"/>
      <c r="N27" s="115" t="s">
        <v>91</v>
      </c>
      <c r="O27" s="119" t="s">
        <v>28</v>
      </c>
      <c r="P27" s="113" t="s">
        <v>113</v>
      </c>
      <c r="Q27" s="131"/>
      <c r="R27" s="129"/>
    </row>
    <row r="28" spans="1:18" ht="30" x14ac:dyDescent="0.25">
      <c r="A28" s="112" t="s">
        <v>359</v>
      </c>
      <c r="B28" s="125"/>
      <c r="C28" s="120" t="s">
        <v>88</v>
      </c>
      <c r="D28" s="122" t="s">
        <v>169</v>
      </c>
      <c r="E28" s="120" t="s">
        <v>90</v>
      </c>
      <c r="F28" s="122" t="s">
        <v>90</v>
      </c>
      <c r="G28" s="142" t="s">
        <v>90</v>
      </c>
      <c r="H28" s="346"/>
      <c r="I28" s="322"/>
      <c r="J28" s="336"/>
      <c r="K28" s="322"/>
      <c r="L28" s="336"/>
      <c r="M28" s="357"/>
      <c r="N28" s="120" t="s">
        <v>91</v>
      </c>
      <c r="O28" s="118" t="s">
        <v>0</v>
      </c>
      <c r="P28" s="120" t="s">
        <v>92</v>
      </c>
      <c r="Q28" s="123" t="s">
        <v>457</v>
      </c>
      <c r="R28" s="117" t="s">
        <v>455</v>
      </c>
    </row>
    <row r="29" spans="1:18" ht="15" customHeight="1" x14ac:dyDescent="0.25">
      <c r="A29" s="112" t="s">
        <v>416</v>
      </c>
      <c r="B29" s="125"/>
      <c r="C29" s="120" t="s">
        <v>398</v>
      </c>
      <c r="D29" s="120" t="s">
        <v>284</v>
      </c>
      <c r="E29" s="120" t="s">
        <v>131</v>
      </c>
      <c r="F29" s="122" t="s">
        <v>90</v>
      </c>
      <c r="G29" s="142">
        <v>6.8760000000000003</v>
      </c>
      <c r="H29" s="346"/>
      <c r="I29" s="322"/>
      <c r="J29" s="322"/>
      <c r="K29" s="322"/>
      <c r="L29" s="336"/>
      <c r="M29" s="357"/>
      <c r="N29" s="138" t="s">
        <v>91</v>
      </c>
      <c r="O29" s="139" t="s">
        <v>6</v>
      </c>
      <c r="P29" s="138" t="s">
        <v>134</v>
      </c>
      <c r="Q29" s="134"/>
      <c r="R29" s="154"/>
    </row>
    <row r="30" spans="1:18" ht="30" x14ac:dyDescent="0.25">
      <c r="A30" s="558" t="s">
        <v>417</v>
      </c>
      <c r="B30" s="521"/>
      <c r="C30" s="120" t="s">
        <v>398</v>
      </c>
      <c r="D30" s="122" t="s">
        <v>172</v>
      </c>
      <c r="E30" s="120" t="s">
        <v>131</v>
      </c>
      <c r="F30" s="122" t="s">
        <v>90</v>
      </c>
      <c r="G30" s="142">
        <v>-1.1006830000000001</v>
      </c>
      <c r="H30" s="521"/>
      <c r="I30" s="322"/>
      <c r="J30" s="336"/>
      <c r="K30" s="322"/>
      <c r="L30" s="336"/>
      <c r="M30" s="357"/>
      <c r="N30" s="552" t="s">
        <v>91</v>
      </c>
      <c r="O30" s="546" t="s">
        <v>13</v>
      </c>
      <c r="P30" s="502" t="s">
        <v>134</v>
      </c>
      <c r="Q30" s="502"/>
      <c r="R30" s="698"/>
    </row>
    <row r="31" spans="1:18" x14ac:dyDescent="0.25">
      <c r="A31" s="558"/>
      <c r="B31" s="521"/>
      <c r="C31" s="120" t="s">
        <v>398</v>
      </c>
      <c r="D31" s="120" t="s">
        <v>154</v>
      </c>
      <c r="E31" s="120" t="s">
        <v>131</v>
      </c>
      <c r="F31" s="122" t="s">
        <v>90</v>
      </c>
      <c r="G31" s="142">
        <v>1.1006830000000001</v>
      </c>
      <c r="H31" s="521"/>
      <c r="I31" s="322"/>
      <c r="J31" s="322"/>
      <c r="K31" s="322"/>
      <c r="L31" s="336"/>
      <c r="M31" s="357"/>
      <c r="N31" s="552"/>
      <c r="O31" s="546"/>
      <c r="P31" s="504"/>
      <c r="Q31" s="504"/>
      <c r="R31" s="699"/>
    </row>
    <row r="32" spans="1:18" x14ac:dyDescent="0.25">
      <c r="A32" s="112" t="s">
        <v>418</v>
      </c>
      <c r="B32" s="125"/>
      <c r="C32" s="120" t="s">
        <v>398</v>
      </c>
      <c r="D32" s="120" t="s">
        <v>152</v>
      </c>
      <c r="E32" s="120" t="s">
        <v>131</v>
      </c>
      <c r="F32" s="122" t="s">
        <v>90</v>
      </c>
      <c r="G32" s="142">
        <v>1.5</v>
      </c>
      <c r="H32" s="346"/>
      <c r="I32" s="322"/>
      <c r="J32" s="322"/>
      <c r="K32" s="322"/>
      <c r="L32" s="336"/>
      <c r="M32" s="357"/>
      <c r="N32" s="138" t="s">
        <v>91</v>
      </c>
      <c r="O32" s="139" t="s">
        <v>28</v>
      </c>
      <c r="P32" s="138" t="s">
        <v>134</v>
      </c>
      <c r="Q32" s="134"/>
      <c r="R32" s="154"/>
    </row>
    <row r="33" spans="1:18" ht="15" customHeight="1" x14ac:dyDescent="0.25">
      <c r="A33" s="450" t="s">
        <v>415</v>
      </c>
      <c r="B33" s="431"/>
      <c r="C33" s="120" t="s">
        <v>398</v>
      </c>
      <c r="D33" s="120" t="s">
        <v>133</v>
      </c>
      <c r="E33" s="120" t="s">
        <v>131</v>
      </c>
      <c r="F33" s="122" t="s">
        <v>90</v>
      </c>
      <c r="G33" s="142">
        <f>58+-3.5</f>
        <v>54.5</v>
      </c>
      <c r="H33" s="431"/>
      <c r="I33" s="322"/>
      <c r="J33" s="322"/>
      <c r="K33" s="322"/>
      <c r="L33" s="336"/>
      <c r="M33" s="357"/>
      <c r="N33" s="138" t="s">
        <v>91</v>
      </c>
      <c r="O33" s="139" t="s">
        <v>9</v>
      </c>
      <c r="P33" s="115" t="s">
        <v>134</v>
      </c>
      <c r="Q33" s="131"/>
      <c r="R33" s="129"/>
    </row>
    <row r="34" spans="1:18" ht="30" x14ac:dyDescent="0.25">
      <c r="A34" s="452"/>
      <c r="B34" s="433"/>
      <c r="C34" s="120" t="s">
        <v>398</v>
      </c>
      <c r="D34" s="122" t="s">
        <v>175</v>
      </c>
      <c r="E34" s="120" t="s">
        <v>131</v>
      </c>
      <c r="F34" s="122" t="s">
        <v>90</v>
      </c>
      <c r="G34" s="142">
        <v>3.5</v>
      </c>
      <c r="H34" s="433"/>
      <c r="I34" s="322"/>
      <c r="J34" s="336"/>
      <c r="K34" s="322"/>
      <c r="L34" s="336"/>
      <c r="M34" s="357"/>
      <c r="N34" s="137" t="s">
        <v>355</v>
      </c>
      <c r="O34" s="126"/>
      <c r="P34" s="115"/>
      <c r="Q34" s="131"/>
      <c r="R34" s="129"/>
    </row>
    <row r="35" spans="1:18" x14ac:dyDescent="0.25">
      <c r="A35" s="114" t="s">
        <v>407</v>
      </c>
      <c r="B35" s="130"/>
      <c r="C35" s="120" t="s">
        <v>398</v>
      </c>
      <c r="D35" s="120" t="s">
        <v>146</v>
      </c>
      <c r="E35" s="120" t="s">
        <v>131</v>
      </c>
      <c r="F35" s="122" t="s">
        <v>90</v>
      </c>
      <c r="G35" s="142">
        <v>27.858000000000001</v>
      </c>
      <c r="H35" s="344"/>
      <c r="I35" s="322"/>
      <c r="J35" s="322"/>
      <c r="K35" s="322"/>
      <c r="L35" s="336"/>
      <c r="M35" s="357"/>
      <c r="N35" s="159" t="s">
        <v>91</v>
      </c>
      <c r="O35" s="160" t="s">
        <v>16</v>
      </c>
      <c r="P35" s="115" t="s">
        <v>92</v>
      </c>
      <c r="Q35" s="131" t="s">
        <v>430</v>
      </c>
      <c r="R35" s="129" t="s">
        <v>429</v>
      </c>
    </row>
    <row r="36" spans="1:18" ht="30" x14ac:dyDescent="0.25">
      <c r="A36" s="114" t="s">
        <v>414</v>
      </c>
      <c r="B36" s="130"/>
      <c r="C36" s="120" t="s">
        <v>398</v>
      </c>
      <c r="D36" s="122" t="s">
        <v>413</v>
      </c>
      <c r="E36" s="120" t="s">
        <v>131</v>
      </c>
      <c r="F36" s="122" t="s">
        <v>90</v>
      </c>
      <c r="G36" s="142">
        <v>12</v>
      </c>
      <c r="H36" s="344"/>
      <c r="I36" s="322"/>
      <c r="J36" s="336"/>
      <c r="K36" s="322"/>
      <c r="L36" s="336"/>
      <c r="M36" s="357"/>
      <c r="N36" s="159" t="s">
        <v>132</v>
      </c>
      <c r="O36" s="126"/>
      <c r="P36" s="115"/>
      <c r="Q36" s="131"/>
      <c r="R36" s="129"/>
    </row>
    <row r="37" spans="1:18" x14ac:dyDescent="0.25">
      <c r="A37" s="114" t="s">
        <v>411</v>
      </c>
      <c r="B37" s="130"/>
      <c r="C37" s="120" t="s">
        <v>398</v>
      </c>
      <c r="D37" s="122" t="s">
        <v>89</v>
      </c>
      <c r="E37" s="120" t="s">
        <v>131</v>
      </c>
      <c r="F37" s="122" t="s">
        <v>90</v>
      </c>
      <c r="G37" s="142">
        <v>1.095429</v>
      </c>
      <c r="H37" s="344"/>
      <c r="I37" s="322"/>
      <c r="J37" s="336"/>
      <c r="K37" s="322"/>
      <c r="L37" s="336"/>
      <c r="M37" s="357"/>
      <c r="N37" s="159" t="s">
        <v>132</v>
      </c>
      <c r="O37" s="126"/>
      <c r="P37" s="115"/>
      <c r="Q37" s="131"/>
      <c r="R37" s="129"/>
    </row>
    <row r="38" spans="1:18" x14ac:dyDescent="0.25">
      <c r="A38" s="114" t="s">
        <v>410</v>
      </c>
      <c r="B38" s="130"/>
      <c r="C38" s="120" t="s">
        <v>398</v>
      </c>
      <c r="D38" s="122" t="s">
        <v>89</v>
      </c>
      <c r="E38" s="120" t="s">
        <v>131</v>
      </c>
      <c r="F38" s="122" t="s">
        <v>90</v>
      </c>
      <c r="G38" s="142">
        <v>20.712181000000001</v>
      </c>
      <c r="H38" s="344"/>
      <c r="I38" s="322"/>
      <c r="J38" s="336"/>
      <c r="K38" s="322"/>
      <c r="L38" s="336"/>
      <c r="M38" s="357"/>
      <c r="N38" s="159" t="s">
        <v>132</v>
      </c>
      <c r="O38" s="126"/>
      <c r="P38" s="115"/>
      <c r="Q38" s="131"/>
      <c r="R38" s="129"/>
    </row>
    <row r="39" spans="1:18" ht="30" x14ac:dyDescent="0.25">
      <c r="A39" s="114" t="s">
        <v>409</v>
      </c>
      <c r="B39" s="130"/>
      <c r="C39" s="120" t="s">
        <v>398</v>
      </c>
      <c r="D39" s="122" t="s">
        <v>89</v>
      </c>
      <c r="E39" s="120" t="s">
        <v>131</v>
      </c>
      <c r="F39" s="122" t="s">
        <v>90</v>
      </c>
      <c r="G39" s="142">
        <v>2.1428500000000001</v>
      </c>
      <c r="H39" s="344"/>
      <c r="I39" s="322"/>
      <c r="J39" s="336"/>
      <c r="K39" s="322"/>
      <c r="L39" s="336"/>
      <c r="M39" s="357"/>
      <c r="N39" s="159" t="s">
        <v>132</v>
      </c>
      <c r="O39" s="126"/>
      <c r="P39" s="115"/>
      <c r="Q39" s="131"/>
      <c r="R39" s="129"/>
    </row>
    <row r="40" spans="1:18" x14ac:dyDescent="0.25">
      <c r="A40" s="114" t="s">
        <v>408</v>
      </c>
      <c r="B40" s="130"/>
      <c r="C40" s="120" t="s">
        <v>398</v>
      </c>
      <c r="D40" s="122" t="s">
        <v>89</v>
      </c>
      <c r="E40" s="120" t="s">
        <v>131</v>
      </c>
      <c r="F40" s="122" t="s">
        <v>90</v>
      </c>
      <c r="G40" s="142">
        <f>31.1063+5.213945</f>
        <v>36.320245</v>
      </c>
      <c r="H40" s="344"/>
      <c r="I40" s="322"/>
      <c r="J40" s="336"/>
      <c r="K40" s="322"/>
      <c r="L40" s="336"/>
      <c r="M40" s="357"/>
      <c r="N40" s="159" t="s">
        <v>132</v>
      </c>
      <c r="O40" s="126"/>
      <c r="P40" s="115"/>
      <c r="Q40" s="131"/>
      <c r="R40" s="129"/>
    </row>
    <row r="41" spans="1:18" x14ac:dyDescent="0.25">
      <c r="A41" s="450" t="s">
        <v>405</v>
      </c>
      <c r="B41" s="431"/>
      <c r="C41" s="120" t="s">
        <v>398</v>
      </c>
      <c r="D41" s="122" t="s">
        <v>137</v>
      </c>
      <c r="E41" s="120" t="s">
        <v>131</v>
      </c>
      <c r="F41" s="122" t="s">
        <v>90</v>
      </c>
      <c r="G41" s="142">
        <v>-10.3</v>
      </c>
      <c r="H41" s="431"/>
      <c r="I41" s="322"/>
      <c r="J41" s="336"/>
      <c r="K41" s="322"/>
      <c r="L41" s="336"/>
      <c r="M41" s="357"/>
      <c r="N41" s="437" t="s">
        <v>132</v>
      </c>
      <c r="O41" s="437"/>
      <c r="P41" s="437"/>
      <c r="Q41" s="437"/>
      <c r="R41" s="525"/>
    </row>
    <row r="42" spans="1:18" x14ac:dyDescent="0.25">
      <c r="A42" s="451"/>
      <c r="B42" s="432"/>
      <c r="C42" s="120" t="s">
        <v>398</v>
      </c>
      <c r="D42" s="122" t="s">
        <v>137</v>
      </c>
      <c r="E42" s="120" t="s">
        <v>131</v>
      </c>
      <c r="F42" s="122" t="s">
        <v>90</v>
      </c>
      <c r="G42" s="142">
        <v>9</v>
      </c>
      <c r="H42" s="432"/>
      <c r="I42" s="322"/>
      <c r="J42" s="336"/>
      <c r="K42" s="322"/>
      <c r="L42" s="336"/>
      <c r="M42" s="357"/>
      <c r="N42" s="446"/>
      <c r="O42" s="446"/>
      <c r="P42" s="446"/>
      <c r="Q42" s="446"/>
      <c r="R42" s="480"/>
    </row>
    <row r="43" spans="1:18" x14ac:dyDescent="0.25">
      <c r="A43" s="452"/>
      <c r="B43" s="433"/>
      <c r="C43" s="120" t="s">
        <v>398</v>
      </c>
      <c r="D43" s="122" t="s">
        <v>137</v>
      </c>
      <c r="E43" s="120" t="s">
        <v>131</v>
      </c>
      <c r="F43" s="122" t="s">
        <v>90</v>
      </c>
      <c r="G43" s="142">
        <v>1.3</v>
      </c>
      <c r="H43" s="433"/>
      <c r="I43" s="322"/>
      <c r="J43" s="336"/>
      <c r="K43" s="322"/>
      <c r="L43" s="336"/>
      <c r="M43" s="357"/>
      <c r="N43" s="438"/>
      <c r="O43" s="438"/>
      <c r="P43" s="438"/>
      <c r="Q43" s="438"/>
      <c r="R43" s="481"/>
    </row>
    <row r="44" spans="1:18" x14ac:dyDescent="0.25">
      <c r="A44" s="450" t="s">
        <v>404</v>
      </c>
      <c r="B44" s="431"/>
      <c r="C44" s="120" t="s">
        <v>398</v>
      </c>
      <c r="D44" s="122" t="s">
        <v>403</v>
      </c>
      <c r="E44" s="120" t="s">
        <v>131</v>
      </c>
      <c r="F44" s="122" t="s">
        <v>90</v>
      </c>
      <c r="G44" s="142">
        <v>-3</v>
      </c>
      <c r="H44" s="431"/>
      <c r="I44" s="322"/>
      <c r="J44" s="336"/>
      <c r="K44" s="322"/>
      <c r="L44" s="336"/>
      <c r="M44" s="357"/>
      <c r="N44" s="437" t="s">
        <v>132</v>
      </c>
      <c r="O44" s="437"/>
      <c r="P44" s="437"/>
      <c r="Q44" s="437"/>
      <c r="R44" s="525"/>
    </row>
    <row r="45" spans="1:18" x14ac:dyDescent="0.25">
      <c r="A45" s="452"/>
      <c r="B45" s="433"/>
      <c r="C45" s="120" t="s">
        <v>398</v>
      </c>
      <c r="D45" s="122" t="s">
        <v>403</v>
      </c>
      <c r="E45" s="120" t="s">
        <v>131</v>
      </c>
      <c r="F45" s="122" t="s">
        <v>90</v>
      </c>
      <c r="G45" s="142">
        <v>3</v>
      </c>
      <c r="H45" s="433"/>
      <c r="I45" s="322"/>
      <c r="J45" s="336"/>
      <c r="K45" s="322"/>
      <c r="L45" s="336"/>
      <c r="M45" s="357"/>
      <c r="N45" s="438"/>
      <c r="O45" s="438"/>
      <c r="P45" s="438"/>
      <c r="Q45" s="438"/>
      <c r="R45" s="481"/>
    </row>
    <row r="46" spans="1:18" x14ac:dyDescent="0.25">
      <c r="A46" s="450" t="s">
        <v>406</v>
      </c>
      <c r="B46" s="431"/>
      <c r="C46" s="120" t="s">
        <v>398</v>
      </c>
      <c r="D46" s="122" t="s">
        <v>169</v>
      </c>
      <c r="E46" s="120" t="s">
        <v>131</v>
      </c>
      <c r="F46" s="122" t="s">
        <v>90</v>
      </c>
      <c r="G46" s="142">
        <v>-3.6</v>
      </c>
      <c r="H46" s="431"/>
      <c r="I46" s="322"/>
      <c r="J46" s="336"/>
      <c r="K46" s="322"/>
      <c r="L46" s="336"/>
      <c r="M46" s="357"/>
      <c r="N46" s="437" t="s">
        <v>132</v>
      </c>
      <c r="O46" s="437"/>
      <c r="P46" s="437"/>
      <c r="Q46" s="437"/>
      <c r="R46" s="525"/>
    </row>
    <row r="47" spans="1:18" x14ac:dyDescent="0.25">
      <c r="A47" s="452"/>
      <c r="B47" s="433"/>
      <c r="C47" s="120" t="s">
        <v>398</v>
      </c>
      <c r="D47" s="122" t="s">
        <v>169</v>
      </c>
      <c r="E47" s="120" t="s">
        <v>131</v>
      </c>
      <c r="F47" s="122" t="s">
        <v>90</v>
      </c>
      <c r="G47" s="142">
        <v>3.6</v>
      </c>
      <c r="H47" s="433"/>
      <c r="I47" s="322"/>
      <c r="J47" s="336"/>
      <c r="K47" s="322"/>
      <c r="L47" s="336"/>
      <c r="M47" s="357"/>
      <c r="N47" s="438"/>
      <c r="O47" s="438"/>
      <c r="P47" s="438"/>
      <c r="Q47" s="438"/>
      <c r="R47" s="481"/>
    </row>
    <row r="48" spans="1:18" x14ac:dyDescent="0.25">
      <c r="A48" s="411" t="s">
        <v>412</v>
      </c>
      <c r="B48" s="127"/>
      <c r="C48" s="407" t="s">
        <v>398</v>
      </c>
      <c r="D48" s="410" t="s">
        <v>89</v>
      </c>
      <c r="E48" s="407" t="s">
        <v>170</v>
      </c>
      <c r="F48" s="407" t="s">
        <v>402</v>
      </c>
      <c r="G48" s="414">
        <v>38.5</v>
      </c>
      <c r="H48" s="127"/>
      <c r="I48" s="407"/>
      <c r="J48" s="410"/>
      <c r="K48" s="407"/>
      <c r="L48" s="407"/>
      <c r="M48" s="414"/>
      <c r="N48" s="407" t="s">
        <v>132</v>
      </c>
      <c r="O48" s="407"/>
      <c r="P48" s="407"/>
      <c r="Q48" s="127"/>
      <c r="R48" s="127"/>
    </row>
    <row r="49" spans="1:18" ht="15.75" thickBot="1" x14ac:dyDescent="0.3">
      <c r="A49" s="409" t="s">
        <v>684</v>
      </c>
      <c r="B49" s="395"/>
      <c r="C49" s="376" t="s">
        <v>88</v>
      </c>
      <c r="D49" s="410" t="s">
        <v>137</v>
      </c>
      <c r="E49" s="376" t="s">
        <v>90</v>
      </c>
      <c r="F49" s="376" t="s">
        <v>90</v>
      </c>
      <c r="G49" s="144" t="s">
        <v>90</v>
      </c>
      <c r="H49" s="395"/>
      <c r="I49" s="376" t="s">
        <v>130</v>
      </c>
      <c r="J49" s="410" t="s">
        <v>137</v>
      </c>
      <c r="K49" s="407" t="s">
        <v>131</v>
      </c>
      <c r="L49" s="376" t="s">
        <v>90</v>
      </c>
      <c r="M49" s="144">
        <v>80</v>
      </c>
      <c r="N49" s="376"/>
      <c r="O49" s="376"/>
      <c r="P49" s="376"/>
      <c r="Q49" s="395"/>
      <c r="R49" s="396"/>
    </row>
    <row r="50" spans="1:18" ht="15.75" thickBot="1" x14ac:dyDescent="0.3">
      <c r="A50" s="419" t="s">
        <v>679</v>
      </c>
      <c r="B50" s="155">
        <f>SUM(B4:B49)</f>
        <v>4</v>
      </c>
      <c r="C50" s="156"/>
      <c r="D50" s="156"/>
      <c r="E50" s="156"/>
      <c r="F50" s="156"/>
      <c r="G50" s="155">
        <f>SUM(G4:G49)</f>
        <v>367.54144000000002</v>
      </c>
      <c r="H50" s="155"/>
      <c r="I50" s="156"/>
      <c r="J50" s="156"/>
      <c r="K50" s="156"/>
      <c r="L50" s="156"/>
      <c r="M50" s="155">
        <f>SUM(M4:M49)</f>
        <v>82.191055000000006</v>
      </c>
      <c r="N50" s="156"/>
      <c r="O50" s="156"/>
      <c r="P50" s="156"/>
      <c r="Q50" s="156"/>
      <c r="R50" s="157"/>
    </row>
    <row r="51" spans="1:18" ht="15.75" thickBot="1" x14ac:dyDescent="0.3">
      <c r="A51" s="420" t="s">
        <v>680</v>
      </c>
      <c r="B51" s="84"/>
      <c r="C51" s="35"/>
      <c r="D51" s="35"/>
      <c r="E51" s="35"/>
      <c r="F51" s="35"/>
      <c r="G51" s="36">
        <f>SUMIF(C4:C49,"*Supp A*",G4:G49)</f>
        <v>0</v>
      </c>
      <c r="H51" s="84"/>
      <c r="I51" s="35"/>
      <c r="J51" s="35"/>
      <c r="K51" s="35"/>
      <c r="L51" s="35"/>
      <c r="M51" s="425" t="s">
        <v>90</v>
      </c>
      <c r="N51" s="35"/>
      <c r="O51" s="35"/>
      <c r="P51" s="35"/>
      <c r="Q51" s="35"/>
      <c r="R51" s="34"/>
    </row>
    <row r="52" spans="1:18" ht="15.75" thickBot="1" x14ac:dyDescent="0.3">
      <c r="A52" s="421" t="s">
        <v>681</v>
      </c>
      <c r="B52" s="84"/>
      <c r="C52" s="35"/>
      <c r="D52" s="35"/>
      <c r="E52" s="35"/>
      <c r="F52" s="35"/>
      <c r="G52" s="36">
        <f>SUMIF(C4:C49,"*Supp B*",G4:G49)</f>
        <v>162.53673499999999</v>
      </c>
      <c r="H52" s="84"/>
      <c r="I52" s="35"/>
      <c r="J52" s="35"/>
      <c r="K52" s="35"/>
      <c r="L52" s="35"/>
      <c r="M52" s="425" t="s">
        <v>90</v>
      </c>
      <c r="N52" s="35"/>
      <c r="O52" s="35"/>
      <c r="P52" s="35"/>
      <c r="Q52" s="35"/>
      <c r="R52" s="34"/>
    </row>
    <row r="53" spans="1:18" ht="15.75" thickBot="1" x14ac:dyDescent="0.3">
      <c r="A53" s="422" t="s">
        <v>682</v>
      </c>
      <c r="B53" s="416"/>
      <c r="C53" s="290"/>
      <c r="D53" s="290"/>
      <c r="E53" s="290"/>
      <c r="F53" s="290"/>
      <c r="G53" s="66">
        <f>SUMIF(C4:C49,"*Supp C*",G4:G49)</f>
        <v>205.004705</v>
      </c>
      <c r="H53" s="416"/>
      <c r="I53" s="290"/>
      <c r="J53" s="290"/>
      <c r="K53" s="290"/>
      <c r="L53" s="290"/>
      <c r="M53" s="425" t="s">
        <v>90</v>
      </c>
      <c r="N53" s="290"/>
      <c r="O53" s="290"/>
      <c r="P53" s="290"/>
      <c r="Q53" s="290"/>
      <c r="R53" s="417"/>
    </row>
    <row r="54" spans="1:18" ht="15.75" thickBot="1" x14ac:dyDescent="0.3">
      <c r="A54" s="423" t="s">
        <v>683</v>
      </c>
      <c r="B54" s="19"/>
      <c r="C54" s="418"/>
      <c r="D54" s="19"/>
      <c r="E54" s="19"/>
      <c r="F54" s="19"/>
      <c r="G54" s="425" t="s">
        <v>90</v>
      </c>
      <c r="H54" s="19"/>
      <c r="I54" s="418"/>
      <c r="J54" s="19"/>
      <c r="K54" s="19"/>
      <c r="L54" s="19"/>
      <c r="M54" s="426">
        <f>SUMIF(I4:I49,"*Supp A*",M4:M49)</f>
        <v>82.191055000000006</v>
      </c>
      <c r="N54" s="19"/>
      <c r="O54" s="19"/>
      <c r="P54" s="19"/>
      <c r="Q54" s="19"/>
      <c r="R54" s="20"/>
    </row>
    <row r="55" spans="1:18" x14ac:dyDescent="0.25">
      <c r="A55" s="424"/>
      <c r="C55" s="32"/>
      <c r="G55" s="33"/>
      <c r="I55" s="32"/>
      <c r="M55" s="33"/>
    </row>
    <row r="56" spans="1:18" ht="17.25" x14ac:dyDescent="0.25">
      <c r="A56" s="91" t="s">
        <v>629</v>
      </c>
    </row>
    <row r="57" spans="1:18" x14ac:dyDescent="0.25">
      <c r="G57" s="18"/>
      <c r="M57" s="18"/>
    </row>
  </sheetData>
  <mergeCells count="86">
    <mergeCell ref="B12:B13"/>
    <mergeCell ref="B14:B16"/>
    <mergeCell ref="B17:B18"/>
    <mergeCell ref="B19:B20"/>
    <mergeCell ref="B2:G2"/>
    <mergeCell ref="B21:B22"/>
    <mergeCell ref="N19:N20"/>
    <mergeCell ref="Q8:Q9"/>
    <mergeCell ref="R8:R9"/>
    <mergeCell ref="N17:N18"/>
    <mergeCell ref="O17:O18"/>
    <mergeCell ref="P17:P18"/>
    <mergeCell ref="Q17:Q18"/>
    <mergeCell ref="R17:R18"/>
    <mergeCell ref="N10:N11"/>
    <mergeCell ref="O19:O20"/>
    <mergeCell ref="P19:P20"/>
    <mergeCell ref="Q19:Q20"/>
    <mergeCell ref="R19:R20"/>
    <mergeCell ref="N8:N9"/>
    <mergeCell ref="O8:O9"/>
    <mergeCell ref="A21:A22"/>
    <mergeCell ref="A12:A13"/>
    <mergeCell ref="A14:A16"/>
    <mergeCell ref="A19:A20"/>
    <mergeCell ref="A17:A18"/>
    <mergeCell ref="P4:P5"/>
    <mergeCell ref="Q4:Q5"/>
    <mergeCell ref="R4:R5"/>
    <mergeCell ref="R10:R11"/>
    <mergeCell ref="P10:P11"/>
    <mergeCell ref="Q10:Q11"/>
    <mergeCell ref="P8:P9"/>
    <mergeCell ref="A4:A5"/>
    <mergeCell ref="A10:A11"/>
    <mergeCell ref="A8:A9"/>
    <mergeCell ref="N4:N5"/>
    <mergeCell ref="O4:O5"/>
    <mergeCell ref="B4:B5"/>
    <mergeCell ref="B8:B9"/>
    <mergeCell ref="B10:B11"/>
    <mergeCell ref="O10:O11"/>
    <mergeCell ref="H4:H5"/>
    <mergeCell ref="H8:H9"/>
    <mergeCell ref="H10:H11"/>
    <mergeCell ref="B33:B34"/>
    <mergeCell ref="N46:N47"/>
    <mergeCell ref="N44:N45"/>
    <mergeCell ref="A46:A47"/>
    <mergeCell ref="B46:B47"/>
    <mergeCell ref="A41:A43"/>
    <mergeCell ref="B41:B43"/>
    <mergeCell ref="A44:A45"/>
    <mergeCell ref="B44:B45"/>
    <mergeCell ref="A33:A34"/>
    <mergeCell ref="H33:H34"/>
    <mergeCell ref="H41:H43"/>
    <mergeCell ref="H44:H45"/>
    <mergeCell ref="H46:H47"/>
    <mergeCell ref="O46:O47"/>
    <mergeCell ref="P46:P47"/>
    <mergeCell ref="Q46:Q47"/>
    <mergeCell ref="R46:R47"/>
    <mergeCell ref="N41:N43"/>
    <mergeCell ref="O41:O43"/>
    <mergeCell ref="P41:P43"/>
    <mergeCell ref="Q41:Q43"/>
    <mergeCell ref="R41:R43"/>
    <mergeCell ref="O44:O45"/>
    <mergeCell ref="P44:P45"/>
    <mergeCell ref="Q44:Q45"/>
    <mergeCell ref="R44:R45"/>
    <mergeCell ref="O30:O31"/>
    <mergeCell ref="P30:P31"/>
    <mergeCell ref="Q30:Q31"/>
    <mergeCell ref="R30:R31"/>
    <mergeCell ref="A30:A31"/>
    <mergeCell ref="B30:B31"/>
    <mergeCell ref="N30:N31"/>
    <mergeCell ref="H21:H22"/>
    <mergeCell ref="H30:H31"/>
    <mergeCell ref="H12:H13"/>
    <mergeCell ref="H2:M2"/>
    <mergeCell ref="H14:H16"/>
    <mergeCell ref="H17:H18"/>
    <mergeCell ref="H19:H20"/>
  </mergeCells>
  <hyperlinks>
    <hyperlink ref="O6" r:id="rId1" xr:uid="{4A9F5773-C213-44BD-BCD2-1D8F769345C1}"/>
    <hyperlink ref="O7" r:id="rId2" xr:uid="{F022F047-9650-412B-AA6A-1B7193347DC0}"/>
    <hyperlink ref="O13" r:id="rId3" xr:uid="{0FA7DA27-3215-4DCC-9E3A-8DD475CB0CE2}"/>
    <hyperlink ref="O24" r:id="rId4" xr:uid="{D16963E3-206E-4C63-9238-FFFA8D93DDCF}"/>
    <hyperlink ref="O19" r:id="rId5" xr:uid="{9D0E682C-5000-46B0-9C4B-7876AD4D0127}"/>
    <hyperlink ref="O19:O20" r:id="rId6" display="IR0524" xr:uid="{89ACBECE-0B2F-4DE7-A8E5-B573B5A2E260}"/>
    <hyperlink ref="O21" r:id="rId7" xr:uid="{7EB170E9-6DA4-46A6-9B88-F01547738FE6}"/>
    <hyperlink ref="O22" r:id="rId8" xr:uid="{EBBFFFF8-131E-4B61-B725-66BFFFAB4544}"/>
    <hyperlink ref="P25" r:id="rId9" display="Données concernant pe programme Nouveaux Horizons pour les aînés" xr:uid="{DB082DF5-F9FE-4ED9-8595-1245AE6FC28C}"/>
    <hyperlink ref="O26" r:id="rId10" xr:uid="{1E2ADDEB-89D4-4DFD-908B-BBA71A21EF39}"/>
    <hyperlink ref="P26" r:id="rId11" xr:uid="{42EF5E10-259E-4578-95F7-8F1BF4E7EC9B}"/>
    <hyperlink ref="O16" r:id="rId12" xr:uid="{21483031-7EA2-4014-BFE6-60EE67D8E0BA}"/>
    <hyperlink ref="O14" r:id="rId13" xr:uid="{F57E1928-B263-4BC7-8F0F-DA755FA416EF}"/>
    <hyperlink ref="O15" r:id="rId14" xr:uid="{AD6CD200-DF25-44C2-9809-928121CFC377}"/>
    <hyperlink ref="O17" r:id="rId15" xr:uid="{635C3148-A9B1-4550-873D-77D880B965C7}"/>
    <hyperlink ref="O17:O18" r:id="rId16" display="IR0526" xr:uid="{0B2B01C5-0773-4CA6-A90D-00B734C79FE7}"/>
    <hyperlink ref="O27" r:id="rId17" xr:uid="{986B6E44-382A-48FB-A8C5-CC0088934914}"/>
    <hyperlink ref="F26" r:id="rId18" xr:uid="{912657B6-2B03-496E-AAE2-39973FC75AC6}"/>
    <hyperlink ref="O28" r:id="rId19" xr:uid="{1DF5E6D3-5EA8-434A-A259-782025192210}"/>
    <hyperlink ref="O29" r:id="rId20" xr:uid="{3BEC7058-056A-48F5-8C41-A643C6D67D11}"/>
    <hyperlink ref="O30" r:id="rId21" display="https://www.pbo-dpb.gc.ca/web/default/files/Documents/Info%20Requests/2020/IR0526_NRCCan_COVID19_update_2_request_e.pdf" xr:uid="{FCF5DF18-3D4F-4BE7-8E1F-606B75B53583}"/>
    <hyperlink ref="O30:O31" r:id="rId22" display="IR0526" xr:uid="{36384C7C-8741-438C-BB7B-5A70E880202F}"/>
    <hyperlink ref="O32" r:id="rId23" xr:uid="{456C56E8-92F6-4274-85AD-37EA3FB89563}"/>
    <hyperlink ref="O33" r:id="rId24" xr:uid="{572AFEBC-FC8C-46F0-8963-FF2CD7CD2CDA}"/>
    <hyperlink ref="O35" r:id="rId25" xr:uid="{47BDA996-0D46-4667-9101-5411EE74053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Légende</vt:lpstr>
      <vt:lpstr>Protéger la santé et la sécurit</vt:lpstr>
      <vt:lpstr>Mesures de soutien direct</vt:lpstr>
      <vt:lpstr>Soutien fiscal à la liquidité</vt:lpstr>
      <vt:lpstr>Autres soutien à la liquidité</vt:lpstr>
      <vt:lpstr>Mesures Supplémentaires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Giswold, Jill</dc:creator>
  <cp:lastModifiedBy>Stanton, Jason</cp:lastModifiedBy>
  <dcterms:created xsi:type="dcterms:W3CDTF">2020-12-01T14:43:59Z</dcterms:created>
  <dcterms:modified xsi:type="dcterms:W3CDTF">2021-06-02T20:14:59Z</dcterms:modified>
</cp:coreProperties>
</file>