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DA12F598-3213-414E-9D9C-EABFA1351283}" xr6:coauthVersionLast="45" xr6:coauthVersionMax="45" xr10:uidLastSave="{00000000-0000-0000-0000-000000000000}"/>
  <bookViews>
    <workbookView xWindow="-120" yWindow="-120" windowWidth="29040" windowHeight="15840" xr2:uid="{E49D7F26-01B7-43A3-B980-6B1CB5D0A2BA}"/>
  </bookViews>
  <sheets>
    <sheet name="Legend" sheetId="2" r:id="rId1"/>
    <sheet name="Protecting Health and Safety" sheetId="1" r:id="rId2"/>
    <sheet name="Direct Support Measures" sheetId="3" r:id="rId3"/>
    <sheet name="Tax Liquidity Support" sheetId="6" r:id="rId4"/>
    <sheet name="Other Liquidity Support" sheetId="7" r:id="rId5"/>
    <sheet name="Measures not in FES 2020" sheetId="5" r:id="rId6"/>
  </sheets>
  <definedNames>
    <definedName name="_xlnm._FilterDatabase" localSheetId="2" hidden="1">'Direct Support Measures'!$A$3:$Q$306</definedName>
    <definedName name="_xlnm._FilterDatabase" localSheetId="5" hidden="1">'Measures not in FES 2020'!$A$3:$L$52</definedName>
    <definedName name="_xlnm._FilterDatabase" localSheetId="1" hidden="1">'Protecting Health and Safety'!$A$3:$Q$181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2" i="1" l="1"/>
  <c r="L178" i="1"/>
  <c r="L307" i="3"/>
  <c r="L303" i="3"/>
  <c r="G306" i="3"/>
  <c r="G21" i="7" l="1"/>
  <c r="B15" i="3" l="1"/>
  <c r="G155" i="1" l="1"/>
  <c r="G92" i="1" l="1"/>
  <c r="G125" i="1"/>
  <c r="G134" i="1"/>
  <c r="G81" i="1"/>
  <c r="B50" i="5" l="1"/>
  <c r="G12" i="1"/>
  <c r="G18" i="1"/>
  <c r="G33" i="1"/>
  <c r="G45" i="1"/>
  <c r="G51" i="5"/>
  <c r="G304" i="3"/>
  <c r="G34" i="5" l="1"/>
  <c r="G53" i="5" s="1"/>
  <c r="G150" i="1"/>
  <c r="G90" i="1"/>
  <c r="G41" i="5"/>
  <c r="G138" i="3"/>
  <c r="G143" i="1"/>
  <c r="G123" i="3"/>
  <c r="G66" i="1" l="1"/>
  <c r="G110" i="1"/>
  <c r="G79" i="1"/>
  <c r="G80" i="1"/>
  <c r="G88" i="1"/>
  <c r="G251" i="3" l="1"/>
  <c r="G190" i="3"/>
  <c r="G116" i="1" l="1"/>
  <c r="G181" i="1" l="1"/>
  <c r="G152" i="1"/>
  <c r="G233" i="3"/>
  <c r="G277" i="3"/>
  <c r="B158" i="1" l="1"/>
  <c r="B7" i="3"/>
  <c r="B68" i="1" l="1"/>
  <c r="B289" i="3" l="1"/>
  <c r="B11" i="3" l="1"/>
  <c r="B10" i="3"/>
  <c r="B9" i="3"/>
  <c r="B259" i="3"/>
  <c r="B210" i="3"/>
  <c r="B116" i="3"/>
  <c r="B111" i="3"/>
  <c r="B108" i="3"/>
  <c r="B102" i="3"/>
  <c r="B99" i="3"/>
  <c r="B93" i="3"/>
  <c r="B69" i="3"/>
  <c r="B4" i="3"/>
  <c r="B154" i="1" l="1"/>
  <c r="B142" i="1"/>
  <c r="B136" i="1"/>
  <c r="B108" i="1" l="1"/>
  <c r="B106" i="1"/>
  <c r="B100" i="1"/>
  <c r="B29" i="1"/>
  <c r="B35" i="1"/>
  <c r="B4" i="1"/>
  <c r="B178" i="1" l="1"/>
  <c r="B20" i="7"/>
  <c r="B9" i="6"/>
  <c r="B211" i="3" l="1"/>
  <c r="B303" i="3" s="1"/>
  <c r="G20" i="7" l="1"/>
  <c r="G9" i="6"/>
  <c r="G76" i="1" l="1"/>
  <c r="G72" i="1"/>
  <c r="G68" i="1"/>
  <c r="G109" i="1" l="1"/>
  <c r="G108" i="1"/>
  <c r="G78" i="1"/>
  <c r="G77" i="1"/>
  <c r="G14" i="5" l="1"/>
  <c r="G276" i="3"/>
  <c r="G235" i="3"/>
  <c r="G137" i="3"/>
  <c r="G128" i="3"/>
  <c r="G126" i="3"/>
  <c r="G52" i="5" l="1"/>
  <c r="G50" i="5"/>
  <c r="G58" i="3"/>
  <c r="G41" i="3"/>
  <c r="G17" i="3"/>
  <c r="G161" i="1"/>
  <c r="G179" i="1" s="1"/>
  <c r="G128" i="1"/>
  <c r="G123" i="1"/>
  <c r="G121" i="1"/>
  <c r="G303" i="3" l="1"/>
  <c r="G305" i="3"/>
  <c r="G64" i="1"/>
  <c r="G180" i="1" l="1"/>
  <c r="G178" i="1"/>
</calcChain>
</file>

<file path=xl/sharedStrings.xml><?xml version="1.0" encoding="utf-8"?>
<sst xmlns="http://schemas.openxmlformats.org/spreadsheetml/2006/main" count="3599" uniqueCount="632">
  <si>
    <t>Protecting Health and Safety</t>
  </si>
  <si>
    <t>Organization</t>
  </si>
  <si>
    <t>PBO IR Sent</t>
  </si>
  <si>
    <t>PBO IR Link</t>
  </si>
  <si>
    <t>Data Status</t>
  </si>
  <si>
    <t>Data</t>
  </si>
  <si>
    <t>As of Date</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</si>
  <si>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</si>
  <si>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Supps B</t>
  </si>
  <si>
    <t>Canadian Institutes of Health Research</t>
  </si>
  <si>
    <t>Statutory</t>
  </si>
  <si>
    <t>Yes</t>
  </si>
  <si>
    <t>IR0530</t>
  </si>
  <si>
    <t>Pending</t>
  </si>
  <si>
    <t>Department of Finance</t>
  </si>
  <si>
    <t>IR0550</t>
  </si>
  <si>
    <t>Voted</t>
  </si>
  <si>
    <t>Public Health Agency of Canada</t>
  </si>
  <si>
    <t>IR0528</t>
  </si>
  <si>
    <t>Provided</t>
  </si>
  <si>
    <t>Department of Health</t>
  </si>
  <si>
    <t>IR0551</t>
  </si>
  <si>
    <t>Department of Public Works and Government Services</t>
  </si>
  <si>
    <t>IR0559</t>
  </si>
  <si>
    <t>Safe Return to Class Fund</t>
  </si>
  <si>
    <t>Health and Social Support for Northern Communities (critical priorities, air carriers, food subsidy enhancement)</t>
  </si>
  <si>
    <t>Supps A</t>
  </si>
  <si>
    <t>Department of Crown-Indigenous Relations and Northern Affairs</t>
  </si>
  <si>
    <t>IR0462</t>
  </si>
  <si>
    <t>Support for essential air access to remote communities</t>
  </si>
  <si>
    <t>Transport Canada</t>
  </si>
  <si>
    <t>IR0519</t>
  </si>
  <si>
    <t>Indigenous Community Support Fund</t>
  </si>
  <si>
    <t>Department of Indigenous Services</t>
  </si>
  <si>
    <t>IR0470</t>
  </si>
  <si>
    <t>Department of Employment and Social Development</t>
  </si>
  <si>
    <t>IR0549</t>
  </si>
  <si>
    <t>Indigenous Services Canada</t>
  </si>
  <si>
    <t>IR0523</t>
  </si>
  <si>
    <t>No activity to date</t>
  </si>
  <si>
    <t>Support for a Safe Restart in Indigenous Communities</t>
  </si>
  <si>
    <t>Offsetting declines in Indigenous own-source revenues</t>
  </si>
  <si>
    <t>Not included</t>
  </si>
  <si>
    <t>Purpose:</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</si>
  <si>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</si>
  <si>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</si>
  <si>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Notes:</t>
  </si>
  <si>
    <t xml:space="preserve">This tracking document does not include the PBO's cost estimates of COVID-19 measures. </t>
  </si>
  <si>
    <t>Tabs:</t>
  </si>
  <si>
    <t>Direct Support Measures</t>
  </si>
  <si>
    <t>Tax Liquidity Support</t>
  </si>
  <si>
    <t>Other Liquidity Support</t>
  </si>
  <si>
    <t>Data Status Column:</t>
  </si>
  <si>
    <t>Provided:</t>
  </si>
  <si>
    <t>The PBO has received data through an information request.</t>
  </si>
  <si>
    <t>Pending:</t>
  </si>
  <si>
    <t>Data has been requested through existing PBO information request, but funding or program is relatively new or additional follow-up was required. Data is expected to be provided in future updates.</t>
  </si>
  <si>
    <t>Outstanding:</t>
  </si>
  <si>
    <t>Confirming data with department:</t>
  </si>
  <si>
    <t>Data has been provided. The PBO is seeking clarification on the data.</t>
  </si>
  <si>
    <t>Response date not yet passed:</t>
  </si>
  <si>
    <t>Data has been recently requested through a PBO information request. Deadline for a response from the department has not passed.</t>
  </si>
  <si>
    <t>Sources:</t>
  </si>
  <si>
    <t>Treasury Board of Canada Secretariat, Supplementary Estimates (A), 2020-21</t>
  </si>
  <si>
    <t>Treasury Board of Canada Secretariat, Supplementary Estimates (B), 2020-21</t>
  </si>
  <si>
    <t>COVID-19 Medical Research and Vaccine Development (over two years)</t>
  </si>
  <si>
    <t>Department of Industry</t>
  </si>
  <si>
    <t>IR0490</t>
  </si>
  <si>
    <t>Department of Western Economic Diversification</t>
  </si>
  <si>
    <t>Contribution agreement signed for $23M ($8M in 2020-21 and $15M in 2021-22)</t>
  </si>
  <si>
    <t>National Research Council of Canada</t>
  </si>
  <si>
    <t>IR0491</t>
  </si>
  <si>
    <t>IR0478</t>
  </si>
  <si>
    <t>Confirming data with the department</t>
  </si>
  <si>
    <t>Increasing Biomanufacturing Capacity</t>
  </si>
  <si>
    <t>IR0526</t>
  </si>
  <si>
    <t>Innovative Research and Support for New Testing Approaches and Technologies</t>
  </si>
  <si>
    <t>Supporting and Sustaining the Public Health Agency of Canada's and Health Canada's Pandemic Operations</t>
  </si>
  <si>
    <t>Canadian Digital Service</t>
  </si>
  <si>
    <t>Funding for Personal Protective Equipment and Supplies (of which, $200 million in 2019-20)</t>
  </si>
  <si>
    <t>IR0468</t>
  </si>
  <si>
    <t>PPE and Related Equipment Support for Essential Workers (procurement fund and increased procurement support)</t>
  </si>
  <si>
    <t>Additional PPE Procurement and Support for the Storage and Warehousing of PPE</t>
  </si>
  <si>
    <t>GST/HST Relief on Face Masks and Face Shields</t>
  </si>
  <si>
    <t>Support for People experiencing Homelessness (through Reaching Home)</t>
  </si>
  <si>
    <t>No</t>
  </si>
  <si>
    <t xml:space="preserve">Date unavailable </t>
  </si>
  <si>
    <t>Quarantine Facilities and COVID-19 Border Measures</t>
  </si>
  <si>
    <t>Support for Firms that Hire Temporary Foreign Workers</t>
  </si>
  <si>
    <t>Department of Agriculture and Agri-Food</t>
  </si>
  <si>
    <t>IR0456</t>
  </si>
  <si>
    <t>Shared Services Canada</t>
  </si>
  <si>
    <t>IR0561</t>
  </si>
  <si>
    <t>Extension of the Mandatory Isolation Support for Temporary Foreign Workers Program</t>
  </si>
  <si>
    <t>Addressing the Outbreak of COVID-19 among Temporary Foreign Workers on Farms</t>
  </si>
  <si>
    <t>Support for the Canadian Armed Forces' response to COVID-19 (Including Operation LASER)</t>
  </si>
  <si>
    <t>Department of National Defense</t>
  </si>
  <si>
    <t>Personal Support Worker Training and Other Measures to Address Labour Shortages in Long-Term and Home Care</t>
  </si>
  <si>
    <t>Further Investments in Long-Term Care</t>
  </si>
  <si>
    <t>Virtual Care and Mental Health Tools for Canadians</t>
  </si>
  <si>
    <t>IR0486</t>
  </si>
  <si>
    <t>Supporting Distress Centres and the Wellness Together Canada Portal</t>
  </si>
  <si>
    <t>Supporting Canadians struggling with Substance Use Disorder</t>
  </si>
  <si>
    <t>Support for the Canadian Red Cross</t>
  </si>
  <si>
    <t>Department of Public Safety and Emergency Preparedness</t>
  </si>
  <si>
    <t>IR0529</t>
  </si>
  <si>
    <t>Civilian Humanitarian Workforce (Red Cross)</t>
  </si>
  <si>
    <t>Enhancing Public Health Measures in Indigenous Communities</t>
  </si>
  <si>
    <t>Responding to Immediate Indigenous Mental Wellness Demands during the COVID-19 Pandemic</t>
  </si>
  <si>
    <t>Supportive Care in Indigenous Communities</t>
  </si>
  <si>
    <t>Department of Foreign Affairs, Trade and Development</t>
  </si>
  <si>
    <t>N/A</t>
  </si>
  <si>
    <t>IR0476</t>
  </si>
  <si>
    <t>Immediate Public Health Response (of which, $25M for PHAC in 2019-20)</t>
  </si>
  <si>
    <t>IR0471</t>
  </si>
  <si>
    <t>IR0472</t>
  </si>
  <si>
    <t>Reducing Import Costs to facilitate access to Critical Medical Goods</t>
  </si>
  <si>
    <t>Canada Border Services Agency</t>
  </si>
  <si>
    <t>IR0459</t>
  </si>
  <si>
    <t>Consular Assistance (of which $36M in 2019-20)</t>
  </si>
  <si>
    <t>IR0467</t>
  </si>
  <si>
    <t>Total - Protecting Health and Safety</t>
  </si>
  <si>
    <t>Support for Workers in the Live Events and Arts Sector</t>
  </si>
  <si>
    <t>Support for the Broadcasting Industry</t>
  </si>
  <si>
    <t>Canadian Radio-television and Telecommunications Commission</t>
  </si>
  <si>
    <t>IR0464</t>
  </si>
  <si>
    <t>Confidential</t>
  </si>
  <si>
    <t>Support for the National Film Board</t>
  </si>
  <si>
    <t>Support for the Audiovisual Industry</t>
  </si>
  <si>
    <t>Telefilm Canada</t>
  </si>
  <si>
    <t>IR0558</t>
  </si>
  <si>
    <t>Regional Air Transportation Initiative</t>
  </si>
  <si>
    <t>Airports Capital Assistance Program</t>
  </si>
  <si>
    <t>Support for Critical Infrastructure at Large Airports</t>
  </si>
  <si>
    <t>Airport Rent Relief</t>
  </si>
  <si>
    <t>Support for Airport Authorities</t>
  </si>
  <si>
    <t>Support for the Air Transportation Sector</t>
  </si>
  <si>
    <t>IR0474</t>
  </si>
  <si>
    <t>Alternative Credit Support for Small Businesses - Industrial Research Assistance Program's Innovation Assistance Program</t>
  </si>
  <si>
    <t>Alternative Credit Support for Small Businesses - Futurpreneur Canada</t>
  </si>
  <si>
    <t>Canada Emergency Wage Subsidy (March 15 to December 19)</t>
  </si>
  <si>
    <t>Canada Revenue Agency</t>
  </si>
  <si>
    <t>IR0481</t>
  </si>
  <si>
    <t>CEWS Data</t>
  </si>
  <si>
    <t>Canada Emergency Wage Subsidy Extension</t>
  </si>
  <si>
    <t>Temporary Changes to EI to Improve Access</t>
  </si>
  <si>
    <t>Canada Recovery Benefit (CRB)</t>
  </si>
  <si>
    <t>CRB Data</t>
  </si>
  <si>
    <t>Canada Recovery Sickness Benefit (CRSB)</t>
  </si>
  <si>
    <t>CRCB Data</t>
  </si>
  <si>
    <t>CRSB Data</t>
  </si>
  <si>
    <t>Canada Recovery Caregiver Benefit (CRCB)</t>
  </si>
  <si>
    <t>Canada Emergency Rent Subsidy</t>
  </si>
  <si>
    <t xml:space="preserve">Canada Revenue Agency </t>
  </si>
  <si>
    <t>Canada Emergency Rent Subsidy and Lockdown Support Extension</t>
  </si>
  <si>
    <t>Canada Emergency Business Account – 25% incentive</t>
  </si>
  <si>
    <t>Atlantic Canada Opportunities Agency</t>
  </si>
  <si>
    <t>Canadian Northern Economic Development Agency</t>
  </si>
  <si>
    <t>Economic Development Agency of Canada for the Regions of Quebec</t>
  </si>
  <si>
    <t>Federal Economic Development Agency for Southern Ontario</t>
  </si>
  <si>
    <t>IR0524</t>
  </si>
  <si>
    <t>Support for the Economic Development in the North</t>
  </si>
  <si>
    <t>10% Temporary Business Wage Subsidy</t>
  </si>
  <si>
    <t>IR0547</t>
  </si>
  <si>
    <t>Essential Workers Wage Top-up</t>
  </si>
  <si>
    <t>Canada Emergency Response Benefit</t>
  </si>
  <si>
    <t>IR0517</t>
  </si>
  <si>
    <t>CERB Data</t>
  </si>
  <si>
    <t>Administration Costs related to the Canada Emergency Response Benefit</t>
  </si>
  <si>
    <t>Canada Emergency Student Benefit</t>
  </si>
  <si>
    <t>CESB Data</t>
  </si>
  <si>
    <t>Canada Emergency Commercial Rent Assistance</t>
  </si>
  <si>
    <t>Less: Provincial Contribution for CECRA</t>
  </si>
  <si>
    <t>Canada Mortgage and Housing Corporation</t>
  </si>
  <si>
    <t>IR0480</t>
  </si>
  <si>
    <t>Support for Local Indigenous Economies and the Indigenous Tourism Industry</t>
  </si>
  <si>
    <t>Interest Relief for First Nations through the First Nations Finance Authority</t>
  </si>
  <si>
    <t>IR0515</t>
  </si>
  <si>
    <t>$17.1M transferred to First Nations Finance Authority</t>
  </si>
  <si>
    <t>Support for Indigenous Businesses and Aboriginal Financial Institutions</t>
  </si>
  <si>
    <t>Outstanding</t>
  </si>
  <si>
    <t>Support for Main Street Businesses</t>
  </si>
  <si>
    <t xml:space="preserve">Women Entrepreneurship Strategy – Ecosystem Top-up </t>
  </si>
  <si>
    <t xml:space="preserve">Granville Island Emergency Relief Fund </t>
  </si>
  <si>
    <t>IR0516</t>
  </si>
  <si>
    <t>Advertising Campaign: Government of Canada’s COVID-19 Economic Response Plan</t>
  </si>
  <si>
    <t>IR0521</t>
  </si>
  <si>
    <t xml:space="preserve">COVID-19 Communications and Marketing </t>
  </si>
  <si>
    <t>Privy Council Office</t>
  </si>
  <si>
    <t>IR0540</t>
  </si>
  <si>
    <t>Wage Subsidy for Staff of the Non-Public Funds, Canadian Forces</t>
  </si>
  <si>
    <t>Support for Food Inspection Services</t>
  </si>
  <si>
    <t>Canada Food Inspection Agency</t>
  </si>
  <si>
    <t>IR0461</t>
  </si>
  <si>
    <t>Support for Cultural, Heritage and Sport Organizations</t>
  </si>
  <si>
    <t>Canada Council for the Arts</t>
  </si>
  <si>
    <t>IR0469</t>
  </si>
  <si>
    <t>Department of Canadian Heritage</t>
  </si>
  <si>
    <t>Support for Canada’s National Museums</t>
  </si>
  <si>
    <t>Canadian Museum for Human Rights</t>
  </si>
  <si>
    <t>Canadian Museum of History</t>
  </si>
  <si>
    <t>Canadian Museum of Immigration at Pier 21</t>
  </si>
  <si>
    <t>Canadian Museum of Nature</t>
  </si>
  <si>
    <t xml:space="preserve">National Gallery of Canada </t>
  </si>
  <si>
    <t>National Museum of Science and Technology</t>
  </si>
  <si>
    <t>The National Battlefields Commission</t>
  </si>
  <si>
    <t>Supporting the National Arts Centre during COVID-19</t>
  </si>
  <si>
    <t>National Arts Centre</t>
  </si>
  <si>
    <t>Cleaning up Former Oil and Gas Wells</t>
  </si>
  <si>
    <t>Non-Budgetary Statutory</t>
  </si>
  <si>
    <t>IR0494</t>
  </si>
  <si>
    <t>Emissions Reduction Fund for the oil and gas sector (over two years)</t>
  </si>
  <si>
    <t>Department of Natural Resources Canada</t>
  </si>
  <si>
    <t>IR0473</t>
  </si>
  <si>
    <t>Support for Canada's Farmers, Food Businesses, and Food Supply</t>
  </si>
  <si>
    <t>Support for Canada's Fish Harvesters</t>
  </si>
  <si>
    <t>Support for Fish and Seafood Processors through the Canadian Seafood Stabilization Fund</t>
  </si>
  <si>
    <t>Department of Fisheries and Oceans</t>
  </si>
  <si>
    <t>IR0482</t>
  </si>
  <si>
    <t>Not available</t>
  </si>
  <si>
    <t>IR0539</t>
  </si>
  <si>
    <t xml:space="preserve">Support for Canada's Academic Research Community </t>
  </si>
  <si>
    <t>Social Sciences and Humanities Research Council</t>
  </si>
  <si>
    <t>IR0522</t>
  </si>
  <si>
    <t xml:space="preserve">Support for the Federal Bridge Corporation Limited </t>
  </si>
  <si>
    <t>The Federal Bridge Corporation Limited</t>
  </si>
  <si>
    <t>Support for Workers in the Newfoundland and Labrador Offshore Energy Sector</t>
  </si>
  <si>
    <t>Ensuring Access to Canada Revenue Agency Call Centres</t>
  </si>
  <si>
    <t>Canada Revenue Agency Funding for COVID-19 Economic Measures</t>
  </si>
  <si>
    <t>Temporary Enhanced GST Credit</t>
  </si>
  <si>
    <t>Temporary Enhanced Canada Child Benefit</t>
  </si>
  <si>
    <t>One-Time Payment to OAS and GIS recipients</t>
  </si>
  <si>
    <t>IR0518</t>
  </si>
  <si>
    <t>Support for Persons with Disabilities ($1M in existing funding)</t>
  </si>
  <si>
    <t>Veterans Emergency Fund</t>
  </si>
  <si>
    <t xml:space="preserve">Youth Employment and Skills Development Programs </t>
  </si>
  <si>
    <t xml:space="preserve">Department of Agriculture and Agri-Food </t>
  </si>
  <si>
    <t xml:space="preserve">Department of Indigenous Services </t>
  </si>
  <si>
    <t>Department of Natural Resources</t>
  </si>
  <si>
    <t>IR0552</t>
  </si>
  <si>
    <t>Department of the Environment</t>
  </si>
  <si>
    <t>IR0557</t>
  </si>
  <si>
    <t>Natural Sciences and Engineering Research Council</t>
  </si>
  <si>
    <t>Canada Student Loans (over two years)</t>
  </si>
  <si>
    <t>Canada Student Service Grant</t>
  </si>
  <si>
    <t>Supporting the On Reserve Income Assistance Program</t>
  </si>
  <si>
    <t>Support for Children and Youth (Kids Help Phone)</t>
  </si>
  <si>
    <t>New Horizons for Seniors Program expansion</t>
  </si>
  <si>
    <t>New Horizons Seniors Grants Data</t>
  </si>
  <si>
    <t>Lower RRIF Minimum Withdrawal</t>
  </si>
  <si>
    <t>Support for Veterans' Organizations</t>
  </si>
  <si>
    <t>Department of Veterans Affairs</t>
  </si>
  <si>
    <t>IR0560</t>
  </si>
  <si>
    <t>Support for Charities and Non-Profits Serving Vulnerable People (Emergency Community Support Fund)</t>
  </si>
  <si>
    <t>Support for Food Banks and Local Food Organizations (of which, $25M in 2019-20)</t>
  </si>
  <si>
    <t>Addressing Gender-Based Violence during COVID-19</t>
  </si>
  <si>
    <t>Department for Women and Gender Equality</t>
  </si>
  <si>
    <t>IR0475</t>
  </si>
  <si>
    <t>Support for women’s shelters and sexual assault centres, including for facilities in Indigenous communities</t>
  </si>
  <si>
    <t>Funding to start in 2021-22</t>
  </si>
  <si>
    <t>Protecting and Supporting Indigenous Women and Girls Fleeing Violence (first two years)</t>
  </si>
  <si>
    <t>Supporting Provincial and Territorial Job Training Efforts as Part of COVID-19 Economic Recovery</t>
  </si>
  <si>
    <t>Rapid Housing Initiative</t>
  </si>
  <si>
    <t>Emergency Funding for Safety Measures in Forest Operations</t>
  </si>
  <si>
    <t>Black Entrepreneurship Program</t>
  </si>
  <si>
    <t>Supporting Public Health Measures in Correctional Institutions</t>
  </si>
  <si>
    <t>Parks Canada Rent Relief and Revenue Replacement</t>
  </si>
  <si>
    <t>Parks Canada</t>
  </si>
  <si>
    <t>IR0492</t>
  </si>
  <si>
    <t>Support for the National Capital Commission</t>
  </si>
  <si>
    <t>Public Services and Procurement Canada Program Integrity</t>
  </si>
  <si>
    <t>Supporting the Ongoing Delivery of Key Benefits</t>
  </si>
  <si>
    <t>Improving Our Ability to Reach All Canadians</t>
  </si>
  <si>
    <t>Maintaining the Federal Government's Legal Services Capacity</t>
  </si>
  <si>
    <t>Supporting Court Operations and Access to Justice</t>
  </si>
  <si>
    <t xml:space="preserve">Support Canada Emergency Response Benefit Payment Integrity </t>
  </si>
  <si>
    <t>Funding for VIA Rail Canada Inc.</t>
  </si>
  <si>
    <t>Department of Justice</t>
  </si>
  <si>
    <t>Support for Northern Businesses - Northern Business Relief Fund (from existing resources)</t>
  </si>
  <si>
    <t>Waiving the Employment Insurance Waiting Period for People in Imposed Quarantine</t>
  </si>
  <si>
    <t>IR0548</t>
  </si>
  <si>
    <t>Destination Canada</t>
  </si>
  <si>
    <t>Supporting Domestic Travel through Destination Canada</t>
  </si>
  <si>
    <t>IR0562</t>
  </si>
  <si>
    <t>Canadian Centre for Occupational Health and Safety</t>
  </si>
  <si>
    <t>Critical Operating Requirements</t>
  </si>
  <si>
    <t>Creating Job Opportunities for Students</t>
  </si>
  <si>
    <t>Support for the CanCOVID Network</t>
  </si>
  <si>
    <t>Support to the Eureka Prorgram in Response to COVID-19</t>
  </si>
  <si>
    <t>IR0564</t>
  </si>
  <si>
    <t>Support for Business Resumption for Federally Regulated Employees</t>
  </si>
  <si>
    <t>Communications Security Establishment</t>
  </si>
  <si>
    <t>Information Technology Services, Infrastructure and Cyber Security</t>
  </si>
  <si>
    <t>Canadian Broadcasting Corporation</t>
  </si>
  <si>
    <t>Internal reallocation of resources for the COVID-19 impact to advertising revenues and operating costs</t>
  </si>
  <si>
    <t>Canadian Space Agency</t>
  </si>
  <si>
    <t>Internal reallocation of resources to support the space sector and stimulate the economy in response to COVID-19</t>
  </si>
  <si>
    <t>Establishing a multi-disciplinary network of data specialists in modelling emerging infectious diseases to support public health actions across Canada</t>
  </si>
  <si>
    <t>Securing domestic supply chain of N95 respirators</t>
  </si>
  <si>
    <t>Safe Return to Class Fund - First Nations Communities</t>
  </si>
  <si>
    <t>Department of Agriculture and Agri-food Canada</t>
  </si>
  <si>
    <t>Internal reallocation of resources for food processors to implement health measures that allow them to maintain domestic food production and processing capacity</t>
  </si>
  <si>
    <t>CRA/CBSA Liquidity Support to Businesses and Individuals</t>
  </si>
  <si>
    <t>Income Tax Payment Deferral to September</t>
  </si>
  <si>
    <t>Sales Tax Remittance and Customs Duty Payments Deferral</t>
  </si>
  <si>
    <t>Deferral of payment of GST and customs duties on imports: CBSA has yet to receive payments totaling $955,790,744</t>
  </si>
  <si>
    <t>Deferral of lease payment for duty-free shop operators and customs brokers:  total amount forgivable from receivable leases is approximately $49,076</t>
  </si>
  <si>
    <t>Supporting Jobs and Safe Operations of Junior Mining Companies</t>
  </si>
  <si>
    <t xml:space="preserve">Department of Finance </t>
  </si>
  <si>
    <t>Total - Tax Liquidity Support</t>
  </si>
  <si>
    <t>Business Credit Availability Program (BCAP) (through BDC and EDC)</t>
  </si>
  <si>
    <t>Small and Medium-sized Enterprise Co-Lending</t>
  </si>
  <si>
    <t>Business Development Bank of Canada</t>
  </si>
  <si>
    <t>IR0457</t>
  </si>
  <si>
    <t>Small and Medium-sized Enterprise Guarantee program</t>
  </si>
  <si>
    <t>Export Development Canada</t>
  </si>
  <si>
    <t>IR0465</t>
  </si>
  <si>
    <t>Canada Emergency Business Account</t>
  </si>
  <si>
    <t>CEBA Data</t>
  </si>
  <si>
    <t>Financing for Mid-size Companies through BCAP</t>
  </si>
  <si>
    <t>Credit and liquidity support for the Agriculture Sector</t>
  </si>
  <si>
    <t>Farm Credit Canada Additional Lending Capacity</t>
  </si>
  <si>
    <t>Farm Credit Canada</t>
  </si>
  <si>
    <t>IR0466</t>
  </si>
  <si>
    <t>Stay of Default on Advance Payments Program</t>
  </si>
  <si>
    <t>Large Employer Emergency Financing Facility</t>
  </si>
  <si>
    <t>Canada Development Investment Corporation</t>
  </si>
  <si>
    <t>IR0479</t>
  </si>
  <si>
    <t>LEEFF Data</t>
  </si>
  <si>
    <t>Credit and liquidity support through the Bank of Canada, CMHC and commercial lenders</t>
  </si>
  <si>
    <t>CMHC Insured Mortgage Purchase Program</t>
  </si>
  <si>
    <t>31,857 mortgage-backed securities purchased, for a total of 5.8 billion</t>
  </si>
  <si>
    <t>Capital Relief (OSFI Domestic Stability Buffer)</t>
  </si>
  <si>
    <t>Business Credit Availability Program and Other Liquidity Support</t>
  </si>
  <si>
    <t>Total - Other Liquidity Support</t>
  </si>
  <si>
    <t>Tax and Customs Duty Payment Liquitidy Support</t>
  </si>
  <si>
    <t>Contribution of $9 million through United Way for local organizations (in 2019-20)</t>
  </si>
  <si>
    <t>Grant agreement with United Way Centraide Canada valued at $9M</t>
  </si>
  <si>
    <t>Enhancements to the Work-Sharing Program</t>
  </si>
  <si>
    <t>IR0483</t>
  </si>
  <si>
    <t>Work-Sharing Data</t>
  </si>
  <si>
    <t>Highly Affected Sectors Credit Availability Program</t>
  </si>
  <si>
    <t>Canada Emergency Wage Subsidy and Canada Emergency Rent Subsidy for April to June 2021</t>
  </si>
  <si>
    <t>$1,100,000 used to date</t>
  </si>
  <si>
    <t>Legislation Providing Statutory Authority</t>
  </si>
  <si>
    <t>Measures in this tracking document are organized to align with the grouping of measures in the Fall Economic Statement (FES) 2020 COVID-19 Response Plan tables (at the end of Ch. 1 and 2). Those include the following tabs:</t>
  </si>
  <si>
    <t>The final tab in this tracking document includes COVID-19 measures announcement by the Government that were not included in the FES 2020:</t>
  </si>
  <si>
    <t>Measures not in FES 2020</t>
  </si>
  <si>
    <t>Measures not in the Fall Economic Statement (FES) 2020</t>
  </si>
  <si>
    <t>Measures not in the FES 2020</t>
  </si>
  <si>
    <t>Total - Measures not in the FES 2020</t>
  </si>
  <si>
    <t>Department of Finance Canada, Fall Economic Statement 2020: Supporting Canadians and Fighting COVID-19</t>
  </si>
  <si>
    <t>Total - Direct Support Measures</t>
  </si>
  <si>
    <t>National Capital Commission</t>
  </si>
  <si>
    <t>VIA Rail Canada Inc.</t>
  </si>
  <si>
    <t>Correctional Service Canada</t>
  </si>
  <si>
    <t>$10 million expended</t>
  </si>
  <si>
    <t>BILL C-13 (43rd Parliament, 1st Session) An Act respecting certain measures in response to COVID-19</t>
  </si>
  <si>
    <t xml:space="preserve">BILL C-13 (43rd Parliament, 1st Session) An Act respecting certain measures in response to COVID-19 </t>
  </si>
  <si>
    <t>BILL C-13 (43rd Parliament, 1st Session) An Act respecting certain measures in response to COVID-19 and BILL C-4 (43rd Parliament, 2nd Session) An Act relating to certain measures in response to COVID-19</t>
  </si>
  <si>
    <t>BILL C-13 (43rd Parliament, 1st Session) An Act respecting certain measures in response to COVID-19and BILL C-4 (43rd Parliament, 2nd Session) An Act relating to certain measures in response to COVID-19</t>
  </si>
  <si>
    <t>BILL C-4 (43rd Parliament, 2nd Session) An Act relating to certain measures in response to COVID-19</t>
  </si>
  <si>
    <t xml:space="preserve"> </t>
  </si>
  <si>
    <t>BILL C-13 (43rd Parliament, 1st Session) An Act respecting certain measures in response to COVID-19  and BILL C-4 (43rd Parliament, 2nd Session) An Act relating to certain measures in response to COVID-19</t>
  </si>
  <si>
    <t>BILL C-9 (43rd Parliament, 2nd Session) An Act to amend the Income Tax Act (Canada Emergency Rent Subsidy and Canada Emergency Wage Subsidy)</t>
  </si>
  <si>
    <t>BILL C-20 (43rd Parliament, 1st Session) An Act respecting further COVID-19 measures</t>
  </si>
  <si>
    <t>BILL C-14 (43rd Parliament, 1st Session) A second Act respecting certain measures in response to COVID-19, BILL C-20 (43rd Parliament, 1st Session) An Act respecting further COVID-19 measures, BILL C-9 (43rd Parliament, 2nd Session) An Act to amend the Income Tax Act (Canada Emergency Rent Subsidy and Canada Emergency Wage Subsidy), BILL C-17 (43rd Parliament, 1st Session)</t>
  </si>
  <si>
    <t>Support for International Partners (includes $322.9M of International Assistance Envelope Crisis Pool and other reallocated funding)</t>
  </si>
  <si>
    <t>Interim Order No. 10 Amending the Employment Insurance Act (Employment Insurance Emergency Response Benefit)</t>
  </si>
  <si>
    <t>Interim Order No. 7 Amending the Employment Insurance Act (Employment Insurance Emergency Response Benefit)</t>
  </si>
  <si>
    <t>Certain Medical Goods Remission Order (COVID-19)</t>
  </si>
  <si>
    <t>Agricultural Marketing Payments Act</t>
  </si>
  <si>
    <t xml:space="preserve">Airport Transfer (Miscellaneous Matters) Act </t>
  </si>
  <si>
    <t>Income Tax Act</t>
  </si>
  <si>
    <t>Excise Tax Act and Customs Act</t>
  </si>
  <si>
    <t>IMPP Data</t>
  </si>
  <si>
    <t xml:space="preserve">Data provided by departments represents actual spending data as of a given date, unless otherwise specified. </t>
  </si>
  <si>
    <t>Will be sent</t>
  </si>
  <si>
    <t>Canada Student Loan Payments (Moratorium)</t>
  </si>
  <si>
    <t>CBSA has relieved $289,616,769 in duties and $14,062,640 in taxes for 11,821 importers</t>
  </si>
  <si>
    <t>Strengthening Pandemic Prepardness in Long-Term Care and Retirement Homes</t>
  </si>
  <si>
    <r>
      <t xml:space="preserve">GoC Cash Estimate 2020-21 ($Millions) </t>
    </r>
    <r>
      <rPr>
        <vertAlign val="superscript"/>
        <sz val="11"/>
        <color theme="0"/>
        <rFont val="Calibri"/>
        <family val="2"/>
        <scheme val="minor"/>
      </rPr>
      <t>1</t>
    </r>
  </si>
  <si>
    <r>
      <rPr>
        <vertAlign val="superscript"/>
        <sz val="11"/>
        <color theme="1"/>
        <rFont val="Calibri"/>
        <family val="2"/>
        <scheme val="minor"/>
      </rPr>
      <t xml:space="preserve">1 </t>
    </r>
    <r>
      <rPr>
        <sz val="11"/>
        <color theme="1"/>
        <rFont val="Calibri"/>
        <family val="2"/>
        <scheme val="minor"/>
      </rPr>
      <t>The Government has included impact values for these measures in the Fall Economic Statement 2020.</t>
    </r>
  </si>
  <si>
    <r>
      <rPr>
        <vertAlign val="superscript"/>
        <sz val="11"/>
        <color theme="1"/>
        <rFont val="Calibri"/>
        <family val="2"/>
        <scheme val="minor"/>
      </rPr>
      <t xml:space="preserve">1 </t>
    </r>
    <r>
      <rPr>
        <sz val="11"/>
        <color theme="1"/>
        <rFont val="Calibri"/>
        <family val="2"/>
        <scheme val="minor"/>
      </rPr>
      <t>Estimates included in this column were provided by the department of Finance through the following information requests: IR0503, IR0534 and IR0566. These are cost estimates on a cash basis for the current fiscal year. Data provided is up until the Fall Economic Statement (November 30, 2020).</t>
    </r>
  </si>
  <si>
    <t>$4.2M transferred</t>
  </si>
  <si>
    <t>$20.1M spent, supporting over 3,200 small businesses</t>
  </si>
  <si>
    <t xml:space="preserve">$1,199,987 in a grant </t>
  </si>
  <si>
    <t>$2.4 million used</t>
  </si>
  <si>
    <t xml:space="preserve">$16,000 used </t>
  </si>
  <si>
    <t>$9,964,000 used</t>
  </si>
  <si>
    <t>*Deferred rent is repayable to the department and these amounts will be recovered over the remaning terms of the leases in question.</t>
  </si>
  <si>
    <t>Data has been requested through PBO information request. Deadline for a response has passed and information has not yet been provided.</t>
  </si>
  <si>
    <t>Department has indicated in their response to the PBO that the information on this measure is not yet available or cannot be provided.</t>
  </si>
  <si>
    <t>Not available:</t>
  </si>
  <si>
    <t>$155, 087 paid</t>
  </si>
  <si>
    <t>Surplus Food Purchase Program: $49.4M in signed agreements with 9 applicants</t>
  </si>
  <si>
    <t>Infrastructure Canada</t>
  </si>
  <si>
    <t>National Film Board</t>
  </si>
  <si>
    <t>Treasury Board of Canada Secretartiat</t>
  </si>
  <si>
    <t>IR0579</t>
  </si>
  <si>
    <t>IR0578</t>
  </si>
  <si>
    <t>IR0583</t>
  </si>
  <si>
    <t>IR0580</t>
  </si>
  <si>
    <t>IR0585</t>
  </si>
  <si>
    <t>IR0582</t>
  </si>
  <si>
    <t>$0.1M spent</t>
  </si>
  <si>
    <t>Support for Health Canada and the Public Health Agency of Canada</t>
  </si>
  <si>
    <t xml:space="preserve">COVID-19 Response Fund (including $500M for Provinces and Territories, completed in 2019-20 and $50M from existing resources) </t>
  </si>
  <si>
    <t xml:space="preserve">*Sum is greater than funds received in Supplementary Estimates (A) because CIHR made additional investments from it’s a-base funding. </t>
  </si>
  <si>
    <t>$26,757,432 in grants*</t>
  </si>
  <si>
    <t>$28,564,702 in grants*</t>
  </si>
  <si>
    <t>Improving Ventilation in Buildings</t>
  </si>
  <si>
    <t>IR0581</t>
  </si>
  <si>
    <t>$19,999,420 alloted to 305,653 individuals through 30 organizations</t>
  </si>
  <si>
    <t>Treasury Board of Canada Secretariat, Supplementary Estimates (C), 2020-21</t>
  </si>
  <si>
    <t>Supps C</t>
  </si>
  <si>
    <t>Canada Revenue Agency Act</t>
  </si>
  <si>
    <t>Internal reallocation of resources to fund meritorious grants for COVID-19 rapid response funding opportunities</t>
  </si>
  <si>
    <t>Internal reallocation of resources to support various operating requirements such as COVID-19 pressures and various transition  initiatives</t>
  </si>
  <si>
    <t>Library and Archives of Canada</t>
  </si>
  <si>
    <t>Internal reallocation of resources to support Canada’s initial response to COVID-19</t>
  </si>
  <si>
    <t>Courts Administration Service</t>
  </si>
  <si>
    <t>Registrar of the Supreme Court of Canada</t>
  </si>
  <si>
    <t>Administration of the Canada Emergency Business Account</t>
  </si>
  <si>
    <t>Administration of the Canada Emergency Rent Subsidy</t>
  </si>
  <si>
    <t>Administration of the 10% Temporary Wage Subsidy for  Employers</t>
  </si>
  <si>
    <t>Administration of the Canada Emergency Wage Subsidy</t>
  </si>
  <si>
    <t>Critical operating requirements of the Office of the Auditor General</t>
  </si>
  <si>
    <t>Office of the Auditor General</t>
  </si>
  <si>
    <t>Communication Services</t>
  </si>
  <si>
    <t>Funding for the Government of Nunavut for increased health care costs due to the pandemic</t>
  </si>
  <si>
    <t xml:space="preserve">Supps C </t>
  </si>
  <si>
    <t>Funding for the Canada Emergency Business Account Project</t>
  </si>
  <si>
    <t>Support for the COVID-19 challenge to  Canadian industry through the Innovative Solutions Canada Program</t>
  </si>
  <si>
    <t>Support for the Federal Bridge Corporation Limited's critical operating requirements</t>
  </si>
  <si>
    <t>Spending of revenues received through the conduct of its operations</t>
  </si>
  <si>
    <t xml:space="preserve">Alternative Credit Support for Small Businesses - Regional Development Agencies (Regional Relief and Recovery Fund, including through Community Futures Network) </t>
  </si>
  <si>
    <t>IR0584</t>
  </si>
  <si>
    <t>CERS and Lockdown Support Data</t>
  </si>
  <si>
    <t>Strategic Innovation Fund</t>
  </si>
  <si>
    <t>BILL C-14 (43rd Parliament, 1st Session) A second Act respecting certain measures in response to COVID-19</t>
  </si>
  <si>
    <t xml:space="preserve">Total of $2.0 billion transferred to all 13 provinces and territories </t>
  </si>
  <si>
    <t>$320 million provided</t>
  </si>
  <si>
    <t>Data available online</t>
  </si>
  <si>
    <t>$79,656,044 used to date</t>
  </si>
  <si>
    <t>$25,153,018 used to date</t>
  </si>
  <si>
    <t>$108,455,832 spent</t>
  </si>
  <si>
    <t>Emergency Processing Fund: $65.3M disbursed on approved projects</t>
  </si>
  <si>
    <t>$39,237,083 received</t>
  </si>
  <si>
    <t>Agreements with 6 provinces and territories signed for a total of $66.755 million</t>
  </si>
  <si>
    <t>Total of $12,276,726,000 transferred to all 13 provinces and territories</t>
  </si>
  <si>
    <t>$1,720,000,000 in estimated expenditures</t>
  </si>
  <si>
    <t>$9,998,735 in estimated expenditures</t>
  </si>
  <si>
    <t>**Includes estimated expenditures for "Enhancing Public Health Measures in Indigenous Communities" and "Indigenous Public Health Investments" in COVID-19 Economic Response Plan - Estimated Expenditures submitted by the Treasury Board Secretariat to the Standing Committee on Government Operations and Estimates (March 17, 2021).</t>
  </si>
  <si>
    <t>$63,738,124 in estimated expenditures</t>
  </si>
  <si>
    <t>882 transactions for $679.6 million (EDC's portion of the guarantee)</t>
  </si>
  <si>
    <t>$394,075,985 in estimated expenditures</t>
  </si>
  <si>
    <t>$12,550,284 in estimated expenditures</t>
  </si>
  <si>
    <t>$381,825,222 in estimated expenditures</t>
  </si>
  <si>
    <t>$19,973,765 in estimated expenditures</t>
  </si>
  <si>
    <t>$349,698,783 in estimated expenditures</t>
  </si>
  <si>
    <t>$1,499,265,341 in estimated expenditures</t>
  </si>
  <si>
    <t>$11,262,711 in estimated expenditures</t>
  </si>
  <si>
    <t>$35,717,351 in estimated expenditures</t>
  </si>
  <si>
    <t>$62,787,208 in estimated expenditures</t>
  </si>
  <si>
    <t>$405,430,389 in estimated expenditures</t>
  </si>
  <si>
    <t>$29,654,492 in estimated expenditures</t>
  </si>
  <si>
    <t>$346,000 in estimated expenditures</t>
  </si>
  <si>
    <t>$9,122,687 in estimated expenditures</t>
  </si>
  <si>
    <t>$1,148,000 in estimated expenditures</t>
  </si>
  <si>
    <t>$863,000 in estimated expenditures</t>
  </si>
  <si>
    <t xml:space="preserve">Further support for medical research, countermeasures, and vaccines </t>
  </si>
  <si>
    <t>**Includes estimated expenditures for "Regional Relief and Recovery Fund" and "Targeted Extension of the Innovation Assistance Program" in COVID-19 Economic Response Plan - Estimated Expenditures submitted by the Treasury Board Secretariat to the Standing Committee on Government Operations and Estimates (March 17, 2021).</t>
  </si>
  <si>
    <t>$32,211,469 in estimated expenditures</t>
  </si>
  <si>
    <t>Statistics Canada</t>
  </si>
  <si>
    <t>TBS Data: COVID-19 Economic Response Plan - Estimated Expenditures</t>
  </si>
  <si>
    <t>$83.8M spent</t>
  </si>
  <si>
    <t>$44.4M spent</t>
  </si>
  <si>
    <t>$139,606,862 in grants</t>
  </si>
  <si>
    <t>$83,311,449 in estimated expenditures</t>
  </si>
  <si>
    <t>$3,153,073 in grants</t>
  </si>
  <si>
    <t>$7,000,000 in estimated expenditures</t>
  </si>
  <si>
    <t>136 tenants applications completed, totalling $4,687,998</t>
  </si>
  <si>
    <t>Outstanding Amount: $51,383,862</t>
  </si>
  <si>
    <t>Rent deferral: 33 tenants approved for rent deferral, representing a total of approximately $190,441 in rent*
Rent relief: 4 attestation forms approved, representing a $13,532 loss in rental revenue</t>
  </si>
  <si>
    <t>Confidential. Informal results of BCAP authorized volume is $936M, based on data provided by financial institutions on an aggregate and interim basis. This covers both the SME co-lending and the mid-market offerings and represents 100% of the loan value, not just the BDC portion.</t>
  </si>
  <si>
    <t>$741.2M disbursed through international assistance</t>
  </si>
  <si>
    <t>$2,206,586 transferred</t>
  </si>
  <si>
    <t>$2,049,575 transferred</t>
  </si>
  <si>
    <t>$5,927,263 transferred</t>
  </si>
  <si>
    <t>$4,808,711 transferred</t>
  </si>
  <si>
    <t>$5,338,974 transferred</t>
  </si>
  <si>
    <t>$1,112,328 transferred</t>
  </si>
  <si>
    <t>$18,200,000 transferred</t>
  </si>
  <si>
    <t>BILL C-4 (43rd Parliament, 2nd Session) An Act relating to certain measures in response to COVID-19 and BILL C-24 (43rd Parliament, 2nd Session) An Act to amend the Employment Insurance Act (additional regular benefits), the Canada Recovery Benefits Act (restriction on eligibility) and another Act in response to COVID-19</t>
  </si>
  <si>
    <t>$15,000,000 in estimated expenditures</t>
  </si>
  <si>
    <t>****This figure is an estimate of the cost of increasing Canada Student Grants by 50 per cent in loan year 2020-21.  Canada Student Loan costs associated with suspending student and spousal contributions and raising the maximum weekly loan amount from $210 per week to $350 per week are not included.</t>
  </si>
  <si>
    <t>$2,444.1M spent</t>
  </si>
  <si>
    <t>$1.9M spent</t>
  </si>
  <si>
    <t>$17.3M spent</t>
  </si>
  <si>
    <t>$2,111.9M spent</t>
  </si>
  <si>
    <t>$18.8M spent</t>
  </si>
  <si>
    <t>$1,859.5M spent</t>
  </si>
  <si>
    <t>$88.9M spent</t>
  </si>
  <si>
    <t>$201.4M spent</t>
  </si>
  <si>
    <t>$61.7M spent</t>
  </si>
  <si>
    <t>***This figure represents payments by the Government of Canada to compensate financial institutions for the six-month moratorium for loans under the guaranteed and risk-shared regimes. Costs associated with the direct loan regime are not included.</t>
  </si>
  <si>
    <t>2020-2021</t>
  </si>
  <si>
    <t>2021-2022</t>
  </si>
  <si>
    <t>Included in 2020-21 Estimates</t>
  </si>
  <si>
    <t>Included in 2021-22 Estimates</t>
  </si>
  <si>
    <t>Mains</t>
  </si>
  <si>
    <t>Dollar Amount in 2020-21 Estimates ($Millions)</t>
  </si>
  <si>
    <t>Dollar Amount in 2021-22 Estimates ($Millions)</t>
  </si>
  <si>
    <t>Treasury Board of Canada Secretariat, Main Estimates 2021-2022</t>
  </si>
  <si>
    <t>Voted/Statutory in Estimates</t>
  </si>
  <si>
    <t>Total Supps A 2020-21 - Direct Support Measures</t>
  </si>
  <si>
    <t>Total Supps B 2020-21 - Direct Support Measures</t>
  </si>
  <si>
    <t>Total Supps C 2020-21 - Direct Support Measures</t>
  </si>
  <si>
    <t>Total Mains 2021-22 - Direct Support Measures</t>
  </si>
  <si>
    <t>Treasury Board of Canada Secretariat, COVID-19 Economic Response Plan - Estimated Expenditures submitted to the Standing Committee on Government Operations and Estimates</t>
  </si>
  <si>
    <t>Total Supps A 2020-21 - Protecting Health and Safety</t>
  </si>
  <si>
    <t>Total Supps B 2020-21 - Protecting Health and Safety</t>
  </si>
  <si>
    <t>Total Supps C 2020-21 - Protecting Health and Safety</t>
  </si>
  <si>
    <t>Total Mains 2021-22 - Protecting Health and Safety</t>
  </si>
  <si>
    <t>Total Supps C 2020-21 - Other Liquidity Support</t>
  </si>
  <si>
    <t>Total Supps A 2020-21 - Measures not in the FES 2020</t>
  </si>
  <si>
    <t>Total Supps B 2020-21 - Measures not in the FES 2020</t>
  </si>
  <si>
    <t>Total Supps C 2020-21 - Measures not in the FES 2020</t>
  </si>
  <si>
    <t>$155,881,001 in estimated expenditures</t>
  </si>
  <si>
    <t>$21,126,050 in estimated expenditures</t>
  </si>
  <si>
    <t>$2,144,502,193 in estimated expenditures</t>
  </si>
  <si>
    <t>$1,616,371 in estimated expenditures</t>
  </si>
  <si>
    <t>$602,219,582 in estimated expenditures</t>
  </si>
  <si>
    <t>$940,209 in estimated expenditures</t>
  </si>
  <si>
    <t>$17,193,632 in estimated expenditures</t>
  </si>
  <si>
    <t>$3,783,612 transferred</t>
  </si>
  <si>
    <t>$29,371,611 in estimated expenditures</t>
  </si>
  <si>
    <t>$143,000 in estimated expenditures</t>
  </si>
  <si>
    <t>$27,946,162 in estimated expenditures</t>
  </si>
  <si>
    <t>$1,488,340 in estimated expenditures</t>
  </si>
  <si>
    <t>$14,049,613 in estimated expenditures</t>
  </si>
  <si>
    <t>1,132 applications approved for a total of $10.8 million, $ 3,969,124 in estimated expenditures</t>
  </si>
  <si>
    <t>$126,454,742 in estimated expenditures</t>
  </si>
  <si>
    <t>$47,067,155 in estimated expenditures</t>
  </si>
  <si>
    <t>$145,600,000 in estimated expenditures</t>
  </si>
  <si>
    <t>$15,545,275 in estimated expenditures</t>
  </si>
  <si>
    <t>$487,652 in estimated expenditures</t>
  </si>
  <si>
    <t xml:space="preserve">2,140,230 approved applications for 708,440 unique applicants, $2,945,262,750 in estimated expenditures
$17,624,372 in administration costs </t>
  </si>
  <si>
    <t>$2,115,294 in estimated expenditures***</t>
  </si>
  <si>
    <t>$1,297,694,523 in estimated expenditures****</t>
  </si>
  <si>
    <t>$2,767,000 in estimated expenditures</t>
  </si>
  <si>
    <t>$2,461,095,165 in estimated expenditures</t>
  </si>
  <si>
    <t>$809,294,025 in estimated expenditures</t>
  </si>
  <si>
    <t>$142,028,589 in estimated expenditures</t>
  </si>
  <si>
    <t>$54,862,817 in estimated expenditures</t>
  </si>
  <si>
    <t>$12,658,881 in estimated expenditures</t>
  </si>
  <si>
    <t>$8,671,770 in estimated expenditures</t>
  </si>
  <si>
    <t>$28,505,185 in estimated expenditures</t>
  </si>
  <si>
    <t>$2,051,767 in estimated expenditures</t>
  </si>
  <si>
    <t>$10,840,795 in estimated expenditures</t>
  </si>
  <si>
    <t>$34,380,000 in estimated expenditures</t>
  </si>
  <si>
    <t>$3,340,993 in estimated expenditures</t>
  </si>
  <si>
    <t>$43,743,487 in estimated expenditures</t>
  </si>
  <si>
    <t>$210,000 in estimated expenditures</t>
  </si>
  <si>
    <t>$519,266,050 in estimated expenditures**</t>
  </si>
  <si>
    <t>$105,095,069 in estimated expenditures</t>
  </si>
  <si>
    <t>$866,173,518 in estimated expenditures</t>
  </si>
  <si>
    <t>$80,044,443 in estimated expenditure</t>
  </si>
  <si>
    <t>$15,492,360 in estimated expenditures</t>
  </si>
  <si>
    <t>$203,690,151 in estimated expenditures</t>
  </si>
  <si>
    <t>$113,281,398 in estimated expenditures</t>
  </si>
  <si>
    <t>$9,962,000 in estimated expenditures</t>
  </si>
  <si>
    <t>$262,175,718 in estimated expenditures</t>
  </si>
  <si>
    <t>$235,862,337 in estimated expenditures</t>
  </si>
  <si>
    <t>$31,475,051 in estimated expenditures</t>
  </si>
  <si>
    <t>$69,931,479 in estimated expenditures</t>
  </si>
  <si>
    <t>$83,467,065 in estimated expenditures</t>
  </si>
  <si>
    <t>$30,689,934 in estimated expenditures</t>
  </si>
  <si>
    <t>$7,007,796 in estimated expenditures</t>
  </si>
  <si>
    <t>$2,111,074 in estimated expenditures</t>
  </si>
  <si>
    <t>$16,522,876 in estimated expenditures</t>
  </si>
  <si>
    <t>$210,274 in estimated expenditures</t>
  </si>
  <si>
    <t>$55,688,965 in estimated expenditures</t>
  </si>
  <si>
    <t>$16,049,204 in estimated expenditures</t>
  </si>
  <si>
    <t>$184,797,785 in estimated expenditures</t>
  </si>
  <si>
    <t>$73,017,186 in estimated expenditures</t>
  </si>
  <si>
    <t>$6,013,896 in estimated expenditures</t>
  </si>
  <si>
    <t>$533,529,000 in estimated expenditures</t>
  </si>
  <si>
    <t>$3,364,240 in estimated expentures</t>
  </si>
  <si>
    <t>$208,247,048 in estimated expenditures</t>
  </si>
  <si>
    <t>$375,228,486 in estimated expenditures</t>
  </si>
  <si>
    <t>$665,051 in estimated expenditures</t>
  </si>
  <si>
    <t>$660,516 in estimated expenditures</t>
  </si>
  <si>
    <t>$3,186,221 in estimated expenditures</t>
  </si>
  <si>
    <t>$1,821,311 in estimated expenditures</t>
  </si>
  <si>
    <t>$16,582,468 in estimated expenditures</t>
  </si>
  <si>
    <t>$24,104,496 in estimated expenditures</t>
  </si>
  <si>
    <t>$18,895,656 in estimated expenditures</t>
  </si>
  <si>
    <t>$11,451,316 in estimated expenditures</t>
  </si>
  <si>
    <t>$8,401,245 in estimated expenditures</t>
  </si>
  <si>
    <t>$338,819,702 in estimated expenditures**</t>
  </si>
  <si>
    <t>$114,857,813 in estimated expenditures</t>
  </si>
  <si>
    <t>$3,164,835 in estimated expenditures</t>
  </si>
  <si>
    <t>$58,275 in estimated expenditures</t>
  </si>
  <si>
    <t>$434,347,575 in estimated expenditures</t>
  </si>
  <si>
    <t>$4,524,669 in estimated expenditures</t>
  </si>
  <si>
    <t>$4,991,358 in estimated expenditures</t>
  </si>
  <si>
    <t>$13,186,100 in estimated expenditures</t>
  </si>
  <si>
    <t>$3,114,644 in estimated expenditures</t>
  </si>
  <si>
    <t>$292,365,906 in estimated expenditures</t>
  </si>
  <si>
    <t>3,141,900 approved applications for 4340,580 unique applicants, $74.258B in subsidies paid</t>
  </si>
  <si>
    <t>14,495,990 applications approved for 1,855,960 unique applicants, $14.50B</t>
  </si>
  <si>
    <t>835,500 applications approved for 469,380 unique applicants, $417,750,000</t>
  </si>
  <si>
    <t>3,989,610 applications approved for 369,440 unique applicants, $1.99 billion</t>
  </si>
  <si>
    <t>698,990 applications approved for 157,820 unique applicants, $2.76B</t>
  </si>
  <si>
    <t>864,188 businesses approved for loans, 530,473 businesses approved for expansions, total of $46.36B approved in loans and expansions</t>
  </si>
  <si>
    <t xml:space="preserve">27.56M applications processed for 8.9M unique applicants, $68,022,747,064 in estimated expenditures
$260,279,439 in administration costs </t>
  </si>
  <si>
    <t>8564,188 businesses approved for loans, 530,473 businesses approved for expansions, total of $46.36B approved in loans and expansions</t>
  </si>
  <si>
    <t>4 loans approved for a total approved amount of $1.005B, total of $355.2 million drawn</t>
  </si>
  <si>
    <t>4,398 agreements approved for an estimated 132,620 employees. Total estimated dollar value of $1,514,640,315</t>
  </si>
  <si>
    <t>BILL C-24 (43rd Parliament, 2nd Session) An Act to amend the Employment Insurance Act (additional regular benefits), the Canada Recovery Benefits Act (restriction on eligibility) and another Act in response to COVID-19</t>
  </si>
  <si>
    <r>
      <t xml:space="preserve">Bill C-14 (43rd Parliament, 2nd Session) Economic Statement Implementation Act, 2020 </t>
    </r>
    <r>
      <rPr>
        <sz val="11"/>
        <color theme="1"/>
        <rFont val="Calibri"/>
        <family val="2"/>
      </rPr>
      <t>²</t>
    </r>
  </si>
  <si>
    <t>Bill C-14 (43rd Parliament, 2nd Session) Economic Statement Implementation Act, 2020 ²</t>
  </si>
  <si>
    <r>
      <rPr>
        <sz val="11"/>
        <color theme="1"/>
        <rFont val="Calibri"/>
        <family val="2"/>
      </rPr>
      <t>²</t>
    </r>
    <r>
      <rPr>
        <sz val="7.7"/>
        <color theme="1"/>
        <rFont val="Calibri"/>
        <family val="2"/>
      </rPr>
      <t xml:space="preserve"> </t>
    </r>
    <r>
      <rPr>
        <sz val="11"/>
        <color theme="1"/>
        <rFont val="Calibri"/>
        <family val="2"/>
        <scheme val="minor"/>
      </rPr>
      <t>The Economic Statement Implementation Act, 2020 (Bill C-14) did not receive Royal Assent by March 31, 2021, the date required to authorize payments for certain measures. As a result, expenditures for these measures will be significantly lower in 2020-21, and possibly delayed completely to 2021-22, as they may only be incurred against authorities received through another means (InfoBase).</t>
    </r>
  </si>
  <si>
    <t>² The Economic Statement Implementation Act, 2020 (Bill C-14) did not receive Royal Assent by March 31, 2021, the date required to authorize payments for certain measures. As a result, expenditures for these measures will be significantly lower in 2020-21, and possibly delayed completely to 2021-22, as they may only be incurred against authorities received through another means (InfoBase).</t>
  </si>
  <si>
    <t xml:space="preserve">$24,645,757 received </t>
  </si>
  <si>
    <t>Amounts identified in the Estimates represent up-to spending amounts for the current fiscal year. These amounts are on a cash basis and therefore represent amounts that can enter the economy that year.</t>
  </si>
  <si>
    <t>Canada Student Financial Assistance Act</t>
  </si>
  <si>
    <t>COVID-19 measures announced in Budget 2021 are not yet included in this tracking document.</t>
  </si>
  <si>
    <t>Total of $2.88 billion transferred to all 13 provinces and territories</t>
  </si>
  <si>
    <t>$11.99 million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</si>
</sst>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_-* #,##0.00_-;\-* #,##0.00_-;_-* &quot;-&quot;??_-;_-@_-"/>
    <numFmt numFmtId="165" formatCode="_-* #,##0_-;\-* #,##0_-;_-* &quot;-&quot;??_-;_-@_-"/>
    <numFmt numFmtId="166" formatCode="_(* #,##0_);_(* \(#,##0\);_(* &quot;-&quot;??_);_(@_)"/>
    <numFmt numFmtId="167" formatCode="_-* #,##0.000000000_-;\-* #,##0.000000000_-;_-* &quot;-&quot;??_-;_-@_-"/>
    <numFmt numFmtId="168" formatCode="_-* #,##0.000000_-;\-* #,##0.000000_-;_-* &quot;-&quot;??_-;_-@_-"/>
    <numFmt numFmtId="169" formatCode="_(* #,##0.0_);_(* \(#,##0.0\);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vertAlign val="superscript"/>
      <sz val="11"/>
      <color theme="0"/>
      <name val="Calibri"/>
      <family val="2"/>
      <scheme val="minor"/>
    </font>
    <font>
      <vertAlign val="superscript"/>
      <sz val="11"/>
      <color theme="1"/>
      <name val="Calibri"/>
      <family val="2"/>
      <scheme val="minor"/>
    </font>
    <font>
      <b/>
      <sz val="11"/>
      <name val="Calibri"/>
      <family val="2"/>
      <scheme val="minor"/>
    </font>
    <font>
      <sz val="11"/>
      <color theme="1"/>
      <name val="Calibri"/>
      <family val="2"/>
    </font>
    <font>
      <sz val="7.7"/>
      <color theme="1"/>
      <name val="Calibri"/>
      <family val="2"/>
    </font>
    <font>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
      <patternFill patternType="solid">
        <fgColor theme="4" tint="0.59999389629810485"/>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cellStyleXfs>
  <cellXfs count="468">
    <xf numFmtId="0" fontId="0" fillId="0" borderId="0" xfId="0"/>
    <xf numFmtId="0" fontId="0" fillId="0" borderId="0" xfId="0" applyAlignment="1">
      <alignment wrapText="1"/>
    </xf>
    <xf numFmtId="0" fontId="5" fillId="0" borderId="0" xfId="0" applyFont="1" applyAlignment="1"/>
    <xf numFmtId="0" fontId="4" fillId="2" borderId="1" xfId="0" applyFont="1" applyFill="1" applyBorder="1" applyAlignment="1"/>
    <xf numFmtId="0" fontId="4" fillId="3" borderId="2" xfId="0" applyFont="1" applyFill="1" applyBorder="1" applyAlignment="1"/>
    <xf numFmtId="0" fontId="4" fillId="3" borderId="3" xfId="0" applyFont="1" applyFill="1" applyBorder="1" applyAlignment="1"/>
    <xf numFmtId="0" fontId="0" fillId="0" borderId="5"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6" fillId="0" borderId="7" xfId="2" applyFill="1" applyBorder="1" applyAlignment="1">
      <alignment horizontal="center" vertic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5" fontId="0" fillId="0" borderId="0" xfId="0" applyNumberFormat="1"/>
    <xf numFmtId="0" fontId="0" fillId="0" borderId="17" xfId="0" applyBorder="1"/>
    <xf numFmtId="0" fontId="0" fillId="0" borderId="18" xfId="0" applyBorder="1"/>
    <xf numFmtId="165" fontId="0" fillId="0" borderId="20" xfId="1" applyNumberFormat="1" applyFont="1" applyFill="1" applyBorder="1" applyAlignment="1">
      <alignment horizontal="center" vertical="center"/>
    </xf>
    <xf numFmtId="0" fontId="3" fillId="0" borderId="16"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10" fillId="0" borderId="4" xfId="0" applyFont="1" applyBorder="1" applyAlignment="1">
      <alignment horizontal="left"/>
    </xf>
    <xf numFmtId="0" fontId="0" fillId="0" borderId="0" xfId="0" applyFill="1"/>
    <xf numFmtId="0" fontId="0" fillId="0" borderId="4" xfId="0" applyBorder="1" applyAlignment="1">
      <alignment horizontal="left" vertical="center" indent="3"/>
    </xf>
    <xf numFmtId="1" fontId="0" fillId="0" borderId="0" xfId="0" applyNumberFormat="1"/>
    <xf numFmtId="165" fontId="0" fillId="0" borderId="0" xfId="3" applyNumberFormat="1" applyFont="1"/>
    <xf numFmtId="0" fontId="3" fillId="0" borderId="18" xfId="0" applyFont="1" applyBorder="1"/>
    <xf numFmtId="0" fontId="3" fillId="0" borderId="17" xfId="0" applyFont="1" applyBorder="1"/>
    <xf numFmtId="165" fontId="3" fillId="0" borderId="17" xfId="0" applyNumberFormat="1" applyFont="1" applyBorder="1"/>
    <xf numFmtId="0" fontId="3" fillId="0" borderId="16" xfId="0" applyFont="1" applyBorder="1" applyAlignment="1">
      <alignment wrapText="1"/>
    </xf>
    <xf numFmtId="0" fontId="4" fillId="2" borderId="1" xfId="0" applyFont="1" applyFill="1" applyBorder="1"/>
    <xf numFmtId="0" fontId="5" fillId="0" borderId="0" xfId="0" applyFont="1"/>
    <xf numFmtId="0" fontId="11" fillId="0" borderId="14"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15" fontId="0" fillId="0" borderId="6" xfId="3" applyNumberFormat="1" applyFont="1" applyFill="1" applyBorder="1" applyAlignment="1">
      <alignment horizontal="center" vertical="center"/>
    </xf>
    <xf numFmtId="17" fontId="0" fillId="0" borderId="6" xfId="3" applyNumberFormat="1" applyFont="1" applyFill="1" applyBorder="1" applyAlignment="1">
      <alignment horizontal="center" vertical="center"/>
    </xf>
    <xf numFmtId="0" fontId="0" fillId="0" borderId="13" xfId="0" applyBorder="1" applyAlignment="1">
      <alignment vertical="center"/>
    </xf>
    <xf numFmtId="0" fontId="0" fillId="0" borderId="8" xfId="0" applyBorder="1"/>
    <xf numFmtId="0" fontId="10" fillId="0" borderId="4" xfId="0" applyFont="1" applyBorder="1"/>
    <xf numFmtId="165" fontId="0" fillId="0" borderId="5" xfId="3" applyNumberFormat="1" applyFont="1" applyFill="1" applyBorder="1" applyAlignment="1">
      <alignment horizontal="center" vertical="center" wrapText="1"/>
    </xf>
    <xf numFmtId="0" fontId="0" fillId="0" borderId="7" xfId="0" applyBorder="1"/>
    <xf numFmtId="0" fontId="0" fillId="0" borderId="0" xfId="0" applyFill="1" applyBorder="1" applyAlignment="1"/>
    <xf numFmtId="0" fontId="0" fillId="0" borderId="0" xfId="0"/>
    <xf numFmtId="0" fontId="0" fillId="0" borderId="5" xfId="0" applyBorder="1"/>
    <xf numFmtId="0" fontId="0" fillId="0" borderId="0" xfId="0" applyAlignment="1"/>
    <xf numFmtId="0" fontId="0" fillId="0" borderId="5" xfId="0" applyFill="1" applyBorder="1" applyAlignment="1">
      <alignment horizontal="center" vertical="center"/>
    </xf>
    <xf numFmtId="15" fontId="0" fillId="0" borderId="6" xfId="0" applyNumberForma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7" fillId="0" borderId="4" xfId="0" applyFont="1" applyFill="1" applyBorder="1" applyAlignment="1">
      <alignment horizontal="left" vertical="center" wrapText="1"/>
    </xf>
    <xf numFmtId="0" fontId="3" fillId="0" borderId="16" xfId="0" applyFont="1" applyBorder="1" applyAlignment="1">
      <alignment horizontal="left"/>
    </xf>
    <xf numFmtId="0" fontId="3" fillId="0" borderId="21" xfId="0" applyFont="1" applyBorder="1"/>
    <xf numFmtId="0" fontId="0" fillId="0" borderId="22" xfId="0" applyBorder="1"/>
    <xf numFmtId="165" fontId="3" fillId="0" borderId="22" xfId="0" applyNumberFormat="1" applyFont="1" applyBorder="1"/>
    <xf numFmtId="0" fontId="0" fillId="0" borderId="23" xfId="0" applyBorder="1"/>
    <xf numFmtId="166" fontId="0" fillId="0" borderId="17" xfId="1" applyNumberFormat="1" applyFont="1" applyBorder="1"/>
    <xf numFmtId="165" fontId="3" fillId="0" borderId="17" xfId="3" applyNumberFormat="1" applyFont="1" applyFill="1" applyBorder="1"/>
    <xf numFmtId="0" fontId="0" fillId="0" borderId="5" xfId="0" applyBorder="1" applyAlignment="1">
      <alignment horizontal="center" vertical="center"/>
    </xf>
    <xf numFmtId="0" fontId="0" fillId="0" borderId="5" xfId="0" applyBorder="1" applyAlignment="1">
      <alignment horizontal="left" vertical="center" wrapText="1"/>
    </xf>
    <xf numFmtId="0" fontId="0" fillId="0" borderId="7" xfId="0" applyBorder="1" applyAlignment="1">
      <alignment horizontal="left" vertical="center"/>
    </xf>
    <xf numFmtId="0" fontId="0" fillId="0" borderId="0" xfId="0" applyBorder="1" applyAlignment="1">
      <alignment horizontal="left" vertical="center" wrapText="1"/>
    </xf>
    <xf numFmtId="0" fontId="0" fillId="0" borderId="11" xfId="0" applyBorder="1" applyAlignment="1">
      <alignment horizontal="center" vertical="center"/>
    </xf>
    <xf numFmtId="0" fontId="6" fillId="0" borderId="9" xfId="2" applyBorder="1" applyAlignment="1">
      <alignment horizontal="center" vertical="top"/>
    </xf>
    <xf numFmtId="0" fontId="4" fillId="2" borderId="26" xfId="0" applyFont="1" applyFill="1" applyBorder="1" applyAlignment="1"/>
    <xf numFmtId="0" fontId="3" fillId="0" borderId="30" xfId="0" applyFont="1" applyBorder="1"/>
    <xf numFmtId="0" fontId="11" fillId="0" borderId="28" xfId="0" applyFont="1" applyBorder="1"/>
    <xf numFmtId="0" fontId="10" fillId="0" borderId="25" xfId="0" applyFont="1" applyBorder="1"/>
    <xf numFmtId="0" fontId="10" fillId="0" borderId="25" xfId="0" applyFont="1" applyBorder="1" applyAlignment="1">
      <alignment horizontal="left"/>
    </xf>
    <xf numFmtId="0" fontId="3" fillId="0" borderId="30" xfId="0" applyFont="1" applyBorder="1" applyAlignment="1">
      <alignment wrapText="1"/>
    </xf>
    <xf numFmtId="0" fontId="0" fillId="0" borderId="25" xfId="0" applyFill="1" applyBorder="1" applyAlignment="1">
      <alignment horizontal="center" vertical="center" wrapText="1"/>
    </xf>
    <xf numFmtId="0" fontId="0" fillId="0" borderId="25" xfId="0" applyBorder="1" applyAlignment="1">
      <alignment horizontal="center" vertical="center"/>
    </xf>
    <xf numFmtId="3" fontId="7" fillId="0" borderId="25" xfId="0" applyNumberFormat="1" applyFont="1" applyFill="1" applyBorder="1" applyAlignment="1">
      <alignment horizontal="center" vertical="center" wrapText="1"/>
    </xf>
    <xf numFmtId="0" fontId="0" fillId="0" borderId="27" xfId="0" applyBorder="1" applyAlignment="1">
      <alignment horizontal="center" vertical="center"/>
    </xf>
    <xf numFmtId="3" fontId="0" fillId="0" borderId="25" xfId="0" applyNumberFormat="1" applyBorder="1" applyAlignment="1">
      <alignment horizontal="center" vertical="center"/>
    </xf>
    <xf numFmtId="3" fontId="3" fillId="0" borderId="29" xfId="0" applyNumberFormat="1" applyFont="1" applyBorder="1"/>
    <xf numFmtId="3" fontId="3" fillId="0" borderId="30" xfId="0" applyNumberFormat="1" applyFont="1" applyBorder="1"/>
    <xf numFmtId="0" fontId="0" fillId="0" borderId="0" xfId="0" applyFont="1" applyFill="1" applyBorder="1"/>
    <xf numFmtId="0" fontId="3" fillId="0" borderId="0" xfId="0" applyFont="1" applyBorder="1"/>
    <xf numFmtId="0" fontId="0" fillId="0" borderId="0" xfId="0" applyBorder="1"/>
    <xf numFmtId="165" fontId="3" fillId="0" borderId="0" xfId="0" applyNumberFormat="1" applyFont="1" applyBorder="1"/>
    <xf numFmtId="3" fontId="0" fillId="0" borderId="25" xfId="0" applyNumberFormat="1" applyFill="1" applyBorder="1" applyAlignment="1">
      <alignment horizontal="center" vertical="center" wrapText="1"/>
    </xf>
    <xf numFmtId="0" fontId="0" fillId="0" borderId="7" xfId="0" applyBorder="1" applyAlignment="1">
      <alignment horizontal="center" vertical="center"/>
    </xf>
    <xf numFmtId="167" fontId="0" fillId="0" borderId="0" xfId="0" applyNumberFormat="1"/>
    <xf numFmtId="0" fontId="0" fillId="0" borderId="5" xfId="0" applyFont="1" applyFill="1" applyBorder="1" applyAlignment="1">
      <alignment horizontal="center" vertical="center" wrapText="1"/>
    </xf>
    <xf numFmtId="0" fontId="0" fillId="0" borderId="5" xfId="0" applyFill="1" applyBorder="1"/>
    <xf numFmtId="0" fontId="0" fillId="0" borderId="27" xfId="0" applyFill="1" applyBorder="1" applyAlignment="1">
      <alignment horizontal="center" vertical="center" wrapText="1"/>
    </xf>
    <xf numFmtId="0" fontId="0" fillId="0" borderId="20" xfId="0" applyFill="1" applyBorder="1" applyAlignment="1">
      <alignment horizontal="center" vertical="center"/>
    </xf>
    <xf numFmtId="0" fontId="7" fillId="0" borderId="5" xfId="0" applyFont="1" applyFill="1" applyBorder="1" applyAlignment="1">
      <alignment horizontal="center" vertical="center" wrapText="1"/>
    </xf>
    <xf numFmtId="0" fontId="7" fillId="0" borderId="5" xfId="0" applyFont="1" applyFill="1" applyBorder="1" applyAlignment="1">
      <alignment horizontal="left" vertical="center"/>
    </xf>
    <xf numFmtId="0" fontId="0" fillId="0" borderId="5" xfId="0" applyFill="1" applyBorder="1" applyAlignment="1">
      <alignment wrapText="1"/>
    </xf>
    <xf numFmtId="0" fontId="10" fillId="0" borderId="25" xfId="0" applyFont="1" applyFill="1" applyBorder="1" applyAlignment="1">
      <alignment horizontal="center" vertical="center" wrapText="1"/>
    </xf>
    <xf numFmtId="0" fontId="0" fillId="0" borderId="6" xfId="0" applyFill="1" applyBorder="1"/>
    <xf numFmtId="0" fontId="0" fillId="0" borderId="25" xfId="0" applyFill="1" applyBorder="1" applyAlignment="1">
      <alignment horizontal="center" vertical="center"/>
    </xf>
    <xf numFmtId="0" fontId="0" fillId="0" borderId="25" xfId="0" applyFill="1" applyBorder="1" applyAlignment="1">
      <alignment horizontal="left" vertical="center" wrapText="1"/>
    </xf>
    <xf numFmtId="0" fontId="0" fillId="0" borderId="25" xfId="0" applyFill="1" applyBorder="1" applyAlignment="1">
      <alignment horizontal="left" vertical="center"/>
    </xf>
    <xf numFmtId="6" fontId="0" fillId="0" borderId="5" xfId="0" applyNumberFormat="1" applyFill="1" applyBorder="1" applyAlignment="1">
      <alignment vertical="center"/>
    </xf>
    <xf numFmtId="0" fontId="7" fillId="0" borderId="5" xfId="2" applyFont="1" applyFill="1" applyBorder="1" applyAlignment="1">
      <alignment horizontal="center" vertical="center" wrapText="1"/>
    </xf>
    <xf numFmtId="0" fontId="0" fillId="0" borderId="13" xfId="0" applyFill="1" applyBorder="1" applyAlignment="1">
      <alignment horizontal="left" vertical="center" wrapText="1"/>
    </xf>
    <xf numFmtId="0" fontId="0" fillId="0" borderId="7" xfId="0" applyFill="1" applyBorder="1" applyAlignment="1">
      <alignment horizontal="center" vertical="center" wrapText="1"/>
    </xf>
    <xf numFmtId="0" fontId="0" fillId="0" borderId="4"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0" fontId="0" fillId="0" borderId="6" xfId="0" applyFill="1" applyBorder="1" applyAlignment="1">
      <alignment horizontal="center" vertical="center"/>
    </xf>
    <xf numFmtId="165" fontId="6" fillId="0" borderId="5" xfId="2" applyNumberFormat="1" applyFill="1" applyBorder="1" applyAlignment="1">
      <alignment horizontal="center" vertical="center"/>
    </xf>
    <xf numFmtId="0" fontId="0" fillId="0" borderId="7" xfId="0" applyFill="1" applyBorder="1" applyAlignment="1">
      <alignment horizontal="left" vertical="center"/>
    </xf>
    <xf numFmtId="0" fontId="6" fillId="0" borderId="5" xfId="2" applyFill="1" applyBorder="1" applyAlignment="1">
      <alignment horizontal="center" vertical="center" wrapText="1"/>
    </xf>
    <xf numFmtId="0" fontId="0" fillId="0" borderId="5" xfId="0" applyFill="1" applyBorder="1" applyAlignment="1">
      <alignment horizontal="left" vertical="center" wrapText="1"/>
    </xf>
    <xf numFmtId="0" fontId="6" fillId="0" borderId="7" xfId="2" applyFill="1" applyBorder="1" applyAlignment="1">
      <alignment horizontal="center" vertical="center"/>
    </xf>
    <xf numFmtId="165" fontId="6" fillId="0" borderId="7" xfId="2" applyNumberFormat="1" applyFill="1" applyBorder="1" applyAlignment="1">
      <alignment horizontal="center" vertical="center"/>
    </xf>
    <xf numFmtId="17" fontId="0" fillId="0" borderId="8" xfId="0" applyNumberFormat="1"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Border="1" applyAlignment="1">
      <alignment horizontal="center" vertical="center"/>
    </xf>
    <xf numFmtId="0" fontId="0" fillId="0" borderId="4" xfId="0" applyFill="1" applyBorder="1" applyAlignment="1">
      <alignment horizontal="left" vertical="center"/>
    </xf>
    <xf numFmtId="0" fontId="7" fillId="0" borderId="5" xfId="0" applyFont="1" applyFill="1" applyBorder="1" applyAlignment="1">
      <alignment horizontal="center" vertical="center"/>
    </xf>
    <xf numFmtId="166" fontId="0" fillId="0" borderId="0" xfId="1" applyNumberFormat="1" applyFont="1"/>
    <xf numFmtId="166" fontId="0" fillId="0" borderId="0" xfId="0" applyNumberFormat="1"/>
    <xf numFmtId="168" fontId="0" fillId="0" borderId="0" xfId="0" applyNumberFormat="1"/>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7" xfId="0" applyBorder="1" applyAlignment="1">
      <alignment horizontal="center" vertical="center"/>
    </xf>
    <xf numFmtId="15" fontId="0" fillId="0" borderId="8" xfId="0" applyNumberFormat="1" applyBorder="1" applyAlignment="1">
      <alignment horizontal="center" vertical="center"/>
    </xf>
    <xf numFmtId="0" fontId="6" fillId="0" borderId="5" xfId="2"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xf>
    <xf numFmtId="166" fontId="0" fillId="0" borderId="5" xfId="1" applyNumberFormat="1" applyFont="1" applyFill="1" applyBorder="1" applyAlignment="1">
      <alignment horizontal="right" vertical="center"/>
    </xf>
    <xf numFmtId="166" fontId="0" fillId="0" borderId="5" xfId="1" applyNumberFormat="1" applyFont="1" applyBorder="1" applyAlignment="1">
      <alignment horizontal="right" vertical="center"/>
    </xf>
    <xf numFmtId="166" fontId="0" fillId="0" borderId="11" xfId="1" applyNumberFormat="1" applyFont="1" applyFill="1" applyBorder="1" applyAlignment="1">
      <alignment horizontal="right" vertical="center"/>
    </xf>
    <xf numFmtId="0" fontId="0" fillId="0" borderId="0" xfId="0" applyFill="1" applyBorder="1" applyAlignment="1">
      <alignment horizontal="center" vertical="center"/>
    </xf>
    <xf numFmtId="166" fontId="0" fillId="0" borderId="5" xfId="1" applyNumberFormat="1" applyFont="1" applyBorder="1"/>
    <xf numFmtId="166" fontId="0" fillId="0" borderId="5" xfId="1" applyNumberFormat="1" applyFont="1" applyFill="1" applyBorder="1"/>
    <xf numFmtId="166" fontId="0" fillId="0" borderId="5" xfId="1" applyNumberFormat="1" applyFont="1" applyFill="1" applyBorder="1" applyAlignment="1">
      <alignment vertical="center"/>
    </xf>
    <xf numFmtId="166" fontId="1" fillId="0" borderId="5" xfId="1" applyNumberFormat="1" applyFill="1" applyBorder="1" applyAlignment="1">
      <alignment horizontal="right" vertical="center"/>
    </xf>
    <xf numFmtId="166" fontId="0" fillId="0" borderId="0" xfId="1" applyNumberFormat="1" applyFont="1" applyBorder="1"/>
    <xf numFmtId="166" fontId="0" fillId="0" borderId="7" xfId="1" applyNumberFormat="1" applyFont="1" applyFill="1" applyBorder="1" applyAlignment="1">
      <alignment horizontal="right" vertical="center"/>
    </xf>
    <xf numFmtId="0" fontId="3" fillId="0" borderId="16" xfId="0" applyFont="1" applyBorder="1" applyAlignment="1">
      <alignment horizontal="left" wrapText="1"/>
    </xf>
    <xf numFmtId="165" fontId="3" fillId="0" borderId="17" xfId="3" applyNumberFormat="1" applyFont="1" applyBorder="1" applyAlignment="1">
      <alignment horizontal="right" vertical="center"/>
    </xf>
    <xf numFmtId="165" fontId="3" fillId="0" borderId="17" xfId="3" applyNumberFormat="1" applyFont="1" applyBorder="1" applyAlignment="1">
      <alignment horizontal="center" vertical="center"/>
    </xf>
    <xf numFmtId="165" fontId="3" fillId="0" borderId="18" xfId="3" applyNumberFormat="1" applyFont="1" applyBorder="1" applyAlignment="1">
      <alignment horizontal="center" vertical="center"/>
    </xf>
    <xf numFmtId="166" fontId="0" fillId="0" borderId="7" xfId="1" applyNumberFormat="1" applyFont="1" applyBorder="1" applyAlignment="1">
      <alignment horizontal="right" vertical="center"/>
    </xf>
    <xf numFmtId="0" fontId="0" fillId="0" borderId="7" xfId="0" applyFill="1" applyBorder="1" applyAlignment="1">
      <alignment horizontal="center" vertical="center"/>
    </xf>
    <xf numFmtId="165" fontId="1" fillId="0" borderId="5" xfId="1" applyNumberFormat="1" applyFont="1" applyFill="1" applyBorder="1" applyAlignment="1">
      <alignment horizontal="center" vertical="center"/>
    </xf>
    <xf numFmtId="0" fontId="6" fillId="0" borderId="5" xfId="2" applyFont="1" applyFill="1" applyBorder="1" applyAlignment="1">
      <alignment horizontal="center" vertical="center"/>
    </xf>
    <xf numFmtId="0" fontId="0" fillId="0" borderId="5" xfId="0" applyBorder="1" applyAlignment="1">
      <alignment horizontal="right" vertical="center"/>
    </xf>
    <xf numFmtId="0" fontId="7" fillId="0" borderId="5" xfId="2" applyFont="1" applyFill="1" applyBorder="1" applyAlignment="1">
      <alignment horizontal="center" vertical="center"/>
    </xf>
    <xf numFmtId="169" fontId="0" fillId="0" borderId="5" xfId="1" applyNumberFormat="1" applyFont="1" applyFill="1" applyBorder="1" applyAlignment="1">
      <alignment horizontal="right" vertical="center"/>
    </xf>
    <xf numFmtId="169" fontId="0" fillId="0" borderId="11" xfId="1" applyNumberFormat="1" applyFont="1" applyFill="1" applyBorder="1" applyAlignment="1">
      <alignment horizontal="right" vertical="center"/>
    </xf>
    <xf numFmtId="43" fontId="0" fillId="0" borderId="5" xfId="1" applyNumberFormat="1" applyFont="1" applyFill="1" applyBorder="1" applyAlignment="1">
      <alignment horizontal="right" vertical="center"/>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13" xfId="0" applyBorder="1" applyAlignment="1">
      <alignment horizontal="left" vertical="center"/>
    </xf>
    <xf numFmtId="0" fontId="0" fillId="0" borderId="5" xfId="0" applyFill="1" applyBorder="1" applyAlignment="1">
      <alignment horizontal="center" vertical="center" wrapText="1"/>
    </xf>
    <xf numFmtId="15" fontId="0" fillId="0" borderId="6" xfId="0" applyNumberFormat="1" applyFill="1" applyBorder="1" applyAlignment="1">
      <alignment horizontal="center" vertical="center"/>
    </xf>
    <xf numFmtId="6" fontId="0" fillId="0" borderId="5" xfId="0" applyNumberFormat="1" applyFill="1" applyBorder="1"/>
    <xf numFmtId="0" fontId="7" fillId="0" borderId="5" xfId="2" applyFont="1" applyFill="1" applyBorder="1" applyAlignment="1">
      <alignment horizontal="center" vertical="center"/>
    </xf>
    <xf numFmtId="165" fontId="0" fillId="0" borderId="5" xfId="1" applyNumberFormat="1" applyFont="1"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1" applyNumberFormat="1" applyFont="1" applyFill="1" applyBorder="1" applyAlignment="1">
      <alignment horizontal="center" vertical="center" wrapText="1"/>
    </xf>
    <xf numFmtId="0" fontId="0" fillId="0" borderId="5" xfId="0" applyFill="1" applyBorder="1" applyAlignment="1">
      <alignment horizontal="center" vertical="center" wrapText="1"/>
    </xf>
    <xf numFmtId="165" fontId="0" fillId="0" borderId="7" xfId="1" applyNumberFormat="1" applyFont="1" applyFill="1" applyBorder="1" applyAlignment="1">
      <alignment horizontal="center" vertical="center"/>
    </xf>
    <xf numFmtId="165" fontId="6" fillId="0" borderId="7" xfId="2" applyNumberFormat="1" applyFill="1" applyBorder="1" applyAlignment="1">
      <alignment horizontal="center" vertical="center"/>
    </xf>
    <xf numFmtId="165" fontId="0" fillId="0" borderId="5" xfId="0" applyNumberFormat="1" applyFill="1" applyBorder="1" applyAlignment="1">
      <alignment horizontal="left" vertical="center" wrapText="1"/>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6" fillId="0" borderId="9" xfId="2" applyFill="1" applyBorder="1" applyAlignment="1">
      <alignment horizontal="center" vertical="center"/>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4"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5" fontId="0" fillId="0" borderId="5" xfId="0" applyNumberFormat="1" applyFill="1" applyBorder="1" applyAlignment="1">
      <alignment horizontal="center" vertical="center"/>
    </xf>
    <xf numFmtId="165" fontId="0" fillId="0" borderId="5" xfId="0" applyNumberFormat="1" applyFill="1" applyBorder="1" applyAlignment="1">
      <alignment horizontal="left" vertical="center"/>
    </xf>
    <xf numFmtId="0" fontId="7" fillId="0" borderId="9" xfId="0" applyFont="1" applyFill="1" applyBorder="1" applyAlignment="1">
      <alignment horizontal="center" vertical="center" wrapText="1"/>
    </xf>
    <xf numFmtId="165" fontId="0" fillId="0" borderId="20" xfId="1" applyNumberFormat="1" applyFont="1" applyFill="1" applyBorder="1" applyAlignment="1">
      <alignment horizontal="center" vertical="center" wrapText="1"/>
    </xf>
    <xf numFmtId="165" fontId="0" fillId="0" borderId="7" xfId="0" applyNumberFormat="1" applyFill="1" applyBorder="1" applyAlignment="1">
      <alignment horizontal="center" vertical="center"/>
    </xf>
    <xf numFmtId="15" fontId="0" fillId="0" borderId="10" xfId="0" applyNumberFormat="1" applyFill="1" applyBorder="1" applyAlignment="1">
      <alignment horizontal="center" vertical="center"/>
    </xf>
    <xf numFmtId="17" fontId="0" fillId="0" borderId="6" xfId="0" applyNumberFormat="1" applyFill="1" applyBorder="1" applyAlignment="1">
      <alignment horizontal="center" vertical="center"/>
    </xf>
    <xf numFmtId="0" fontId="0" fillId="0" borderId="5" xfId="0" applyFill="1" applyBorder="1" applyAlignment="1">
      <alignment horizontal="left" vertical="center"/>
    </xf>
    <xf numFmtId="165" fontId="0" fillId="0" borderId="5" xfId="0" applyNumberFormat="1" applyFill="1" applyBorder="1" applyAlignment="1">
      <alignment horizontal="center" vertical="center" wrapText="1"/>
    </xf>
    <xf numFmtId="165" fontId="0" fillId="0" borderId="5" xfId="1" applyNumberFormat="1" applyFont="1" applyFill="1" applyBorder="1" applyAlignment="1">
      <alignment horizontal="left" vertical="center"/>
    </xf>
    <xf numFmtId="15" fontId="0" fillId="0" borderId="6" xfId="1" applyNumberFormat="1" applyFont="1" applyFill="1" applyBorder="1" applyAlignment="1">
      <alignment horizontal="center" vertical="center"/>
    </xf>
    <xf numFmtId="0" fontId="0" fillId="0" borderId="7" xfId="0" applyFill="1" applyBorder="1" applyAlignment="1">
      <alignment vertical="center"/>
    </xf>
    <xf numFmtId="0" fontId="0" fillId="0" borderId="11" xfId="0" applyFill="1" applyBorder="1" applyAlignment="1">
      <alignment vertical="center"/>
    </xf>
    <xf numFmtId="0" fontId="0" fillId="0" borderId="9" xfId="0" applyFill="1" applyBorder="1" applyAlignment="1">
      <alignment vertical="center"/>
    </xf>
    <xf numFmtId="0" fontId="0" fillId="0" borderId="5" xfId="0" applyFill="1" applyBorder="1" applyAlignment="1">
      <alignment vertical="center" wrapText="1"/>
    </xf>
    <xf numFmtId="165" fontId="6" fillId="0" borderId="5" xfId="2" applyNumberFormat="1" applyFill="1" applyBorder="1" applyAlignment="1">
      <alignment horizontal="center" vertical="center" wrapText="1"/>
    </xf>
    <xf numFmtId="165" fontId="0" fillId="0" borderId="5" xfId="1" applyNumberFormat="1" applyFont="1" applyFill="1" applyBorder="1" applyAlignment="1">
      <alignment horizontal="left" vertical="center" wrapText="1"/>
    </xf>
    <xf numFmtId="15" fontId="0" fillId="0" borderId="6" xfId="0" applyNumberFormat="1" applyFill="1" applyBorder="1" applyAlignment="1">
      <alignment vertical="center"/>
    </xf>
    <xf numFmtId="15" fontId="0" fillId="0" borderId="6" xfId="0" applyNumberFormat="1" applyFill="1" applyBorder="1" applyAlignment="1">
      <alignment horizontal="center" vertical="center"/>
    </xf>
    <xf numFmtId="0" fontId="6" fillId="0" borderId="5" xfId="2"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applyAlignment="1">
      <alignment horizontal="left" vertical="center" wrapText="1"/>
    </xf>
    <xf numFmtId="165" fontId="6" fillId="0" borderId="5" xfId="2" applyNumberFormat="1"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165" fontId="0" fillId="0" borderId="5" xfId="1" applyNumberFormat="1" applyFont="1" applyFill="1" applyBorder="1" applyAlignment="1">
      <alignment horizontal="center" vertical="center"/>
    </xf>
    <xf numFmtId="0" fontId="7" fillId="0" borderId="9" xfId="0" applyFont="1" applyFill="1" applyBorder="1" applyAlignment="1">
      <alignment horizontal="center" vertical="center" wrapText="1"/>
    </xf>
    <xf numFmtId="165" fontId="0" fillId="0" borderId="7" xfId="1" applyNumberFormat="1" applyFont="1" applyFill="1" applyBorder="1" applyAlignment="1">
      <alignment horizontal="center" vertical="center"/>
    </xf>
    <xf numFmtId="165" fontId="0" fillId="0" borderId="5" xfId="1" applyNumberFormat="1" applyFont="1" applyFill="1" applyBorder="1" applyAlignment="1">
      <alignment horizontal="center" vertical="center" wrapText="1"/>
    </xf>
    <xf numFmtId="165" fontId="0" fillId="0" borderId="7" xfId="1" applyNumberFormat="1" applyFont="1" applyFill="1" applyBorder="1" applyAlignment="1">
      <alignment horizontal="center" vertical="center"/>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4" fillId="2" borderId="9" xfId="0" applyFont="1" applyFill="1" applyBorder="1" applyAlignment="1"/>
    <xf numFmtId="0" fontId="4" fillId="2" borderId="9" xfId="0" applyFont="1" applyFill="1" applyBorder="1"/>
    <xf numFmtId="166" fontId="0" fillId="0" borderId="5" xfId="1" applyNumberFormat="1" applyFont="1" applyFill="1" applyBorder="1" applyAlignment="1">
      <alignment horizontal="right" vertical="center" indent="3"/>
    </xf>
    <xf numFmtId="169" fontId="0" fillId="0" borderId="5" xfId="1" applyNumberFormat="1" applyFont="1" applyFill="1" applyBorder="1" applyAlignment="1">
      <alignment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6" fillId="0" borderId="5" xfId="2" applyFill="1" applyBorder="1" applyAlignment="1">
      <alignment horizontal="center" vertical="center"/>
    </xf>
    <xf numFmtId="165" fontId="0" fillId="0" borderId="5" xfId="1" applyNumberFormat="1" applyFont="1" applyFill="1" applyBorder="1" applyAlignment="1">
      <alignment horizontal="center" vertical="center"/>
    </xf>
    <xf numFmtId="15" fontId="0" fillId="0" borderId="8" xfId="0" applyNumberFormat="1" applyFill="1" applyBorder="1" applyAlignment="1">
      <alignment horizontal="center" vertical="center"/>
    </xf>
    <xf numFmtId="165" fontId="0" fillId="0" borderId="5" xfId="0" applyNumberFormat="1" applyFill="1" applyBorder="1" applyAlignment="1">
      <alignment horizontal="center" vertical="center"/>
    </xf>
    <xf numFmtId="165" fontId="0" fillId="0" borderId="7" xfId="0" applyNumberFormat="1" applyFill="1" applyBorder="1" applyAlignment="1">
      <alignment horizontal="center" vertical="center"/>
    </xf>
    <xf numFmtId="165" fontId="0" fillId="0" borderId="7" xfId="0" applyNumberFormat="1" applyFill="1" applyBorder="1" applyAlignment="1">
      <alignment horizontal="left" vertical="center"/>
    </xf>
    <xf numFmtId="169" fontId="0" fillId="0" borderId="5" xfId="1" applyNumberFormat="1" applyFont="1" applyFill="1" applyBorder="1"/>
    <xf numFmtId="43" fontId="0" fillId="0" borderId="5" xfId="1" applyNumberFormat="1" applyFont="1" applyFill="1" applyBorder="1"/>
    <xf numFmtId="1" fontId="0" fillId="0" borderId="5" xfId="0" applyNumberFormat="1" applyFill="1" applyBorder="1" applyAlignment="1">
      <alignment horizontal="right" vertical="center"/>
    </xf>
    <xf numFmtId="166" fontId="0" fillId="0" borderId="5" xfId="1" applyNumberFormat="1" applyFont="1" applyFill="1" applyBorder="1" applyAlignment="1">
      <alignment horizontal="right" vertical="center" indent="5"/>
    </xf>
    <xf numFmtId="0" fontId="6" fillId="0" borderId="5" xfId="2" applyFill="1" applyBorder="1" applyAlignment="1">
      <alignment horizontal="center" vertical="center" wrapText="1"/>
    </xf>
    <xf numFmtId="0" fontId="0" fillId="0" borderId="5" xfId="0" applyFill="1" applyBorder="1" applyAlignment="1">
      <alignment horizontal="center" vertical="center" wrapText="1"/>
    </xf>
    <xf numFmtId="0" fontId="6" fillId="0" borderId="5" xfId="2" applyFill="1" applyBorder="1" applyAlignment="1">
      <alignment horizontal="center" vertical="center" wrapText="1"/>
    </xf>
    <xf numFmtId="15" fontId="0" fillId="0" borderId="6" xfId="0" applyNumberFormat="1" applyFill="1" applyBorder="1" applyAlignment="1">
      <alignment horizontal="center" vertical="center"/>
    </xf>
    <xf numFmtId="0" fontId="3" fillId="0" borderId="16" xfId="0" applyFont="1" applyFill="1" applyBorder="1"/>
    <xf numFmtId="0" fontId="3" fillId="0" borderId="29" xfId="0" applyFont="1" applyBorder="1"/>
    <xf numFmtId="0" fontId="10" fillId="0" borderId="4" xfId="0" applyFont="1" applyFill="1" applyBorder="1" applyAlignment="1">
      <alignment horizontal="left" vertical="center" wrapText="1" indent="1"/>
    </xf>
    <xf numFmtId="0" fontId="6" fillId="0" borderId="5" xfId="2" applyFill="1" applyBorder="1" applyAlignment="1">
      <alignment horizontal="center" vertical="center" wrapText="1"/>
    </xf>
    <xf numFmtId="0" fontId="0" fillId="0" borderId="0" xfId="0" applyFill="1" applyAlignment="1">
      <alignment horizontal="left" vertical="center"/>
    </xf>
    <xf numFmtId="0" fontId="0" fillId="0" borderId="5" xfId="0"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0" xfId="0" applyFont="1"/>
    <xf numFmtId="166" fontId="0" fillId="0" borderId="7"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166" fontId="0" fillId="0" borderId="7" xfId="1" applyNumberFormat="1" applyFont="1" applyFill="1" applyBorder="1" applyAlignment="1">
      <alignment horizontal="right" vertical="center"/>
    </xf>
    <xf numFmtId="166" fontId="0" fillId="0" borderId="11" xfId="1" applyNumberFormat="1" applyFont="1" applyFill="1" applyBorder="1" applyAlignment="1">
      <alignment horizontal="right" vertical="center"/>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166" fontId="0" fillId="0" borderId="5" xfId="1" applyNumberFormat="1" applyFont="1" applyFill="1" applyBorder="1" applyAlignment="1">
      <alignment horizontal="center" vertical="center"/>
    </xf>
    <xf numFmtId="0" fontId="7" fillId="0" borderId="5" xfId="0" applyFont="1" applyFill="1" applyBorder="1" applyAlignment="1">
      <alignment horizontal="center" vertical="center" wrapText="1"/>
    </xf>
    <xf numFmtId="15" fontId="0" fillId="0" borderId="8" xfId="0" applyNumberFormat="1" applyFill="1" applyBorder="1" applyAlignment="1">
      <alignment horizontal="center" vertical="center"/>
    </xf>
    <xf numFmtId="0" fontId="0" fillId="0" borderId="13" xfId="0" applyFill="1" applyBorder="1" applyAlignment="1">
      <alignment horizontal="left" vertical="center" wrapText="1"/>
    </xf>
    <xf numFmtId="15" fontId="0" fillId="0" borderId="10" xfId="0" applyNumberFormat="1"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0" fontId="0" fillId="0" borderId="7"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5" fontId="6" fillId="0" borderId="5" xfId="2" applyNumberFormat="1" applyFill="1" applyBorder="1" applyAlignment="1">
      <alignment horizontal="center" vertical="center"/>
    </xf>
    <xf numFmtId="0" fontId="6" fillId="0" borderId="5" xfId="2" applyFill="1" applyBorder="1" applyAlignment="1">
      <alignment horizontal="center" vertical="center" wrapText="1"/>
    </xf>
    <xf numFmtId="0" fontId="6" fillId="0" borderId="7" xfId="2" applyFill="1" applyBorder="1" applyAlignment="1">
      <alignment horizontal="center" vertical="center"/>
    </xf>
    <xf numFmtId="0" fontId="0" fillId="0" borderId="7" xfId="0" applyFill="1" applyBorder="1" applyAlignment="1">
      <alignment horizontal="left" vertical="center"/>
    </xf>
    <xf numFmtId="0" fontId="0" fillId="0" borderId="9" xfId="0" applyFill="1" applyBorder="1" applyAlignment="1">
      <alignment horizontal="left" vertical="center"/>
    </xf>
    <xf numFmtId="0" fontId="0" fillId="0" borderId="5" xfId="0" applyFill="1" applyBorder="1" applyAlignment="1">
      <alignment horizontal="left" vertical="center"/>
    </xf>
    <xf numFmtId="0" fontId="0" fillId="0" borderId="4" xfId="0" applyFill="1" applyBorder="1" applyAlignment="1">
      <alignment horizontal="left" vertical="center" wrapText="1"/>
    </xf>
    <xf numFmtId="15" fontId="0" fillId="0" borderId="6" xfId="0" applyNumberFormat="1" applyFill="1" applyBorder="1" applyAlignment="1">
      <alignment horizontal="center" vertical="center" wrapText="1"/>
    </xf>
    <xf numFmtId="6" fontId="0" fillId="0" borderId="5" xfId="0" applyNumberFormat="1" applyFill="1" applyBorder="1" applyAlignment="1">
      <alignment horizontal="left" vertical="center"/>
    </xf>
    <xf numFmtId="0" fontId="7" fillId="0" borderId="9" xfId="2" applyFont="1" applyFill="1" applyBorder="1" applyAlignment="1">
      <alignment horizontal="center" vertical="center"/>
    </xf>
    <xf numFmtId="169" fontId="0" fillId="0" borderId="9" xfId="1" applyNumberFormat="1" applyFont="1" applyFill="1" applyBorder="1" applyAlignment="1">
      <alignment horizontal="center" vertical="center"/>
    </xf>
    <xf numFmtId="17" fontId="0" fillId="0" borderId="8" xfId="0" applyNumberForma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6" fillId="0" borderId="5" xfId="2" applyFill="1" applyBorder="1" applyAlignment="1">
      <alignment vertical="center" wrapText="1"/>
    </xf>
    <xf numFmtId="0" fontId="0" fillId="0" borderId="5" xfId="0" applyFill="1" applyBorder="1" applyAlignment="1">
      <alignment vertical="center"/>
    </xf>
    <xf numFmtId="0" fontId="6" fillId="0" borderId="5" xfId="2" applyFill="1" applyBorder="1" applyAlignment="1">
      <alignment vertical="center"/>
    </xf>
    <xf numFmtId="0" fontId="4" fillId="2" borderId="2" xfId="0" applyFont="1" applyFill="1" applyBorder="1" applyAlignment="1"/>
    <xf numFmtId="0" fontId="17" fillId="0" borderId="0" xfId="0" applyFont="1"/>
    <xf numFmtId="166" fontId="0" fillId="0" borderId="7" xfId="1" applyNumberFormat="1" applyFont="1" applyFill="1" applyBorder="1" applyAlignment="1">
      <alignment horizontal="center" vertical="center"/>
    </xf>
    <xf numFmtId="166" fontId="0" fillId="0" borderId="11" xfId="1" applyNumberFormat="1" applyFont="1" applyFill="1" applyBorder="1" applyAlignment="1">
      <alignment horizontal="center" vertical="center"/>
    </xf>
    <xf numFmtId="166" fontId="0" fillId="0" borderId="9" xfId="1" applyNumberFormat="1" applyFont="1" applyFill="1" applyBorder="1" applyAlignment="1">
      <alignment horizontal="center" vertical="center"/>
    </xf>
    <xf numFmtId="166" fontId="0" fillId="0" borderId="31" xfId="1" applyNumberFormat="1" applyFont="1" applyFill="1" applyBorder="1" applyAlignment="1">
      <alignment horizontal="center" vertical="center"/>
    </xf>
    <xf numFmtId="165" fontId="0" fillId="0" borderId="7" xfId="1" applyNumberFormat="1" applyFont="1" applyFill="1" applyBorder="1" applyAlignment="1">
      <alignment horizontal="center" vertical="center"/>
    </xf>
    <xf numFmtId="165" fontId="0" fillId="0" borderId="11" xfId="1" applyNumberFormat="1" applyFont="1" applyFill="1" applyBorder="1" applyAlignment="1">
      <alignment horizontal="center" vertical="center"/>
    </xf>
    <xf numFmtId="165" fontId="0" fillId="0" borderId="9"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9" xfId="0" applyFill="1" applyBorder="1" applyAlignment="1">
      <alignment horizontal="center" vertical="center"/>
    </xf>
    <xf numFmtId="166" fontId="0" fillId="0" borderId="7" xfId="1" applyNumberFormat="1" applyFont="1" applyFill="1" applyBorder="1" applyAlignment="1">
      <alignment horizontal="right" vertical="center"/>
    </xf>
    <xf numFmtId="166" fontId="0" fillId="0" borderId="11" xfId="1" applyNumberFormat="1" applyFont="1" applyFill="1" applyBorder="1" applyAlignment="1">
      <alignment horizontal="right" vertical="center"/>
    </xf>
    <xf numFmtId="166" fontId="0" fillId="0" borderId="9" xfId="1" applyNumberFormat="1" applyFont="1" applyFill="1" applyBorder="1" applyAlignment="1">
      <alignment horizontal="right" vertical="center"/>
    </xf>
    <xf numFmtId="0" fontId="0" fillId="0" borderId="7"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166" fontId="0" fillId="0" borderId="5" xfId="1" applyNumberFormat="1" applyFont="1" applyFill="1" applyBorder="1" applyAlignment="1">
      <alignment horizontal="center" vertical="center"/>
    </xf>
    <xf numFmtId="0" fontId="7" fillId="0" borderId="5" xfId="0" applyFont="1" applyFill="1" applyBorder="1" applyAlignment="1">
      <alignment horizontal="center" vertical="center" wrapText="1"/>
    </xf>
    <xf numFmtId="0" fontId="14" fillId="5" borderId="5" xfId="0" applyFont="1" applyFill="1" applyBorder="1" applyAlignment="1">
      <alignment horizontal="center"/>
    </xf>
    <xf numFmtId="15" fontId="0" fillId="0" borderId="8" xfId="0" applyNumberFormat="1"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3" xfId="0" applyFill="1" applyBorder="1" applyAlignment="1">
      <alignment horizontal="left" vertical="center" wrapText="1"/>
    </xf>
    <xf numFmtId="0" fontId="0" fillId="0" borderId="15" xfId="0" applyFill="1" applyBorder="1" applyAlignment="1">
      <alignment horizontal="left" vertical="center" wrapText="1"/>
    </xf>
    <xf numFmtId="0" fontId="0" fillId="0" borderId="14" xfId="0" applyFill="1" applyBorder="1" applyAlignment="1">
      <alignment horizontal="left" vertical="center" wrapText="1"/>
    </xf>
    <xf numFmtId="3" fontId="0" fillId="0" borderId="7" xfId="0" applyNumberFormat="1" applyFill="1" applyBorder="1" applyAlignment="1">
      <alignment horizontal="center" vertical="center" wrapText="1"/>
    </xf>
    <xf numFmtId="3" fontId="0" fillId="0" borderId="11"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165" fontId="7" fillId="0" borderId="7" xfId="1" applyNumberFormat="1" applyFont="1" applyFill="1" applyBorder="1" applyAlignment="1">
      <alignment horizontal="center" vertical="center" wrapText="1"/>
    </xf>
    <xf numFmtId="165" fontId="7" fillId="0" borderId="9" xfId="1" applyNumberFormat="1" applyFont="1" applyFill="1" applyBorder="1" applyAlignment="1">
      <alignment horizontal="center" vertical="center" wrapText="1"/>
    </xf>
    <xf numFmtId="165" fontId="7" fillId="0" borderId="7" xfId="2" applyNumberFormat="1" applyFont="1" applyFill="1" applyBorder="1" applyAlignment="1">
      <alignment horizontal="center" vertical="center" wrapText="1"/>
    </xf>
    <xf numFmtId="165" fontId="7" fillId="0" borderId="9" xfId="2" applyNumberFormat="1" applyFont="1" applyFill="1" applyBorder="1" applyAlignment="1">
      <alignment horizontal="center" vertical="center" wrapText="1"/>
    </xf>
    <xf numFmtId="165" fontId="6" fillId="0" borderId="5" xfId="2" applyNumberFormat="1" applyFill="1" applyBorder="1" applyAlignment="1">
      <alignment horizontal="center" vertical="center" wrapText="1"/>
    </xf>
    <xf numFmtId="165" fontId="0" fillId="0" borderId="7" xfId="1" applyNumberFormat="1" applyFont="1" applyFill="1" applyBorder="1" applyAlignment="1">
      <alignment horizontal="left" vertical="center"/>
    </xf>
    <xf numFmtId="165" fontId="0" fillId="0" borderId="9" xfId="1" applyNumberFormat="1" applyFont="1" applyFill="1" applyBorder="1" applyAlignment="1">
      <alignment horizontal="left" vertical="center"/>
    </xf>
    <xf numFmtId="15" fontId="0" fillId="0" borderId="8" xfId="1" applyNumberFormat="1" applyFont="1" applyFill="1" applyBorder="1" applyAlignment="1">
      <alignment horizontal="center" vertical="center"/>
    </xf>
    <xf numFmtId="15" fontId="0" fillId="0" borderId="12" xfId="1" applyNumberFormat="1" applyFont="1" applyFill="1" applyBorder="1" applyAlignment="1">
      <alignment horizontal="center" vertical="center"/>
    </xf>
    <xf numFmtId="15" fontId="0" fillId="0" borderId="10" xfId="1" applyNumberFormat="1" applyFont="1" applyFill="1" applyBorder="1" applyAlignment="1">
      <alignment horizontal="center" vertical="center"/>
    </xf>
    <xf numFmtId="15" fontId="0" fillId="0" borderId="12" xfId="0" applyNumberFormat="1" applyFill="1" applyBorder="1" applyAlignment="1">
      <alignment horizontal="center" vertical="center"/>
    </xf>
    <xf numFmtId="15" fontId="0" fillId="0" borderId="10" xfId="0" applyNumberFormat="1"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6" fillId="0" borderId="7" xfId="2" applyFill="1" applyBorder="1" applyAlignment="1">
      <alignment horizontal="center" vertical="center" wrapText="1"/>
    </xf>
    <xf numFmtId="0" fontId="6" fillId="0" borderId="11" xfId="2" applyFill="1" applyBorder="1" applyAlignment="1">
      <alignment horizontal="center" vertical="center" wrapText="1"/>
    </xf>
    <xf numFmtId="0" fontId="6" fillId="0" borderId="9" xfId="2" applyFill="1" applyBorder="1" applyAlignment="1">
      <alignment horizontal="center"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1" applyNumberFormat="1" applyFont="1" applyFill="1" applyBorder="1" applyAlignment="1">
      <alignment horizontal="left" vertical="center"/>
    </xf>
    <xf numFmtId="0" fontId="6" fillId="0" borderId="5" xfId="2" applyFill="1" applyBorder="1" applyAlignment="1">
      <alignment horizontal="center" vertical="center" wrapText="1"/>
    </xf>
    <xf numFmtId="0" fontId="6" fillId="0" borderId="7" xfId="2" applyFill="1" applyBorder="1" applyAlignment="1">
      <alignment horizontal="center" vertical="center"/>
    </xf>
    <xf numFmtId="0" fontId="6" fillId="0" borderId="11" xfId="2" applyFill="1" applyBorder="1" applyAlignment="1">
      <alignment horizontal="center" vertical="center"/>
    </xf>
    <xf numFmtId="0" fontId="6" fillId="0" borderId="9" xfId="2" applyFill="1" applyBorder="1" applyAlignment="1">
      <alignment horizontal="center" vertical="center"/>
    </xf>
    <xf numFmtId="165" fontId="0" fillId="0" borderId="5" xfId="0" applyNumberFormat="1" applyFill="1" applyBorder="1" applyAlignment="1">
      <alignment horizontal="center" vertical="center" wrapText="1"/>
    </xf>
    <xf numFmtId="0" fontId="0" fillId="0" borderId="7" xfId="0" applyFill="1" applyBorder="1" applyAlignment="1">
      <alignment horizontal="left"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165" fontId="0" fillId="0" borderId="5" xfId="1" applyNumberFormat="1" applyFont="1" applyFill="1" applyBorder="1" applyAlignment="1">
      <alignment horizontal="center" vertical="center"/>
    </xf>
    <xf numFmtId="15" fontId="0" fillId="0" borderId="6" xfId="1" applyNumberFormat="1" applyFont="1" applyFill="1" applyBorder="1" applyAlignment="1">
      <alignment horizontal="center" vertical="center"/>
    </xf>
    <xf numFmtId="165" fontId="0" fillId="0" borderId="5" xfId="0" applyNumberForma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165" fontId="6" fillId="0" borderId="7" xfId="2" applyNumberFormat="1" applyFill="1" applyBorder="1" applyAlignment="1">
      <alignment horizontal="center" vertical="center" wrapText="1"/>
    </xf>
    <xf numFmtId="165" fontId="6" fillId="0" borderId="11" xfId="2" applyNumberFormat="1" applyFill="1" applyBorder="1" applyAlignment="1">
      <alignment horizontal="center" vertical="center" wrapText="1"/>
    </xf>
    <xf numFmtId="165" fontId="6" fillId="0" borderId="9" xfId="2" applyNumberFormat="1" applyFill="1" applyBorder="1" applyAlignment="1">
      <alignment horizontal="center" vertical="center" wrapText="1"/>
    </xf>
    <xf numFmtId="165" fontId="0" fillId="0" borderId="7" xfId="0" applyNumberFormat="1" applyFill="1" applyBorder="1" applyAlignment="1">
      <alignment horizontal="left" vertical="center"/>
    </xf>
    <xf numFmtId="165" fontId="0" fillId="0" borderId="11" xfId="0" applyNumberFormat="1" applyFill="1" applyBorder="1" applyAlignment="1">
      <alignment horizontal="left" vertical="center"/>
    </xf>
    <xf numFmtId="165" fontId="0" fillId="0" borderId="9" xfId="0" applyNumberFormat="1" applyFill="1" applyBorder="1" applyAlignment="1">
      <alignment horizontal="left" vertical="center"/>
    </xf>
    <xf numFmtId="165" fontId="0" fillId="0" borderId="7" xfId="1" applyNumberFormat="1" applyFont="1" applyFill="1" applyBorder="1" applyAlignment="1">
      <alignment horizontal="left" vertical="center" wrapText="1"/>
    </xf>
    <xf numFmtId="165" fontId="0" fillId="0" borderId="11" xfId="1" applyNumberFormat="1" applyFont="1" applyFill="1" applyBorder="1" applyAlignment="1">
      <alignment horizontal="left" vertical="center" wrapText="1"/>
    </xf>
    <xf numFmtId="165" fontId="0" fillId="0" borderId="9" xfId="1" applyNumberFormat="1" applyFont="1" applyFill="1" applyBorder="1" applyAlignment="1">
      <alignment horizontal="left" vertical="center" wrapText="1"/>
    </xf>
    <xf numFmtId="0" fontId="0" fillId="0" borderId="8" xfId="0" applyFill="1" applyBorder="1" applyAlignment="1">
      <alignment horizontal="center" vertical="center"/>
    </xf>
    <xf numFmtId="165" fontId="0" fillId="0" borderId="7" xfId="0" applyNumberFormat="1" applyFill="1" applyBorder="1" applyAlignment="1">
      <alignment horizontal="left" vertical="center" wrapText="1"/>
    </xf>
    <xf numFmtId="165" fontId="0" fillId="0" borderId="9" xfId="0" applyNumberFormat="1" applyFill="1" applyBorder="1" applyAlignment="1">
      <alignment horizontal="left" vertical="center" wrapText="1"/>
    </xf>
    <xf numFmtId="0" fontId="0" fillId="0" borderId="5" xfId="0" applyFill="1" applyBorder="1" applyAlignment="1">
      <alignment horizontal="left" vertical="center"/>
    </xf>
    <xf numFmtId="165" fontId="6" fillId="0" borderId="7" xfId="2" applyNumberFormat="1" applyFill="1" applyBorder="1" applyAlignment="1">
      <alignment horizontal="center" vertical="center"/>
    </xf>
    <xf numFmtId="165" fontId="6" fillId="0" borderId="11" xfId="2" applyNumberFormat="1" applyFill="1" applyBorder="1" applyAlignment="1">
      <alignment horizontal="center" vertical="center"/>
    </xf>
    <xf numFmtId="165" fontId="6" fillId="0" borderId="9" xfId="2" applyNumberFormat="1" applyFill="1" applyBorder="1" applyAlignment="1">
      <alignment horizontal="center" vertical="center"/>
    </xf>
    <xf numFmtId="0" fontId="0" fillId="0" borderId="4" xfId="0" applyFill="1" applyBorder="1" applyAlignment="1">
      <alignment horizontal="left" vertical="center" wrapText="1"/>
    </xf>
    <xf numFmtId="0" fontId="0" fillId="0" borderId="31" xfId="0" applyFill="1" applyBorder="1" applyAlignment="1">
      <alignment horizontal="center" vertical="center" wrapText="1"/>
    </xf>
    <xf numFmtId="165" fontId="0" fillId="0" borderId="5" xfId="1" applyNumberFormat="1" applyFont="1" applyFill="1" applyBorder="1" applyAlignment="1">
      <alignment horizontal="left" vertical="center" wrapText="1"/>
    </xf>
    <xf numFmtId="165" fontId="0" fillId="0" borderId="20" xfId="1" applyNumberFormat="1" applyFont="1" applyFill="1" applyBorder="1" applyAlignment="1">
      <alignment horizontal="left" vertical="center" wrapText="1"/>
    </xf>
    <xf numFmtId="1" fontId="0" fillId="0" borderId="5" xfId="0" applyNumberFormat="1" applyFill="1" applyBorder="1" applyAlignment="1">
      <alignment horizontal="right" vertical="center"/>
    </xf>
    <xf numFmtId="0" fontId="0" fillId="0" borderId="13"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4" xfId="0" applyFill="1" applyBorder="1" applyAlignment="1">
      <alignment horizontal="center" vertical="center" wrapText="1"/>
    </xf>
    <xf numFmtId="15" fontId="0" fillId="0" borderId="32" xfId="0" applyNumberFormat="1" applyFill="1" applyBorder="1" applyAlignment="1">
      <alignment horizontal="center" vertical="center"/>
    </xf>
    <xf numFmtId="0" fontId="0" fillId="0" borderId="19" xfId="0" applyFill="1" applyBorder="1" applyAlignment="1">
      <alignment horizontal="left" vertical="center" wrapText="1"/>
    </xf>
    <xf numFmtId="165" fontId="0" fillId="0" borderId="5" xfId="1" applyNumberFormat="1" applyFont="1" applyFill="1" applyBorder="1" applyAlignment="1">
      <alignment horizontal="center" vertical="center" wrapText="1"/>
    </xf>
    <xf numFmtId="165" fontId="0" fillId="0" borderId="20" xfId="1" applyNumberFormat="1" applyFont="1" applyFill="1" applyBorder="1" applyAlignment="1">
      <alignment horizontal="center" vertical="center" wrapText="1"/>
    </xf>
    <xf numFmtId="165" fontId="6" fillId="0" borderId="20" xfId="2" applyNumberFormat="1" applyFill="1" applyBorder="1" applyAlignment="1">
      <alignment horizontal="center" vertical="center"/>
    </xf>
    <xf numFmtId="165" fontId="0" fillId="0" borderId="5" xfId="0" applyNumberFormat="1" applyFill="1" applyBorder="1" applyAlignment="1">
      <alignment horizontal="left" vertical="center"/>
    </xf>
    <xf numFmtId="165" fontId="0" fillId="0" borderId="5" xfId="0" applyNumberFormat="1" applyFill="1" applyBorder="1" applyAlignment="1">
      <alignment horizontal="center" vertical="center"/>
    </xf>
    <xf numFmtId="165" fontId="0" fillId="0" borderId="7" xfId="0" applyNumberFormat="1" applyFill="1" applyBorder="1" applyAlignment="1">
      <alignment horizontal="center" vertical="center"/>
    </xf>
    <xf numFmtId="165" fontId="0" fillId="0" borderId="9" xfId="0" applyNumberFormat="1" applyFill="1" applyBorder="1" applyAlignment="1">
      <alignment horizontal="center" vertical="center"/>
    </xf>
    <xf numFmtId="0" fontId="0" fillId="0" borderId="6" xfId="1" applyNumberFormat="1" applyFont="1" applyFill="1" applyBorder="1" applyAlignment="1">
      <alignment horizontal="center" vertical="center"/>
    </xf>
    <xf numFmtId="165" fontId="0" fillId="0" borderId="11" xfId="0" applyNumberFormat="1" applyFill="1" applyBorder="1" applyAlignment="1">
      <alignment horizontal="left" vertical="center" wrapText="1"/>
    </xf>
    <xf numFmtId="165" fontId="0" fillId="0" borderId="11" xfId="1" applyNumberFormat="1" applyFont="1" applyFill="1" applyBorder="1" applyAlignment="1">
      <alignment horizontal="left" vertical="center"/>
    </xf>
    <xf numFmtId="0" fontId="7" fillId="0" borderId="7" xfId="2" applyFont="1" applyFill="1" applyBorder="1" applyAlignment="1">
      <alignment horizontal="center" vertical="center" wrapText="1"/>
    </xf>
    <xf numFmtId="0" fontId="7" fillId="0" borderId="9" xfId="2" applyFont="1" applyFill="1" applyBorder="1" applyAlignment="1">
      <alignment horizontal="center" vertical="center" wrapText="1"/>
    </xf>
    <xf numFmtId="166" fontId="1" fillId="0" borderId="7" xfId="1" applyNumberFormat="1" applyFill="1" applyBorder="1" applyAlignment="1">
      <alignment horizontal="center" vertical="center"/>
    </xf>
    <xf numFmtId="166" fontId="1" fillId="0" borderId="9" xfId="1" applyNumberFormat="1" applyFill="1" applyBorder="1" applyAlignment="1">
      <alignment horizontal="center" vertical="center"/>
    </xf>
    <xf numFmtId="43" fontId="0" fillId="0" borderId="7" xfId="1" applyNumberFormat="1" applyFont="1" applyFill="1" applyBorder="1" applyAlignment="1">
      <alignment horizontal="center" vertical="center"/>
    </xf>
    <xf numFmtId="43" fontId="0" fillId="0" borderId="9" xfId="1" applyNumberFormat="1" applyFont="1" applyFill="1" applyBorder="1" applyAlignment="1">
      <alignment horizontal="center" vertical="center"/>
    </xf>
    <xf numFmtId="166" fontId="0" fillId="0" borderId="7" xfId="1" applyNumberFormat="1" applyFont="1" applyFill="1" applyBorder="1" applyAlignment="1">
      <alignment horizontal="center" vertical="center" wrapText="1"/>
    </xf>
    <xf numFmtId="166" fontId="0" fillId="0" borderId="11" xfId="1" applyNumberFormat="1" applyFont="1" applyFill="1" applyBorder="1" applyAlignment="1">
      <alignment horizontal="center" vertical="center" wrapText="1"/>
    </xf>
    <xf numFmtId="166" fontId="0" fillId="0" borderId="9" xfId="1" applyNumberFormat="1" applyFont="1" applyFill="1" applyBorder="1" applyAlignment="1">
      <alignment horizontal="center" vertical="center" wrapText="1"/>
    </xf>
    <xf numFmtId="15" fontId="0" fillId="0" borderId="6" xfId="0" applyNumberFormat="1" applyFill="1" applyBorder="1" applyAlignment="1">
      <alignment horizontal="center" vertical="center" wrapText="1"/>
    </xf>
    <xf numFmtId="0" fontId="0" fillId="0" borderId="6" xfId="0" applyFill="1" applyBorder="1" applyAlignment="1">
      <alignment horizontal="center" vertical="center" wrapText="1"/>
    </xf>
    <xf numFmtId="15" fontId="0" fillId="0" borderId="8" xfId="0" applyNumberFormat="1" applyFill="1" applyBorder="1" applyAlignment="1">
      <alignment horizontal="center" vertical="center" wrapText="1"/>
    </xf>
    <xf numFmtId="0" fontId="0" fillId="0" borderId="10" xfId="0" applyFill="1" applyBorder="1" applyAlignment="1">
      <alignment horizontal="center" vertical="center" wrapText="1"/>
    </xf>
    <xf numFmtId="6" fontId="0" fillId="0" borderId="5" xfId="0" applyNumberFormat="1" applyFill="1" applyBorder="1" applyAlignment="1">
      <alignment horizontal="left" vertical="center"/>
    </xf>
    <xf numFmtId="165" fontId="0" fillId="0" borderId="13" xfId="1" applyNumberFormat="1" applyFont="1" applyFill="1" applyBorder="1" applyAlignment="1">
      <alignment horizontal="left" vertical="center" wrapText="1"/>
    </xf>
    <xf numFmtId="165" fontId="0" fillId="0" borderId="15" xfId="1" applyNumberFormat="1" applyFont="1" applyFill="1" applyBorder="1" applyAlignment="1">
      <alignment horizontal="left" vertical="center" wrapText="1"/>
    </xf>
    <xf numFmtId="165" fontId="0" fillId="0" borderId="14" xfId="1" applyNumberFormat="1" applyFont="1" applyFill="1" applyBorder="1" applyAlignment="1">
      <alignment horizontal="left"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15" fontId="7" fillId="0" borderId="8" xfId="2" applyNumberFormat="1" applyFont="1" applyFill="1" applyBorder="1" applyAlignment="1">
      <alignment horizontal="center" vertical="center"/>
    </xf>
    <xf numFmtId="15" fontId="7" fillId="0" borderId="12"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0" fontId="7" fillId="0" borderId="7" xfId="2" applyFont="1" applyFill="1" applyBorder="1" applyAlignment="1">
      <alignment horizontal="left" vertical="center" wrapText="1"/>
    </xf>
    <xf numFmtId="0" fontId="7" fillId="0" borderId="11" xfId="2" applyFont="1" applyFill="1" applyBorder="1" applyAlignment="1">
      <alignment horizontal="left" vertical="center" wrapText="1"/>
    </xf>
    <xf numFmtId="0" fontId="7" fillId="0" borderId="9" xfId="2" applyFont="1" applyFill="1" applyBorder="1" applyAlignment="1">
      <alignment horizontal="left" vertical="center" wrapText="1"/>
    </xf>
    <xf numFmtId="0" fontId="0" fillId="0" borderId="12" xfId="0" applyFill="1" applyBorder="1" applyAlignment="1">
      <alignment horizontal="center" vertical="center" wrapText="1"/>
    </xf>
    <xf numFmtId="0" fontId="7" fillId="0" borderId="7" xfId="2" applyFont="1" applyFill="1" applyBorder="1" applyAlignment="1">
      <alignment horizontal="center" vertical="center"/>
    </xf>
    <xf numFmtId="0" fontId="7" fillId="0" borderId="9" xfId="2"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18" xfId="0" applyFont="1" applyFill="1" applyBorder="1" applyAlignment="1">
      <alignment horizontal="center"/>
    </xf>
    <xf numFmtId="166" fontId="0" fillId="0" borderId="7" xfId="1" applyNumberFormat="1" applyFont="1" applyFill="1" applyBorder="1" applyAlignment="1">
      <alignment horizontal="center"/>
    </xf>
    <xf numFmtId="166" fontId="0" fillId="0" borderId="9" xfId="1" applyNumberFormat="1" applyFont="1" applyFill="1" applyBorder="1" applyAlignment="1">
      <alignment horizontal="center"/>
    </xf>
    <xf numFmtId="15" fontId="0" fillId="0" borderId="12"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169" fontId="0" fillId="0" borderId="7" xfId="1" applyNumberFormat="1" applyFont="1" applyFill="1" applyBorder="1" applyAlignment="1">
      <alignment horizontal="center" vertical="center"/>
    </xf>
    <xf numFmtId="169" fontId="0" fillId="0" borderId="9" xfId="1" applyNumberFormat="1" applyFont="1" applyFill="1" applyBorder="1" applyAlignment="1">
      <alignment horizontal="center" vertical="center"/>
    </xf>
    <xf numFmtId="169" fontId="0" fillId="0" borderId="7" xfId="1" applyNumberFormat="1" applyFont="1" applyFill="1" applyBorder="1" applyAlignment="1">
      <alignment horizontal="right" vertical="center"/>
    </xf>
    <xf numFmtId="169" fontId="0" fillId="0" borderId="9" xfId="1" applyNumberFormat="1" applyFont="1" applyFill="1" applyBorder="1" applyAlignment="1">
      <alignment horizontal="right" vertical="center"/>
    </xf>
    <xf numFmtId="0" fontId="0" fillId="0" borderId="5" xfId="0" applyFill="1" applyBorder="1" applyAlignment="1">
      <alignment vertical="center"/>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left" vertical="center" indent="3"/>
    </xf>
    <xf numFmtId="0" fontId="0" fillId="0" borderId="14" xfId="0" applyBorder="1" applyAlignment="1">
      <alignment horizontal="left" vertical="center" indent="3"/>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5" xfId="2" applyBorder="1" applyAlignment="1">
      <alignment horizontal="center" vertical="center"/>
    </xf>
    <xf numFmtId="0" fontId="6" fillId="0" borderId="24" xfId="2" applyBorder="1" applyAlignment="1">
      <alignment horizontal="center" vertical="center"/>
    </xf>
    <xf numFmtId="3" fontId="0" fillId="0" borderId="5" xfId="0" applyNumberFormat="1" applyBorder="1" applyAlignment="1">
      <alignment horizontal="left" vertical="center" wrapText="1"/>
    </xf>
    <xf numFmtId="3" fontId="0" fillId="0" borderId="25" xfId="0" applyNumberFormat="1" applyBorder="1" applyAlignment="1">
      <alignment horizontal="left" vertical="center" wrapText="1"/>
    </xf>
    <xf numFmtId="0" fontId="0" fillId="0" borderId="13" xfId="0" applyBorder="1" applyAlignment="1">
      <alignment horizontal="left" vertical="center"/>
    </xf>
    <xf numFmtId="0" fontId="0" fillId="0" borderId="14" xfId="0" applyBorder="1" applyAlignment="1">
      <alignment horizontal="left" vertical="center"/>
    </xf>
    <xf numFmtId="0" fontId="7" fillId="0" borderId="5" xfId="0" applyFont="1" applyFill="1" applyBorder="1" applyAlignment="1">
      <alignment horizontal="center" vertical="center"/>
    </xf>
    <xf numFmtId="17" fontId="0" fillId="0" borderId="8" xfId="0" applyNumberFormat="1" applyFill="1" applyBorder="1" applyAlignment="1">
      <alignment horizontal="center" vertical="center"/>
    </xf>
    <xf numFmtId="17" fontId="0" fillId="0" borderId="10" xfId="0" applyNumberFormat="1" applyFill="1" applyBorder="1" applyAlignment="1">
      <alignment horizontal="center" vertical="center"/>
    </xf>
    <xf numFmtId="165" fontId="6" fillId="0" borderId="8" xfId="2" applyNumberFormat="1" applyFill="1" applyBorder="1" applyAlignment="1">
      <alignment horizontal="center" vertical="center"/>
    </xf>
    <xf numFmtId="165" fontId="6" fillId="0" borderId="10" xfId="2" applyNumberFormat="1" applyFill="1" applyBorder="1" applyAlignment="1">
      <alignment horizontal="center" vertical="center"/>
    </xf>
    <xf numFmtId="0" fontId="7" fillId="0" borderId="6" xfId="0" applyFont="1" applyFill="1" applyBorder="1" applyAlignment="1">
      <alignment horizontal="center" vertical="center"/>
    </xf>
    <xf numFmtId="0" fontId="0" fillId="0" borderId="6"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left"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456_AAFC_COVID-19_Allocations_request_e_signed.pdf" TargetMode="External"/><Relationship Id="rId21" Type="http://schemas.openxmlformats.org/officeDocument/2006/relationships/hyperlink" Target="https://www.pbo-dpb.gc.ca/web/default/files/Documents/Info%20Requests/2020/IR0490_ISED_COVID-19_Measures_request_e.pdf" TargetMode="External"/><Relationship Id="rId42" Type="http://schemas.openxmlformats.org/officeDocument/2006/relationships/hyperlink" Target="https://www.pbo-dpb.gc.ca/web/default/files/Documents/Info%20Requests/2020/IR0530_CIHR_granting_COVID-19_request_e.pdf" TargetMode="External"/><Relationship Id="rId47" Type="http://schemas.openxmlformats.org/officeDocument/2006/relationships/hyperlink" Target="https://www.pbo-dpb.gc.ca/web/default/files/Documents/Info%20Requests/2020/IR0477_GAC_Foreign_Affairs_data_repatriation_Canadians_ltr_e.pdf" TargetMode="External"/><Relationship Id="rId63" Type="http://schemas.openxmlformats.org/officeDocument/2006/relationships/hyperlink" Target="https://www.pbo-dpb.gc.ca/web/default/files/Documents/Info%20Requests/2020/IR0549_ESDC_COVID-19_Measures_Q_request_e.pdf" TargetMode="External"/><Relationship Id="rId68" Type="http://schemas.openxmlformats.org/officeDocument/2006/relationships/hyperlink" Target="https://www.pbo-dpb.gc.ca/web/default/files/Documents/Info%20Requests/2020/IR0528_PHAC_COVID19_update_request_e.pdf" TargetMode="External"/><Relationship Id="rId84" Type="http://schemas.openxmlformats.org/officeDocument/2006/relationships/hyperlink" Target="https://www.ourcommons.ca/DocumentViewer/en/43-2/OGGO/related-document/11193033" TargetMode="External"/><Relationship Id="rId89" Type="http://schemas.openxmlformats.org/officeDocument/2006/relationships/hyperlink" Target="https://www.ourcommons.ca/DocumentViewer/en/43-2/OGGO/related-document/11193033" TargetMode="External"/><Relationship Id="rId2" Type="http://schemas.openxmlformats.org/officeDocument/2006/relationships/hyperlink" Target="https://www.pbo-dpb.gc.ca/web/default/files/Documents/Info%20Requests/2020/IR0528_PHAC_COVID19_update_request_e.pdf" TargetMode="External"/><Relationship Id="rId16" Type="http://schemas.openxmlformats.org/officeDocument/2006/relationships/hyperlink" Target="https://www.pbo-dpb.gc.ca/web/default/files/Documents/Info%20Requests/2020/IR0491_ISED_COVID-19_Measures_request_e.pdf" TargetMode="External"/><Relationship Id="rId29" Type="http://schemas.openxmlformats.org/officeDocument/2006/relationships/hyperlink" Target="https://www.pbo-dpb.gc.ca/web/default/files/Documents/Info%20Requests/2020/IR0549_ESDC_COVID-19_Measures_Q_request_e.pdf" TargetMode="External"/><Relationship Id="rId107" Type="http://schemas.openxmlformats.org/officeDocument/2006/relationships/hyperlink" Target="https://www.ourcommons.ca/DocumentViewer/en/43-2/OGGO/related-document/11193033"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59_PSPC_COVID-19_Safety_request_e.pdf" TargetMode="External"/><Relationship Id="rId32" Type="http://schemas.openxmlformats.org/officeDocument/2006/relationships/hyperlink" Target="https://www.pbo-dpb.gc.ca/web/default/files/Documents/Info%20Requests/2020/IR0529_PSEP_COVID19_update_request_e.pdf" TargetMode="External"/><Relationship Id="rId37" Type="http://schemas.openxmlformats.org/officeDocument/2006/relationships/hyperlink" Target="https://www.pbo-dpb.gc.ca/web/default/files/Documents/Info%20Requests/2020/IR0476_GAC_ID_COVID-19_Measures_request_e_signed.pdf" TargetMode="External"/><Relationship Id="rId40" Type="http://schemas.openxmlformats.org/officeDocument/2006/relationships/hyperlink" Target="https://www.pbo-dpb.gc.ca/web/default/files/Documents/Info%20Requests/2020/IR0472_NRC_COVID-19_Measures_request_e_signed.pdf" TargetMode="External"/><Relationship Id="rId45" Type="http://schemas.openxmlformats.org/officeDocument/2006/relationships/hyperlink" Target="https://www.pbo-dpb.gc.ca/web/default/files/Documents/Info%20Requests/2020/IR0459_CBSA_COVID-19_Measures_request_e_signed.pdf" TargetMode="External"/><Relationship Id="rId53" Type="http://schemas.openxmlformats.org/officeDocument/2006/relationships/hyperlink" Target="https://www.pbo-dpb.gc.ca/web/default/files/Documents/Info%20Requests/2020/IR0524_ISED_COVID19_update_2_request_e.pdf" TargetMode="External"/><Relationship Id="rId58" Type="http://schemas.openxmlformats.org/officeDocument/2006/relationships/hyperlink" Target="https://www.pbo-dpb.gc.ca/web/default/files/Documents/Info%20Requests/2020/IR0523_ISC_COVID19_update_2_request_e.pdf" TargetMode="External"/><Relationship Id="rId66" Type="http://schemas.openxmlformats.org/officeDocument/2006/relationships/hyperlink" Target="https://www.pbo-dpb.gc.ca/web/default/files/Documents/Info%20Requests/2021/IR0581_IFC_COVID_Measures_request_e.pdf" TargetMode="External"/><Relationship Id="rId74" Type="http://schemas.openxmlformats.org/officeDocument/2006/relationships/hyperlink" Target="https://www.ourcommons.ca/DocumentViewer/en/43-2/OGGO/related-document/11193033" TargetMode="External"/><Relationship Id="rId79" Type="http://schemas.openxmlformats.org/officeDocument/2006/relationships/hyperlink" Target="https://www.ourcommons.ca/DocumentViewer/en/43-2/OGGO/related-document/11193033" TargetMode="External"/><Relationship Id="rId87" Type="http://schemas.openxmlformats.org/officeDocument/2006/relationships/hyperlink" Target="https://www.ourcommons.ca/DocumentViewer/en/43-2/OGGO/related-document/11193033" TargetMode="External"/><Relationship Id="rId102" Type="http://schemas.openxmlformats.org/officeDocument/2006/relationships/hyperlink" Target="https://www.ourcommons.ca/DocumentViewer/en/43-2/OGGO/related-document/11193033" TargetMode="External"/><Relationship Id="rId110" Type="http://schemas.openxmlformats.org/officeDocument/2006/relationships/hyperlink" Target="https://www.ourcommons.ca/DocumentViewer/en/43-2/OGGO/related-document/11193033" TargetMode="External"/><Relationship Id="rId5" Type="http://schemas.openxmlformats.org/officeDocument/2006/relationships/hyperlink" Target="https://www.pbo-dpb.gc.ca/web/default/files/Documents/Info%20Requests/2020/IR0550_FIN_COVID-19_Support_request_e.pdf" TargetMode="External"/><Relationship Id="rId61" Type="http://schemas.openxmlformats.org/officeDocument/2006/relationships/hyperlink" Target="https://www.pbo-dpb.gc.ca/web/default/files/Documents/Info%20Requests/2020/IR0550_FIN_COVID-19_Support_request_e.pdf" TargetMode="External"/><Relationship Id="rId82" Type="http://schemas.openxmlformats.org/officeDocument/2006/relationships/hyperlink" Target="https://www.ourcommons.ca/DocumentViewer/en/43-2/OGGO/related-document/11193033" TargetMode="External"/><Relationship Id="rId90" Type="http://schemas.openxmlformats.org/officeDocument/2006/relationships/hyperlink" Target="https://www.ourcommons.ca/DocumentViewer/en/43-2/OGGO/related-document/11193033" TargetMode="External"/><Relationship Id="rId95" Type="http://schemas.openxmlformats.org/officeDocument/2006/relationships/hyperlink" Target="https://www.ourcommons.ca/DocumentViewer/en/43-2/OGGO/related-document/11193033" TargetMode="External"/><Relationship Id="rId19" Type="http://schemas.openxmlformats.org/officeDocument/2006/relationships/hyperlink" Target="https://www.pbo-dpb.gc.ca/web/default/files/Documents/Info%20Requests/2020/IR0528_PHAC_COVID19_update_request_e.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hyperlink" Target="https://www.pbo-dpb.gc.ca/web/default/files/Documents/Info%20Requests/2020/IR0456_AAFC_COVID-19_Allocations_request_e_signed.pdf" TargetMode="External"/><Relationship Id="rId30" Type="http://schemas.openxmlformats.org/officeDocument/2006/relationships/hyperlink" Target="https://www.pbo-dpb.gc.ca/web/default/files/Documents/Info%20Requests/2020/IR0549_ESDC_COVID-19_Measures_Q_request_e.pdf" TargetMode="External"/><Relationship Id="rId35" Type="http://schemas.openxmlformats.org/officeDocument/2006/relationships/hyperlink" Target="https://www.pbo-dpb.gc.ca/web/default/files/Documents/Info%20Requests/2020/IR0561_SSC_COVID-19_Measures_request_e.pdf" TargetMode="External"/><Relationship Id="rId43" Type="http://schemas.openxmlformats.org/officeDocument/2006/relationships/hyperlink" Target="https://www.pbo-dpb.gc.ca/web/default/files/Documents/Info%20Requests/2020/IR0523_ISC_COVID19_update_2_request_e.pdf" TargetMode="External"/><Relationship Id="rId48" Type="http://schemas.openxmlformats.org/officeDocument/2006/relationships/hyperlink" Target="https://www.pbo-dpb.gc.ca/web/default/files/Documents/Info%20Requests/2020/IR0528_PHAC_COVID19_update_request_e.pdf" TargetMode="External"/><Relationship Id="rId56" Type="http://schemas.openxmlformats.org/officeDocument/2006/relationships/hyperlink" Target="https://www.pbo-dpb.gc.ca/web/default/files/Documents/Info%20Requests/2020/IR0551_HC_COVID-19_Measures_request_e.pdf" TargetMode="External"/><Relationship Id="rId64" Type="http://schemas.openxmlformats.org/officeDocument/2006/relationships/hyperlink" Target="https://www.pbo-dpb.gc.ca/web/default/files/Documents/Info%20Requests/2020/IR0468_HC_COVID-19_Measures_request_e_signed.pdf" TargetMode="External"/><Relationship Id="rId69" Type="http://schemas.openxmlformats.org/officeDocument/2006/relationships/hyperlink" Target="https://www.ourcommons.ca/DocumentViewer/en/43-2/OGGO/related-document/11193033" TargetMode="External"/><Relationship Id="rId77" Type="http://schemas.openxmlformats.org/officeDocument/2006/relationships/hyperlink" Target="https://www.ourcommons.ca/content/Committee/432/OGGO/WebDoc/WD11193033/432_OGGO_Mar10-Motion/TreasuryBoardSecretariat-e.pdf" TargetMode="External"/><Relationship Id="rId100" Type="http://schemas.openxmlformats.org/officeDocument/2006/relationships/hyperlink" Target="https://www.ourcommons.ca/DocumentViewer/en/43-2/OGGO/related-document/11193033" TargetMode="External"/><Relationship Id="rId105" Type="http://schemas.openxmlformats.org/officeDocument/2006/relationships/hyperlink" Target="https://www.ourcommons.ca/DocumentViewer/en/43-2/OGGO/related-document/11193033"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528_PHAC_COVID19_update_request_e.pdf" TargetMode="External"/><Relationship Id="rId72" Type="http://schemas.openxmlformats.org/officeDocument/2006/relationships/hyperlink" Target="https://www.ourcommons.ca/DocumentViewer/en/43-2/OGGO/related-document/11193033" TargetMode="External"/><Relationship Id="rId80" Type="http://schemas.openxmlformats.org/officeDocument/2006/relationships/hyperlink" Target="https://www.ourcommons.ca/DocumentViewer/en/43-2/OGGO/related-document/11193033" TargetMode="External"/><Relationship Id="rId85" Type="http://schemas.openxmlformats.org/officeDocument/2006/relationships/hyperlink" Target="https://www.ourcommons.ca/DocumentViewer/en/43-2/OGGO/related-document/11193033" TargetMode="External"/><Relationship Id="rId93" Type="http://schemas.openxmlformats.org/officeDocument/2006/relationships/hyperlink" Target="https://www.ourcommons.ca/DocumentViewer/en/43-2/OGGO/related-document/11193033" TargetMode="External"/><Relationship Id="rId98" Type="http://schemas.openxmlformats.org/officeDocument/2006/relationships/hyperlink" Target="https://www.pbo-dpb.gc.ca/web/default/files/Documents/Info%20Requests/2020/IR0522_ISEDC_Granting_Councils_COVID19_request_e.pdf" TargetMode="External"/><Relationship Id="rId3" Type="http://schemas.openxmlformats.org/officeDocument/2006/relationships/hyperlink" Target="https://www.pbo-dpb.gc.ca/web/default/files/Documents/Info%20Requests/2020/IR0530_CIHR_granting_COVID-19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8_CIHR_COVID-19_ltr_e.pdf" TargetMode="External"/><Relationship Id="rId25" Type="http://schemas.openxmlformats.org/officeDocument/2006/relationships/hyperlink" Target="https://www.pbo-dpb.gc.ca/web/default/files/Documents/Info%20Requests/2020/IR0475_WAGE_COVID-19_Measures_request_e_signed.pdf" TargetMode="External"/><Relationship Id="rId33" Type="http://schemas.openxmlformats.org/officeDocument/2006/relationships/hyperlink" Target="https://www.pbo-dpb.gc.ca/web/default/files/Documents/Info%20Requests/2020/IR0529_PSEP_COVID19_update_request_e.pdf" TargetMode="External"/><Relationship Id="rId38" Type="http://schemas.openxmlformats.org/officeDocument/2006/relationships/hyperlink" Target="https://www.pbo-dpb.gc.ca/web/default/files/Documents/Info%20Requests/2020/IR0530_CIHR_granting_COVID-19_request_e.pdf" TargetMode="External"/><Relationship Id="rId46" Type="http://schemas.openxmlformats.org/officeDocument/2006/relationships/hyperlink" Target="https://www.pbo-dpb.gc.ca/web/default/files/Documents/Info%20Requests/2020/IR0467_GAC_FA_COVID-19_Measures_request_e_signed.pdf" TargetMode="External"/><Relationship Id="rId59" Type="http://schemas.openxmlformats.org/officeDocument/2006/relationships/hyperlink" Target="https://www.pbo-dpb.gc.ca/web/default/files/Documents/Info%20Requests/2020/IR0528_PHAC_COVID19_update_request_e.pdf" TargetMode="External"/><Relationship Id="rId67" Type="http://schemas.openxmlformats.org/officeDocument/2006/relationships/hyperlink" Target="https://www.pbo-dpb.gc.ca/web/default/files/Documents/Info%20Requests/2020/IR0526_NRCCan_COVID19_update_2_request_e.pdf" TargetMode="External"/><Relationship Id="rId103" Type="http://schemas.openxmlformats.org/officeDocument/2006/relationships/hyperlink" Target="https://www.ourcommons.ca/DocumentViewer/en/43-2/OGGO/related-document/11193033" TargetMode="External"/><Relationship Id="rId108" Type="http://schemas.openxmlformats.org/officeDocument/2006/relationships/hyperlink" Target="https://www.ourcommons.ca/DocumentViewer/en/43-2/OGGO/related-document/11193033" TargetMode="External"/><Relationship Id="rId20" Type="http://schemas.openxmlformats.org/officeDocument/2006/relationships/hyperlink" Target="https://www.pbo-dpb.gc.ca/web/default/files/Documents/Info%20Requests/2020/IR0490_ISED_COVID-19_Measures_request_e.pdf" TargetMode="External"/><Relationship Id="rId41" Type="http://schemas.openxmlformats.org/officeDocument/2006/relationships/hyperlink" Target="https://www.pbo-dpb.gc.ca/web/default/files/Documents/Info%20Requests/2020/IR0471_ISED_COVID-19_Measures_request_e_signed.pdf" TargetMode="External"/><Relationship Id="rId54" Type="http://schemas.openxmlformats.org/officeDocument/2006/relationships/hyperlink" Target="http://gazette.gc.ca/rp-pr/p2/2020/2020-05-27/html/sor-dors101-eng.html" TargetMode="External"/><Relationship Id="rId62" Type="http://schemas.openxmlformats.org/officeDocument/2006/relationships/hyperlink" Target="https://www.pbo-dpb.gc.ca/web/default/files/Documents/Info%20Requests/2020/IR0528_PHAC_COVID19_update_request_e.pdf" TargetMode="External"/><Relationship Id="rId70" Type="http://schemas.openxmlformats.org/officeDocument/2006/relationships/hyperlink" Target="https://www.ourcommons.ca/DocumentViewer/en/43-2/OGGO/related-document/11193033" TargetMode="External"/><Relationship Id="rId75" Type="http://schemas.openxmlformats.org/officeDocument/2006/relationships/hyperlink" Target="https://www.ourcommons.ca/DocumentViewer/en/43-2/OGGO/related-document/11193033" TargetMode="External"/><Relationship Id="rId83" Type="http://schemas.openxmlformats.org/officeDocument/2006/relationships/hyperlink" Target="https://www.ourcommons.ca/DocumentViewer/en/43-2/OGGO/related-document/11193033" TargetMode="External"/><Relationship Id="rId88" Type="http://schemas.openxmlformats.org/officeDocument/2006/relationships/hyperlink" Target="https://www.ourcommons.ca/DocumentViewer/en/43-2/OGGO/related-document/11193033" TargetMode="External"/><Relationship Id="rId91" Type="http://schemas.openxmlformats.org/officeDocument/2006/relationships/hyperlink" Target="https://www.ourcommons.ca/DocumentViewer/en/43-2/OGGO/related-document/11193033" TargetMode="External"/><Relationship Id="rId96" Type="http://schemas.openxmlformats.org/officeDocument/2006/relationships/hyperlink" Target="https://www.ourcommons.ca/DocumentViewer/en/43-2/OGGO/related-document/11193033" TargetMode="External"/><Relationship Id="rId111" Type="http://schemas.openxmlformats.org/officeDocument/2006/relationships/printerSettings" Target="../printerSettings/printerSettings2.bin"/><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e.pdf" TargetMode="External"/><Relationship Id="rId15" Type="http://schemas.openxmlformats.org/officeDocument/2006/relationships/hyperlink" Target="https://www.pbo-dpb.gc.ca/web/default/files/Documents/Info%20Requests/2020/IR0549_ESDC_COVID-19_Measures_Q_request_e.pdf" TargetMode="External"/><Relationship Id="rId23" Type="http://schemas.openxmlformats.org/officeDocument/2006/relationships/hyperlink" Target="https://www.pbo-dpb.gc.ca/web/default/files/Documents/Info%20Requests/2020/IR0468_HC_COVID-19_Measures_request_e_signed.pdf" TargetMode="External"/><Relationship Id="rId28" Type="http://schemas.openxmlformats.org/officeDocument/2006/relationships/hyperlink" Target="https://www.pbo-dpb.gc.ca/web/default/files/Documents/Info%20Requests/2020/IR0456_AAFC_COVID-19_Allocations_request_e_signed.pdf" TargetMode="External"/><Relationship Id="rId36" Type="http://schemas.openxmlformats.org/officeDocument/2006/relationships/hyperlink" Target="https://www.pbo-dpb.gc.ca/web/default/files/Documents/Info%20Requests/2020/IR0523_ISC_COVID19_update_2_request_e.pdf" TargetMode="External"/><Relationship Id="rId49" Type="http://schemas.openxmlformats.org/officeDocument/2006/relationships/hyperlink" Target="https://www.pbo-dpb.gc.ca/web/default/files/Documents/Info%20Requests/2020/IR0528_PHAC_COVID19_update_request_e.pdf" TargetMode="External"/><Relationship Id="rId57" Type="http://schemas.openxmlformats.org/officeDocument/2006/relationships/hyperlink" Target="https://www.pbo-dpb.gc.ca/web/default/files/Documents/Info%20Requests/2020/IR0456_AAFC_COVID-19_Allocations_request_e_signed.pdf" TargetMode="External"/><Relationship Id="rId106" Type="http://schemas.openxmlformats.org/officeDocument/2006/relationships/hyperlink" Target="https://www.ourcommons.ca/DocumentViewer/en/43-2/OGGO/related-document/11193033" TargetMode="External"/><Relationship Id="rId10" Type="http://schemas.openxmlformats.org/officeDocument/2006/relationships/hyperlink" Target="https://www.pbo-dpb.gc.ca/web/default/files/Documents/Info%20Requests/2020/IR0519_TC_Fed-Bridge-corp_COVID-19_request_e.pdf" TargetMode="External"/><Relationship Id="rId31" Type="http://schemas.openxmlformats.org/officeDocument/2006/relationships/hyperlink" Target="https://www.pbo-dpb.gc.ca/web/default/files/Documents/Info%20Requests/2020/IR0486_HC_COVID-19_ltr_e.pdf" TargetMode="External"/><Relationship Id="rId44" Type="http://schemas.openxmlformats.org/officeDocument/2006/relationships/hyperlink" Target="https://www.pbo-dpb.gc.ca/web/default/files/Documents/Info%20Requests/2020/IR0490_ISED_COVID-19_Measures_request_e.pdf" TargetMode="External"/><Relationship Id="rId52" Type="http://schemas.openxmlformats.org/officeDocument/2006/relationships/hyperlink" Target="https://www.pbo-dpb.gc.ca/web/default/files/Documents/Info%20Requests/2020/IR0530_CIHR_granting_COVID-19_request_e.pdf" TargetMode="External"/><Relationship Id="rId60" Type="http://schemas.openxmlformats.org/officeDocument/2006/relationships/hyperlink" Target="https://www.pbo-dpb.gc.ca/web/default/files/Documents/Info%20Requests/2021/IR0584_TBS_DigGov_COVID_Measures_request_e.pdf" TargetMode="External"/><Relationship Id="rId65" Type="http://schemas.openxmlformats.org/officeDocument/2006/relationships/hyperlink" Target="https://www.pbo-dpb.gc.ca/web/default/files/Documents/Info%20Requests/2020/IR0528_PHAC_COVID19_update_request_e.pdf" TargetMode="External"/><Relationship Id="rId73" Type="http://schemas.openxmlformats.org/officeDocument/2006/relationships/hyperlink" Target="https://www.ourcommons.ca/DocumentViewer/en/43-2/OGGO/related-document/11193033" TargetMode="External"/><Relationship Id="rId78" Type="http://schemas.openxmlformats.org/officeDocument/2006/relationships/hyperlink" Target="https://www.ourcommons.ca/content/Committee/432/OGGO/WebDoc/WD11193033/432_OGGO_Mar10-Motion/TreasuryBoardSecretariat-e.pdf" TargetMode="External"/><Relationship Id="rId81" Type="http://schemas.openxmlformats.org/officeDocument/2006/relationships/hyperlink" Target="https://www.ourcommons.ca/DocumentViewer/en/43-2/OGGO/related-document/11193033" TargetMode="External"/><Relationship Id="rId86" Type="http://schemas.openxmlformats.org/officeDocument/2006/relationships/hyperlink" Target="https://www.ourcommons.ca/DocumentViewer/en/43-2/OGGO/related-document/11193033" TargetMode="External"/><Relationship Id="rId94" Type="http://schemas.openxmlformats.org/officeDocument/2006/relationships/hyperlink" Target="https://www.ourcommons.ca/DocumentViewer/en/43-2/OGGO/related-document/11193033" TargetMode="External"/><Relationship Id="rId99" Type="http://schemas.openxmlformats.org/officeDocument/2006/relationships/hyperlink" Target="https://www.ourcommons.ca/DocumentViewer/en/43-2/OGGO/related-document/11193033" TargetMode="External"/><Relationship Id="rId101" Type="http://schemas.openxmlformats.org/officeDocument/2006/relationships/hyperlink" Target="https://www.ourcommons.ca/DocumentViewer/en/43-2/OGGO/related-document/11193033" TargetMode="External"/><Relationship Id="rId4" Type="http://schemas.openxmlformats.org/officeDocument/2006/relationships/hyperlink" Target="https://www.pbo-dpb.gc.ca/web/default/files/Documents/Info%20Requests/2020/IR0551_HC_COVID-19_Measures_request_e.pdf" TargetMode="External"/><Relationship Id="rId9" Type="http://schemas.openxmlformats.org/officeDocument/2006/relationships/hyperlink" Target="https://www.pbo-dpb.gc.ca/web/default/files/Documents/Info%20Requests/2020/IR0462_CIRNAC_COVID-19_Measures_request_e_signed.pdf" TargetMode="External"/><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478_CIHR_COVID-19_ltr_e.pdf" TargetMode="External"/><Relationship Id="rId39" Type="http://schemas.openxmlformats.org/officeDocument/2006/relationships/hyperlink" Target="https://www.pbo-dpb.gc.ca/web/default/files/Documents/Info%20Requests/2020/IR0468_HC_COVID-19_Measures_request_e_signed.pdf" TargetMode="External"/><Relationship Id="rId109" Type="http://schemas.openxmlformats.org/officeDocument/2006/relationships/hyperlink" Target="https://www.ourcommons.ca/DocumentViewer/en/43-2/OGGO/related-document/11193033" TargetMode="External"/><Relationship Id="rId34" Type="http://schemas.openxmlformats.org/officeDocument/2006/relationships/hyperlink" Target="https://www.pbo-dpb.gc.ca/web/default/files/Documents/Info%20Requests/2020/IR0523_ISC_COVID19_update_2_request_e.pdf" TargetMode="External"/><Relationship Id="rId50" Type="http://schemas.openxmlformats.org/officeDocument/2006/relationships/hyperlink" Target="https://www.pbo-dpb.gc.ca/web/default/files/Documents/Info%20Requests/2020/IR0528_PHAC_COVID19_update_request_e.pdf" TargetMode="External"/><Relationship Id="rId55" Type="http://schemas.openxmlformats.org/officeDocument/2006/relationships/hyperlink" Target="https://www.pbo-dpb.gc.ca/web/default/files/Documents/Info%20Requests/2020/IR0528_PHAC_COVID19_update_request_e.pdf" TargetMode="External"/><Relationship Id="rId76" Type="http://schemas.openxmlformats.org/officeDocument/2006/relationships/hyperlink" Target="https://www.ourcommons.ca/DocumentViewer/en/43-2/OGGO/related-document/11193033" TargetMode="External"/><Relationship Id="rId97" Type="http://schemas.openxmlformats.org/officeDocument/2006/relationships/hyperlink" Target="https://www.ourcommons.ca/DocumentViewer/en/43-2/OGGO/related-document/11193033" TargetMode="External"/><Relationship Id="rId104" Type="http://schemas.openxmlformats.org/officeDocument/2006/relationships/hyperlink" Target="https://www.ourcommons.ca/DocumentViewer/en/43-2/OGGO/related-document/11193033" TargetMode="External"/><Relationship Id="rId7" Type="http://schemas.openxmlformats.org/officeDocument/2006/relationships/hyperlink" Target="https://www.pbo-dpb.gc.ca/web/default/files/Documents/Info%20Requests/2020/IR0550_FIN_COVID-19_Support_request_e.pdf" TargetMode="External"/><Relationship Id="rId71" Type="http://schemas.openxmlformats.org/officeDocument/2006/relationships/hyperlink" Target="https://www.ourcommons.ca/DocumentViewer/en/43-2/OGGO/related-document/11193033" TargetMode="External"/><Relationship Id="rId92" Type="http://schemas.openxmlformats.org/officeDocument/2006/relationships/hyperlink" Target="https://www.ourcommons.ca/DocumentViewer/en/43-2/OGGO/related-document/1119303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40_PCO_COVID-19_Communications_request_e.pdf" TargetMode="External"/><Relationship Id="rId117" Type="http://schemas.openxmlformats.org/officeDocument/2006/relationships/hyperlink" Target="https://www.ourcommons.ca/DocumentViewer/en/43-2/OGGO/related-document/11193033" TargetMode="External"/><Relationship Id="rId21" Type="http://schemas.openxmlformats.org/officeDocument/2006/relationships/hyperlink" Target="https://www.pbo-dpb.gc.ca/web/default/files/Documents/Info%20Requests/2020/IR0515_CIRNAC_COVID-19_update_request_e.pdf" TargetMode="External"/><Relationship Id="rId42" Type="http://schemas.openxmlformats.org/officeDocument/2006/relationships/hyperlink" Target="https://www.pbo-dpb.gc.ca/web/default/files/Documents/Info%20Requests/2020/IR0482_FOC_COVID-19_ltr_e.pdf" TargetMode="External"/><Relationship Id="rId47" Type="http://schemas.openxmlformats.org/officeDocument/2006/relationships/hyperlink" Target="https://www.pbo-dpb.gc.ca/web/default/files/Documents/Info%20Requests/2020/IR0547_CRA_RRIF_request_e.pdf" TargetMode="External"/><Relationship Id="rId63" Type="http://schemas.openxmlformats.org/officeDocument/2006/relationships/hyperlink" Target="https://www.pbo-dpb.gc.ca/web/default/files/Documents/Info%20Requests/2020/IR0526_NRCCan_COVID19_update_2_request_e.pdf" TargetMode="External"/><Relationship Id="rId68" Type="http://schemas.openxmlformats.org/officeDocument/2006/relationships/hyperlink" Target="https://www.pbo-dpb.gc.ca/web/default/files/Documents/Info%20Requests/2020/IR0549_ESDC_COVID-19_Measures_Q_request_e.pdf" TargetMode="External"/><Relationship Id="rId84" Type="http://schemas.openxmlformats.org/officeDocument/2006/relationships/hyperlink" Target="https://www.pbo-dpb.gc.ca/web/default/files/Documents/Info%20Requests/2020/IR0549_ESDC_COVID-19_Measures_Q_request_e.pdf" TargetMode="External"/><Relationship Id="rId89" Type="http://schemas.openxmlformats.org/officeDocument/2006/relationships/hyperlink" Target="https://www.pbo-dpb.gc.ca/web/default/files/Documents/Info%20Requests/2020/IR0549_ESDC_COVID-19_Measures_Q_request_e.pdf" TargetMode="External"/><Relationship Id="rId112" Type="http://schemas.openxmlformats.org/officeDocument/2006/relationships/hyperlink" Target="https://www.ourcommons.ca/DocumentViewer/en/43-2/OGGO/related-document/11193033" TargetMode="External"/><Relationship Id="rId133" Type="http://schemas.openxmlformats.org/officeDocument/2006/relationships/hyperlink" Target="https://www.ourcommons.ca/DocumentViewer/en/43-2/OGGO/related-document/11193033" TargetMode="External"/><Relationship Id="rId138" Type="http://schemas.openxmlformats.org/officeDocument/2006/relationships/hyperlink" Target="https://www.ourcommons.ca/DocumentViewer/en/43-2/OGGO/related-document/11193033" TargetMode="External"/><Relationship Id="rId154" Type="http://schemas.openxmlformats.org/officeDocument/2006/relationships/hyperlink" Target="https://www.ourcommons.ca/DocumentViewer/en/43-2/OGGO/related-document/11193033" TargetMode="External"/><Relationship Id="rId159" Type="http://schemas.openxmlformats.org/officeDocument/2006/relationships/hyperlink" Target="https://www.ourcommons.ca/DocumentViewer/en/43-2/OGGO/related-document/11193033" TargetMode="External"/><Relationship Id="rId175" Type="http://schemas.openxmlformats.org/officeDocument/2006/relationships/hyperlink" Target="https://www.ourcommons.ca/DocumentViewer/en/43-2/OGGO/related-document/11193033" TargetMode="External"/><Relationship Id="rId170" Type="http://schemas.openxmlformats.org/officeDocument/2006/relationships/hyperlink" Target="https://www.ourcommons.ca/DocumentViewer/en/43-2/OGGO/related-document/11193033" TargetMode="External"/><Relationship Id="rId16" Type="http://schemas.openxmlformats.org/officeDocument/2006/relationships/hyperlink" Target="https://www.canada.ca/en/services/benefits/ei/claims-report.html" TargetMode="External"/><Relationship Id="rId107" Type="http://schemas.openxmlformats.org/officeDocument/2006/relationships/hyperlink" Target="https://www.pbo-dpb.gc.ca/web/default/files/Documents/Info%20Requests/2020/IR0559_PSPC_COVID-19_Safety_request_e.pdf" TargetMode="External"/><Relationship Id="rId11" Type="http://schemas.openxmlformats.org/officeDocument/2006/relationships/hyperlink" Target="https://www.pbo-dpb.gc.ca/web/default/files/Documents/Info%20Requests/2020/IR0471_ISED_COVID-19_Measures_request_e_signed.pdf" TargetMode="External"/><Relationship Id="rId32" Type="http://schemas.openxmlformats.org/officeDocument/2006/relationships/hyperlink" Target="https://www.pbo-dpb.gc.ca/web/default/files/Documents/Info%20Requests/2020/IR0461_CFIA_COVID-19_Allocations_request_e_signed.pdf" TargetMode="External"/><Relationship Id="rId37" Type="http://schemas.openxmlformats.org/officeDocument/2006/relationships/hyperlink" Target="https://www.pbo-dpb.gc.ca/web/default/files/Documents/Info%20Requests/2020/IR0473_NRCan_COVID-19_Measures_request_e_signed.pdf" TargetMode="External"/><Relationship Id="rId53" Type="http://schemas.openxmlformats.org/officeDocument/2006/relationships/hyperlink" Target="https://www.pbo-dpb.gc.ca/web/default/files/Documents/Info%20Requests/2020/IR0549_ESDC_COVID-19_Measures_Q_request_e.pdf" TargetMode="External"/><Relationship Id="rId58" Type="http://schemas.openxmlformats.org/officeDocument/2006/relationships/hyperlink" Target="https://www.pbo-dpb.gc.ca/web/default/files/Documents/Info%20Requests/2020/IR0523_ISC_COVID19_update_2_request_e.pdf" TargetMode="External"/><Relationship Id="rId74" Type="http://schemas.openxmlformats.org/officeDocument/2006/relationships/hyperlink" Target="https://www.pbo-dpb.gc.ca/web/default/files/Documents/Info%20Requests/2020/IR0523_ISC_COVID19_update_2_request_e.pdf" TargetMode="External"/><Relationship Id="rId79" Type="http://schemas.openxmlformats.org/officeDocument/2006/relationships/hyperlink" Target="https://www.pbo-dpb.gc.ca/web/default/files/Documents/Info%20Requests/2020/IR0475_WAGE_COVID-19_Measures_request_e_signed.pdf" TargetMode="External"/><Relationship Id="rId102" Type="http://schemas.openxmlformats.org/officeDocument/2006/relationships/hyperlink" Target="https://www.pbo-dpb.gc.ca/web/default/files/Documents/Info%20Requests/2021/IR0580_ESDC_Fam_COVID_Benefits_request_e.pdf" TargetMode="External"/><Relationship Id="rId123" Type="http://schemas.openxmlformats.org/officeDocument/2006/relationships/hyperlink" Target="https://www.ourcommons.ca/DocumentViewer/en/43-2/OGGO/related-document/11193033" TargetMode="External"/><Relationship Id="rId128" Type="http://schemas.openxmlformats.org/officeDocument/2006/relationships/hyperlink" Target="https://www.ourcommons.ca/DocumentViewer/en/43-2/OGGO/related-document/11193033" TargetMode="External"/><Relationship Id="rId144" Type="http://schemas.openxmlformats.org/officeDocument/2006/relationships/hyperlink" Target="https://www.ourcommons.ca/DocumentViewer/en/43-2/OGGO/related-document/11193033" TargetMode="External"/><Relationship Id="rId149" Type="http://schemas.openxmlformats.org/officeDocument/2006/relationships/hyperlink" Target="https://www.ourcommons.ca/DocumentViewer/en/43-2/OGGO/related-document/11193033" TargetMode="External"/><Relationship Id="rId5" Type="http://schemas.openxmlformats.org/officeDocument/2006/relationships/hyperlink" Target="https://www.pbo-dpb.gc.ca/web/default/files/Documents/Info%20Requests/2020/IR0490_ISED_COVID-19_Measures_request_e.pdf" TargetMode="External"/><Relationship Id="rId90" Type="http://schemas.openxmlformats.org/officeDocument/2006/relationships/hyperlink" Target="https://www.pbo-dpb.gc.ca/web/default/files/Documents/Info%20Requests/2020/IR0465_EDC_COVID-19%20Measures_request_e_signed.pdf" TargetMode="External"/><Relationship Id="rId95" Type="http://schemas.openxmlformats.org/officeDocument/2006/relationships/hyperlink" Target="https://www.pbo-dpb.gc.ca/web/default/files/Documents/Info%20Requests/2020/IR0519_TC_Fed-Bridge-corp_COVID-19_request_e.pdf" TargetMode="External"/><Relationship Id="rId160" Type="http://schemas.openxmlformats.org/officeDocument/2006/relationships/hyperlink" Target="https://www.ourcommons.ca/DocumentViewer/en/43-2/OGGO/related-document/11193033" TargetMode="External"/><Relationship Id="rId165" Type="http://schemas.openxmlformats.org/officeDocument/2006/relationships/hyperlink" Target="https://www.ourcommons.ca/DocumentViewer/en/43-2/OGGO/related-document/11193033" TargetMode="External"/><Relationship Id="rId181" Type="http://schemas.openxmlformats.org/officeDocument/2006/relationships/printerSettings" Target="../printerSettings/printerSettings3.bin"/><Relationship Id="rId22" Type="http://schemas.openxmlformats.org/officeDocument/2006/relationships/hyperlink" Target="https://www.pbo-dpb.gc.ca/web/default/files/Documents/Info%20Requests/2020/IR0523_ISC_COVID19_update_2_request_e.pdf" TargetMode="External"/><Relationship Id="rId27"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82_FOC_COVID-19_ltr_e.pdf" TargetMode="External"/><Relationship Id="rId48" Type="http://schemas.openxmlformats.org/officeDocument/2006/relationships/hyperlink" Target="https://www.pbo-dpb.gc.ca/web/default/files/Documents/Info%20Requests/2020/IR0561_SSC_COVID-19_Measures_request_e.pdf" TargetMode="External"/><Relationship Id="rId64" Type="http://schemas.openxmlformats.org/officeDocument/2006/relationships/hyperlink" Target="https://www.pbo-dpb.gc.ca/web/default/files/Documents/Info%20Requests/2020/IR0522_ISEDC_Granting_Councils_COVID19_request_e.pdf" TargetMode="External"/><Relationship Id="rId69" Type="http://schemas.openxmlformats.org/officeDocument/2006/relationships/hyperlink" Target="https://www.pbo-dpb.gc.ca/web/default/files/Documents/Info%20Requests/2020/IR0557_ECCC_COVID-19_Measures_request_e.pdf" TargetMode="External"/><Relationship Id="rId113" Type="http://schemas.openxmlformats.org/officeDocument/2006/relationships/hyperlink" Target="https://www.ourcommons.ca/DocumentViewer/en/43-2/OGGO/related-document/11193033" TargetMode="External"/><Relationship Id="rId118" Type="http://schemas.openxmlformats.org/officeDocument/2006/relationships/hyperlink" Target="https://www.ourcommons.ca/DocumentViewer/en/43-2/OGGO/related-document/11193033" TargetMode="External"/><Relationship Id="rId134" Type="http://schemas.openxmlformats.org/officeDocument/2006/relationships/hyperlink" Target="https://www.ourcommons.ca/DocumentViewer/en/43-2/OGGO/related-document/11193033" TargetMode="External"/><Relationship Id="rId139" Type="http://schemas.openxmlformats.org/officeDocument/2006/relationships/hyperlink" Target="https://www.ourcommons.ca/DocumentViewer/en/43-2/OGGO/related-document/11193033" TargetMode="External"/><Relationship Id="rId80" Type="http://schemas.openxmlformats.org/officeDocument/2006/relationships/hyperlink" Target="https://www.pbo-dpb.gc.ca/web/default/files/Documents/Info%20Requests/2020/IR0475_WAGE_COVID-19_Measures_request_e_signed.pdf" TargetMode="External"/><Relationship Id="rId85" Type="http://schemas.openxmlformats.org/officeDocument/2006/relationships/hyperlink" Target="https://www.pbo-dpb.gc.ca/web/default/files/Documents/Info%20Requests/2020/IR0516_CMHC_COVID19_update_2_request_e.pdf" TargetMode="External"/><Relationship Id="rId150" Type="http://schemas.openxmlformats.org/officeDocument/2006/relationships/hyperlink" Target="https://www.ourcommons.ca/DocumentViewer/en/43-2/OGGO/related-document/11193033" TargetMode="External"/><Relationship Id="rId155" Type="http://schemas.openxmlformats.org/officeDocument/2006/relationships/hyperlink" Target="https://www.ourcommons.ca/DocumentViewer/en/43-2/OGGO/related-document/11193033" TargetMode="External"/><Relationship Id="rId171" Type="http://schemas.openxmlformats.org/officeDocument/2006/relationships/hyperlink" Target="https://www.ourcommons.ca/DocumentViewer/en/43-2/OGGO/related-document/11193033" TargetMode="External"/><Relationship Id="rId176" Type="http://schemas.openxmlformats.org/officeDocument/2006/relationships/hyperlink" Target="https://www.ourcommons.ca/DocumentViewer/en/43-2/OGGO/related-document/11193033" TargetMode="External"/><Relationship Id="rId12" Type="http://schemas.openxmlformats.org/officeDocument/2006/relationships/hyperlink" Target="https://www.pbo-dpb.gc.ca/web/default/files/Documents/Info%20Requests/2020/IR0471_ISED_COVID-19_Measures_request_e_signed.pdf" TargetMode="External"/><Relationship Id="rId17" Type="http://schemas.openxmlformats.org/officeDocument/2006/relationships/hyperlink" Target="https://www.pbo-dpb.gc.ca/web/default/files/Documents/Info%20Requests/2020/IR0561_SSC_COVID-19_Measures_request_e.pdf" TargetMode="External"/><Relationship Id="rId33" Type="http://schemas.openxmlformats.org/officeDocument/2006/relationships/hyperlink" Target="https://www.pbo-dpb.gc.ca/web/default/files/Documents/Info%20Requests/2020/IR0469_Heritage_COVID-19_Measures_request_e_signed.pdf" TargetMode="External"/><Relationship Id="rId38" Type="http://schemas.openxmlformats.org/officeDocument/2006/relationships/hyperlink" Target="https://www.pbo-dpb.gc.ca/web/default/files/Documents/Info%20Requests/2020/IR0456_AAFC_COVID-19_Allocations_request_e_signed.pdf" TargetMode="External"/><Relationship Id="rId59" Type="http://schemas.openxmlformats.org/officeDocument/2006/relationships/hyperlink" Target="https://www.pbo-dpb.gc.ca/web/default/files/Documents/Info%20Requests/2020/IR0523_ISC_COVID19_update_2_request_e.pdf" TargetMode="External"/><Relationship Id="rId103" Type="http://schemas.openxmlformats.org/officeDocument/2006/relationships/hyperlink" Target="https://www.pbo-dpb.gc.ca/web/default/files/Documents/Info%20Requests/2021/IR0580_ESDC_Fam_COVID_Benefits_request_e.pdf" TargetMode="External"/><Relationship Id="rId108" Type="http://schemas.openxmlformats.org/officeDocument/2006/relationships/hyperlink" Target="https://www.pbo-dpb.gc.ca/web/default/files/Documents/Info%20Requests/2020/IR0523_ISC_COVID19_update_2_request_e.pdf" TargetMode="External"/><Relationship Id="rId124" Type="http://schemas.openxmlformats.org/officeDocument/2006/relationships/hyperlink" Target="https://www.ourcommons.ca/DocumentViewer/en/43-2/OGGO/related-document/11193033" TargetMode="External"/><Relationship Id="rId129" Type="http://schemas.openxmlformats.org/officeDocument/2006/relationships/hyperlink" Target="https://www.ourcommons.ca/DocumentViewer/en/43-2/OGGO/related-document/11193033" TargetMode="External"/><Relationship Id="rId54" Type="http://schemas.openxmlformats.org/officeDocument/2006/relationships/hyperlink" Target="https://www.pbo-dpb.gc.ca/web/default/files/Documents/Info%20Requests/2020/IR0456_AAFC_COVID-19_Allocations_request_e_signed.pdf" TargetMode="External"/><Relationship Id="rId70" Type="http://schemas.openxmlformats.org/officeDocument/2006/relationships/hyperlink" Target="https://www.pbo-dpb.gc.ca/web/default/files/Documents/Info%20Requests/2020/IR0558_Heritage_COVID-19_Support_request_e.pdf" TargetMode="External"/><Relationship Id="rId75" Type="http://schemas.openxmlformats.org/officeDocument/2006/relationships/hyperlink" Target="https://www.pbo-dpb.gc.ca/web/default/files/Documents/Info%20Requests/2020/IR0468_HC_COVID-19_Measures_request_e_signed.pdf" TargetMode="External"/><Relationship Id="rId91" Type="http://schemas.openxmlformats.org/officeDocument/2006/relationships/hyperlink" Target="https://ceba-cuec.ca/" TargetMode="External"/><Relationship Id="rId96" Type="http://schemas.openxmlformats.org/officeDocument/2006/relationships/hyperlink" Target="https://www.pbo-dpb.gc.ca/web/default/files/Documents/Info%20Requests/2021/IR0579_ESDC_COVID_Temp-EI_request_e.pdf" TargetMode="External"/><Relationship Id="rId140" Type="http://schemas.openxmlformats.org/officeDocument/2006/relationships/hyperlink" Target="https://www.ourcommons.ca/DocumentViewer/en/43-2/OGGO/related-document/11193033" TargetMode="External"/><Relationship Id="rId145" Type="http://schemas.openxmlformats.org/officeDocument/2006/relationships/hyperlink" Target="https://www.ourcommons.ca/DocumentViewer/en/43-2/OGGO/related-document/11193033" TargetMode="External"/><Relationship Id="rId161" Type="http://schemas.openxmlformats.org/officeDocument/2006/relationships/hyperlink" Target="https://www.ourcommons.ca/DocumentViewer/en/43-2/OGGO/related-document/11193033" TargetMode="External"/><Relationship Id="rId166" Type="http://schemas.openxmlformats.org/officeDocument/2006/relationships/hyperlink" Target="https://www.ourcommons.ca/DocumentViewer/en/43-2/OGGO/related-document/11193033" TargetMode="External"/><Relationship Id="rId1" Type="http://schemas.openxmlformats.org/officeDocument/2006/relationships/hyperlink" Target="https://www.pbo-dpb.gc.ca/web/default/files/Documents/Info%20Requests/2020/IR0464_CRTC_COVID-19_Measures_request_e_signed.pdf" TargetMode="External"/><Relationship Id="rId6" Type="http://schemas.openxmlformats.org/officeDocument/2006/relationships/hyperlink" Target="https://www.canada.ca/en/revenue-agency/services/subsidy/emergency-wage-subsidy/cews-statistics.html" TargetMode="External"/><Relationship Id="rId23" Type="http://schemas.openxmlformats.org/officeDocument/2006/relationships/hyperlink" Target="https://www.pbo-dpb.gc.ca/web/default/files/Documents/Info%20Requests/2020/IR0524_ISED_COVID19_update_2_request_e.pdf" TargetMode="External"/><Relationship Id="rId28" Type="http://schemas.openxmlformats.org/officeDocument/2006/relationships/hyperlink" Target="https://www.pbo-dpb.gc.ca/web/default/files/Documents/Info%20Requests/2020/IR0528_PHAC_COVID19_update_request_e.pdf" TargetMode="External"/><Relationship Id="rId49" Type="http://schemas.openxmlformats.org/officeDocument/2006/relationships/hyperlink" Target="https://www.pbo-dpb.gc.ca/web/default/files/Documents/Info%20Requests/2020/IR0547_CRA_RRIF_request_e.pdf" TargetMode="External"/><Relationship Id="rId114" Type="http://schemas.openxmlformats.org/officeDocument/2006/relationships/hyperlink" Target="https://www.ourcommons.ca/DocumentViewer/en/43-2/OGGO/related-document/11193033" TargetMode="External"/><Relationship Id="rId119" Type="http://schemas.openxmlformats.org/officeDocument/2006/relationships/hyperlink" Target="https://www.ourcommons.ca/DocumentViewer/en/43-2/OGGO/related-document/11193033" TargetMode="External"/><Relationship Id="rId44"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524_ISED_COVID19_update_2_request_e.pdf" TargetMode="External"/><Relationship Id="rId65" Type="http://schemas.openxmlformats.org/officeDocument/2006/relationships/hyperlink" Target="https://www.pbo-dpb.gc.ca/web/default/files/Documents/Info%20Requests/2020/IR0522_ISEDC_Granting_Councils_COVID19_request_e.pdf" TargetMode="External"/><Relationship Id="rId81" Type="http://schemas.openxmlformats.org/officeDocument/2006/relationships/hyperlink" Target="https://www.pbo-dpb.gc.ca/web/default/files/Documents/Info%20Requests/2020/IR0475_WAGE_COVID-19_Measures_request_e_signed.pdf" TargetMode="External"/><Relationship Id="rId86" Type="http://schemas.openxmlformats.org/officeDocument/2006/relationships/hyperlink" Target="https://www.pbo-dpb.gc.ca/web/default/files/Documents/Info%20Requests/2020/IR0552_NRcan_COVID-19_Measures_request_e.pdf" TargetMode="External"/><Relationship Id="rId130" Type="http://schemas.openxmlformats.org/officeDocument/2006/relationships/hyperlink" Target="https://www.ourcommons.ca/DocumentViewer/en/43-2/OGGO/related-document/11193033" TargetMode="External"/><Relationship Id="rId135" Type="http://schemas.openxmlformats.org/officeDocument/2006/relationships/hyperlink" Target="https://www.ourcommons.ca/DocumentViewer/en/43-2/OGGO/related-document/11193033" TargetMode="External"/><Relationship Id="rId151" Type="http://schemas.openxmlformats.org/officeDocument/2006/relationships/hyperlink" Target="https://www.ourcommons.ca/DocumentViewer/en/43-2/OGGO/related-document/11193033" TargetMode="External"/><Relationship Id="rId156" Type="http://schemas.openxmlformats.org/officeDocument/2006/relationships/hyperlink" Target="https://www.ourcommons.ca/DocumentViewer/en/43-2/OGGO/related-document/11193033" TargetMode="External"/><Relationship Id="rId177" Type="http://schemas.openxmlformats.org/officeDocument/2006/relationships/hyperlink" Target="https://www.ourcommons.ca/DocumentViewer/en/43-2/OGGO/related-document/11193033" TargetMode="External"/><Relationship Id="rId4" Type="http://schemas.openxmlformats.org/officeDocument/2006/relationships/hyperlink" Target="https://www.pbo-dpb.gc.ca/web/default/files/Documents/Info%20Requests/2020/IR0471_ISED_COVID-19_Measures_request_e_signed.pdf" TargetMode="External"/><Relationship Id="rId9" Type="http://schemas.openxmlformats.org/officeDocument/2006/relationships/hyperlink" Target="https://www.canada.ca/en/revenue-agency/services/benefits/recovery-sickness-benefit/crsb-statistics.html" TargetMode="External"/><Relationship Id="rId172" Type="http://schemas.openxmlformats.org/officeDocument/2006/relationships/hyperlink" Target="https://www.ourcommons.ca/DocumentViewer/en/43-2/OGGO/related-document/11193033" TargetMode="External"/><Relationship Id="rId180" Type="http://schemas.openxmlformats.org/officeDocument/2006/relationships/hyperlink" Target="https://www.ourcommons.ca/DocumentViewer/en/43-2/OGGO/related-document/11193033" TargetMode="External"/><Relationship Id="rId13" Type="http://schemas.openxmlformats.org/officeDocument/2006/relationships/hyperlink" Target="https://www.pbo-dpb.gc.ca/web/default/files/Documents/Info%20Requests/2020/IR0547_CRA_RRIF_request_e.pdf" TargetMode="External"/><Relationship Id="rId18" Type="http://schemas.openxmlformats.org/officeDocument/2006/relationships/hyperlink" Target="https://www.canada.ca/en/revenue-agency/services/benefits/emergency-student-benefit/cesb-statistics.html" TargetMode="External"/><Relationship Id="rId39" Type="http://schemas.openxmlformats.org/officeDocument/2006/relationships/hyperlink" Target="https://www.pbo-dpb.gc.ca/web/default/files/Documents/Info%20Requests/2020/IR0456_AAFC_COVID-19_Allocations_request_e_signed.pdf" TargetMode="External"/><Relationship Id="rId109" Type="http://schemas.openxmlformats.org/officeDocument/2006/relationships/hyperlink" Target="https://www.canada.ca/en/revenue-agency/services/subsidy/emergency-rent-subsidy/cers-statistics.html" TargetMode="External"/><Relationship Id="rId34" Type="http://schemas.openxmlformats.org/officeDocument/2006/relationships/hyperlink" Target="https://www.pbo-dpb.gc.ca/web/default/files/Documents/Info%20Requests/2020/IR0469_Heritage_COVID-19_Measures_request_e_signed.pdf" TargetMode="External"/><Relationship Id="rId50" Type="http://schemas.openxmlformats.org/officeDocument/2006/relationships/hyperlink" Target="https://www.pbo-dpb.gc.ca/web/default/files/Documents/Info%20Requests/2020/IR0517_CRA_COVID19_followup_request_e.pdf" TargetMode="External"/><Relationship Id="rId55" Type="http://schemas.openxmlformats.org/officeDocument/2006/relationships/hyperlink" Target="https://www.pbo-dpb.gc.ca/web/default/files/Documents/Info%20Requests/2020/IR0456_AAFC_COVID-19_Allocations_request_e_signed.pdf" TargetMode="External"/><Relationship Id="rId76" Type="http://schemas.openxmlformats.org/officeDocument/2006/relationships/hyperlink" Target="https://www.pbo-dpb.gc.ca/web/default/files/Documents/Info%20Requests/2020/IR0547_CRA_RRIF_request_e.pdf" TargetMode="External"/><Relationship Id="rId97" Type="http://schemas.openxmlformats.org/officeDocument/2006/relationships/hyperlink" Target="https://www.pbo-dpb.gc.ca/web/default/files/Documents/Info%20Requests/2020/IR0524_ISED_COVID19_update_2_request_e.pdf" TargetMode="External"/><Relationship Id="rId104" Type="http://schemas.openxmlformats.org/officeDocument/2006/relationships/hyperlink" Target="https://www.pbo-dpb.gc.ca/web/default/files/Documents/Info%20Requests/2021/IR0585_VIA_COVID_Funding_request_e.pdf" TargetMode="External"/><Relationship Id="rId120" Type="http://schemas.openxmlformats.org/officeDocument/2006/relationships/hyperlink" Target="https://www.ourcommons.ca/DocumentViewer/en/43-2/OGGO/related-document/11193033" TargetMode="External"/><Relationship Id="rId125" Type="http://schemas.openxmlformats.org/officeDocument/2006/relationships/hyperlink" Target="https://www.ourcommons.ca/content/Committee/432/OGGO/WebDoc/WD11193033/432_OGGO_Mar10-Motion/TreasuryBoardSecretariat-e.pdf" TargetMode="External"/><Relationship Id="rId141" Type="http://schemas.openxmlformats.org/officeDocument/2006/relationships/hyperlink" Target="https://www.ourcommons.ca/DocumentViewer/en/43-2/OGGO/related-document/11193033" TargetMode="External"/><Relationship Id="rId146" Type="http://schemas.openxmlformats.org/officeDocument/2006/relationships/hyperlink" Target="https://www.ourcommons.ca/DocumentViewer/en/43-2/OGGO/related-document/11193033" TargetMode="External"/><Relationship Id="rId167" Type="http://schemas.openxmlformats.org/officeDocument/2006/relationships/hyperlink" Target="https://www.ourcommons.ca/DocumentViewer/en/43-2/OGGO/related-document/11193033" TargetMode="External"/><Relationship Id="rId7" Type="http://schemas.openxmlformats.org/officeDocument/2006/relationships/hyperlink" Target="https://www.pbo-dpb.gc.ca/web/default/files/Documents/Info%20Requests/2020/IR0481_CRA_COVID-19_ltr_e.pdf" TargetMode="External"/><Relationship Id="rId71" Type="http://schemas.openxmlformats.org/officeDocument/2006/relationships/hyperlink" Target="https://www.pbo-dpb.gc.ca/web/default/files/Documents/Info%20Requests/2020/IR0561_SSC_COVID-19_Measures_request_e.pdf" TargetMode="External"/><Relationship Id="rId92" Type="http://schemas.openxmlformats.org/officeDocument/2006/relationships/hyperlink" Target="http://www.gazette.gc.ca/rp-pr/p2/2020/2020-10-14/html/sor-dors208-eng.html" TargetMode="External"/><Relationship Id="rId162" Type="http://schemas.openxmlformats.org/officeDocument/2006/relationships/hyperlink" Target="https://www.ourcommons.ca/DocumentViewer/en/43-2/OGGO/related-document/11193033" TargetMode="External"/><Relationship Id="rId2" Type="http://schemas.openxmlformats.org/officeDocument/2006/relationships/hyperlink" Target="https://www.pbo-dpb.gc.ca/web/default/files/Documents/Info%20Requests/2020/IR0558_Heritage_COVID-19_Support_request_e.pdf" TargetMode="External"/><Relationship Id="rId29" Type="http://schemas.openxmlformats.org/officeDocument/2006/relationships/hyperlink" Target="https://www.pbo-dpb.gc.ca/web/default/files/Documents/Info%20Requests/2020/IR0550_FIN_COVID-19_Support_request_e.pdf" TargetMode="External"/><Relationship Id="rId24" Type="http://schemas.openxmlformats.org/officeDocument/2006/relationships/hyperlink" Target="https://www.pbo-dpb.gc.ca/web/default/files/Documents/Info%20Requests/2020/IR0516_CMHC_COVID19_update_2_request_e.pdf" TargetMode="External"/><Relationship Id="rId40" Type="http://schemas.openxmlformats.org/officeDocument/2006/relationships/hyperlink" Target="https://www.pbo-dpb.gc.ca/web/default/files/Documents/Info%20Requests/2020/IR0539_ISED_COVID-19_Funding_request_e.pdf" TargetMode="External"/><Relationship Id="rId45" Type="http://schemas.openxmlformats.org/officeDocument/2006/relationships/hyperlink" Target="https://www.pbo-dpb.gc.ca/web/default/files/Documents/Info%20Requests/2020/IR0522_ISEDC_Granting_Councils_COVID19_request_e.pdf" TargetMode="External"/><Relationship Id="rId66" Type="http://schemas.openxmlformats.org/officeDocument/2006/relationships/hyperlink" Target="https://www.pbo-dpb.gc.ca/web/default/files/Documents/Info%20Requests/2020/IR0530_CIHR_granting_COVID-19_request_e.pdf" TargetMode="External"/><Relationship Id="rId87" Type="http://schemas.openxmlformats.org/officeDocument/2006/relationships/hyperlink" Target="https://www.pbo-dpb.gc.ca/web/default/files/Documents/Info%20Requests/2020/IR0524_ISED_COVID19_update_2_request_e.pdf" TargetMode="External"/><Relationship Id="rId110" Type="http://schemas.openxmlformats.org/officeDocument/2006/relationships/hyperlink" Target="https://www.pbo-dpb.gc.ca/web/default/files/Documents/Info%20Requests/2020/IR0524_ISED_COVID19_update_2_request_e.pdf" TargetMode="External"/><Relationship Id="rId115" Type="http://schemas.openxmlformats.org/officeDocument/2006/relationships/hyperlink" Target="https://www.ourcommons.ca/DocumentViewer/en/43-2/OGGO/related-document/11193033" TargetMode="External"/><Relationship Id="rId131" Type="http://schemas.openxmlformats.org/officeDocument/2006/relationships/hyperlink" Target="https://www.ourcommons.ca/DocumentViewer/en/43-2/OGGO/related-document/11193033" TargetMode="External"/><Relationship Id="rId136" Type="http://schemas.openxmlformats.org/officeDocument/2006/relationships/hyperlink" Target="https://www.ourcommons.ca/DocumentViewer/en/43-2/OGGO/related-document/11193033" TargetMode="External"/><Relationship Id="rId157" Type="http://schemas.openxmlformats.org/officeDocument/2006/relationships/hyperlink" Target="https://www.ourcommons.ca/DocumentViewer/en/43-2/OGGO/related-document/11193033" TargetMode="External"/><Relationship Id="rId178" Type="http://schemas.openxmlformats.org/officeDocument/2006/relationships/hyperlink" Target="https://www.ourcommons.ca/DocumentViewer/en/43-2/OGGO/related-document/11193033" TargetMode="External"/><Relationship Id="rId61" Type="http://schemas.openxmlformats.org/officeDocument/2006/relationships/hyperlink" Target="https://www.pbo-dpb.gc.ca/web/default/files/Documents/Info%20Requests/2020/IR0524_ISED_COVID19_update_2_request_e.pdf" TargetMode="External"/><Relationship Id="rId82" Type="http://schemas.openxmlformats.org/officeDocument/2006/relationships/hyperlink" Target="https://www.pbo-dpb.gc.ca/web/default/files/Documents/Info%20Requests/2020/IR0523_ISC_COVID19_update_2_request_e.pdf" TargetMode="External"/><Relationship Id="rId152" Type="http://schemas.openxmlformats.org/officeDocument/2006/relationships/hyperlink" Target="https://www.ourcommons.ca/DocumentViewer/en/43-2/OGGO/related-document/11193033" TargetMode="External"/><Relationship Id="rId173" Type="http://schemas.openxmlformats.org/officeDocument/2006/relationships/hyperlink" Target="https://www.ourcommons.ca/DocumentViewer/en/43-2/OGGO/related-document/11193033" TargetMode="External"/><Relationship Id="rId19" Type="http://schemas.openxmlformats.org/officeDocument/2006/relationships/hyperlink" Target="https://www.pbo-dpb.gc.ca/web/default/files/Documents/Info%20Requests/2020/IR0480_CMHC_COVID-19_ltr_e.pdf" TargetMode="External"/><Relationship Id="rId14" Type="http://schemas.openxmlformats.org/officeDocument/2006/relationships/hyperlink" Target="https://www.pbo-dpb.gc.ca/web/default/files/Documents/Info%20Requests/2020/IR0550_FIN_COVID-19_Support_request_e.pdf" TargetMode="External"/><Relationship Id="rId30" Type="http://schemas.openxmlformats.org/officeDocument/2006/relationships/hyperlink" Target="https://www.pbo-dpb.gc.ca/web/default/files/Documents/Info%20Requests/2020/IR0551_HC_COVID-19_Measures_request_e.pdf" TargetMode="External"/><Relationship Id="rId35" Type="http://schemas.openxmlformats.org/officeDocument/2006/relationships/hyperlink" Target="https://www.pbo-dpb.gc.ca/web/default/files/Documents/Info%20Requests/2020/IR0494_FIN_COVID-19_Measures_request_e.pdf" TargetMode="External"/><Relationship Id="rId56" Type="http://schemas.openxmlformats.org/officeDocument/2006/relationships/hyperlink" Target="https://www.pbo-dpb.gc.ca/web/default/files/Documents/Info%20Requests/2020/IR0516_CMHC_COVID19_update_2_request_e.pdf" TargetMode="External"/><Relationship Id="rId77" Type="http://schemas.openxmlformats.org/officeDocument/2006/relationships/hyperlink" Target="https://www.pbo-dpb.gc.ca/web/default/files/Documents/Info%20Requests/2020/IR0560_VA_COVID-19_Measures_request_e.pdf" TargetMode="External"/><Relationship Id="rId100" Type="http://schemas.openxmlformats.org/officeDocument/2006/relationships/hyperlink" Target="https://www.pbo-dpb.gc.ca/web/default/files/Documents/Info%20Requests/2021/IR0578_Corr-Serv_COVID_Measures_request_e.pdf" TargetMode="External"/><Relationship Id="rId105" Type="http://schemas.openxmlformats.org/officeDocument/2006/relationships/hyperlink" Target="https://www.pbo-dpb.gc.ca/web/default/files/Documents/Info%20Requests/2021/IR0582_Justice_COVID_Measures_request_e.pdf" TargetMode="External"/><Relationship Id="rId126" Type="http://schemas.openxmlformats.org/officeDocument/2006/relationships/hyperlink" Target="https://www.ourcommons.ca/DocumentViewer/en/43-2/OGGO/related-document/11193033" TargetMode="External"/><Relationship Id="rId147" Type="http://schemas.openxmlformats.org/officeDocument/2006/relationships/hyperlink" Target="https://www.ourcommons.ca/DocumentViewer/en/43-2/OGGO/related-document/11193033" TargetMode="External"/><Relationship Id="rId168" Type="http://schemas.openxmlformats.org/officeDocument/2006/relationships/hyperlink" Target="https://www.ourcommons.ca/DocumentViewer/en/43-2/OGGO/related-document/11193033" TargetMode="External"/><Relationship Id="rId8" Type="http://schemas.openxmlformats.org/officeDocument/2006/relationships/hyperlink" Target="https://www.canada.ca/en/revenue-agency/services/benefits/recovery-benefit/crb-statistics.html" TargetMode="External"/><Relationship Id="rId51" Type="http://schemas.openxmlformats.org/officeDocument/2006/relationships/hyperlink" Target="https://www.pbo-dpb.gc.ca/web/default/files/Documents/Info%20Requests/2020/IR0517_CRA_COVID19_followup_request_e.pdf" TargetMode="External"/><Relationship Id="rId72" Type="http://schemas.openxmlformats.org/officeDocument/2006/relationships/hyperlink" Target="https://www.pbo-dpb.gc.ca/web/default/files/Documents/Info%20Requests/2020/IR0549_ESDC_COVID-19_Measures_Q_request_e.pdf" TargetMode="External"/><Relationship Id="rId93" Type="http://schemas.openxmlformats.org/officeDocument/2006/relationships/hyperlink" Target="https://www.pbo-dpb.gc.ca/web/default/files/Documents/Info%20Requests/2020/IR0524_ISED_COVID19_update_2_request_e.pdf" TargetMode="External"/><Relationship Id="rId98" Type="http://schemas.openxmlformats.org/officeDocument/2006/relationships/hyperlink" Target="https://www.pbo-dpb.gc.ca/web/default/files/Documents/Info%20Requests/2020/IR0550_FIN_COVID-19_Support_request_e.pdf" TargetMode="External"/><Relationship Id="rId121" Type="http://schemas.openxmlformats.org/officeDocument/2006/relationships/hyperlink" Target="https://www.ourcommons.ca/DocumentViewer/en/43-2/OGGO/related-document/11193033" TargetMode="External"/><Relationship Id="rId142" Type="http://schemas.openxmlformats.org/officeDocument/2006/relationships/hyperlink" Target="https://www.ourcommons.ca/DocumentViewer/en/43-2/OGGO/related-document/11193033" TargetMode="External"/><Relationship Id="rId163" Type="http://schemas.openxmlformats.org/officeDocument/2006/relationships/hyperlink" Target="https://www.ourcommons.ca/DocumentViewer/en/43-2/OGGO/related-document/11193033" TargetMode="External"/><Relationship Id="rId3" Type="http://schemas.openxmlformats.org/officeDocument/2006/relationships/hyperlink" Target="https://www.pbo-dpb.gc.ca/web/default/files/Documents/Info%20Requests/2020/IR0474_TC_COVID-19_Measures_request_e_signed.pdf" TargetMode="External"/><Relationship Id="rId25" Type="http://schemas.openxmlformats.org/officeDocument/2006/relationships/hyperlink" Target="https://www.pbo-dpb.gc.ca/web/default/files/Documents/Info%20Requests/2020/IR0521_Finance_Canada_COVID19_update_request_e.pdf" TargetMode="External"/><Relationship Id="rId46" Type="http://schemas.openxmlformats.org/officeDocument/2006/relationships/hyperlink" Target="https://www.pbo-dpb.gc.ca/web/default/files/Documents/Info%20Requests/2020/IR0519_TC_Fed-Bridge-corp_COVID-19_request_e.pdf" TargetMode="External"/><Relationship Id="rId67" Type="http://schemas.openxmlformats.org/officeDocument/2006/relationships/hyperlink" Target="https://www.pbo-dpb.gc.ca/web/default/files/Documents/Info%20Requests/2020/IR0552_NRcan_COVID-19_Measures_request_e.pdf" TargetMode="External"/><Relationship Id="rId116" Type="http://schemas.openxmlformats.org/officeDocument/2006/relationships/hyperlink" Target="https://www.ourcommons.ca/DocumentViewer/en/43-2/OGGO/related-document/11193033" TargetMode="External"/><Relationship Id="rId137" Type="http://schemas.openxmlformats.org/officeDocument/2006/relationships/hyperlink" Target="https://www.ourcommons.ca/DocumentViewer/en/43-2/OGGO/related-document/11193033" TargetMode="External"/><Relationship Id="rId158" Type="http://schemas.openxmlformats.org/officeDocument/2006/relationships/hyperlink" Target="https://www.ourcommons.ca/DocumentViewer/en/43-2/OGGO/related-document/11193033" TargetMode="External"/><Relationship Id="rId20" Type="http://schemas.openxmlformats.org/officeDocument/2006/relationships/hyperlink" Target="https://www.pbo-dpb.gc.ca/web/default/files/Documents/Info%20Requests/2020/IR0523_ISC_COVID19_update_2_request_e.pdf" TargetMode="External"/><Relationship Id="rId41" Type="http://schemas.openxmlformats.org/officeDocument/2006/relationships/hyperlink" Target="https://www.pbo-dpb.gc.ca/web/default/files/Documents/Info%20Requests/2020/IR0539_ISED_COVID-19_Funding_request_e.pdf" TargetMode="External"/><Relationship Id="rId62" Type="http://schemas.openxmlformats.org/officeDocument/2006/relationships/hyperlink" Target="https://www.pbo-dpb.gc.ca/web/default/files/Documents/Info%20Requests/2020/IR0526_NRCCan_COVID19_update_2_request_e.pdf" TargetMode="External"/><Relationship Id="rId83" Type="http://schemas.openxmlformats.org/officeDocument/2006/relationships/hyperlink" Target="https://www.pbo-dpb.gc.ca/web/default/files/Documents/Info%20Requests/2020/IR0523_ISC_COVID19_update_2_request_e.pdf" TargetMode="External"/><Relationship Id="rId88" Type="http://schemas.openxmlformats.org/officeDocument/2006/relationships/hyperlink" Target="https://www.pbo-dpb.gc.ca/web/default/files/Documents/Info%20Requests/2020/IR0492_ECC_COVID-19_Measures_request_e.pdf" TargetMode="External"/><Relationship Id="rId111" Type="http://schemas.openxmlformats.org/officeDocument/2006/relationships/hyperlink" Target="https://www.pbo-dpb.gc.ca/web/default/files/Documents/Info%20Requests/2020/IR0523_ISC_COVID19_update_2_request_e.pdf" TargetMode="External"/><Relationship Id="rId132" Type="http://schemas.openxmlformats.org/officeDocument/2006/relationships/hyperlink" Target="https://www.ourcommons.ca/DocumentViewer/en/43-2/OGGO/related-document/11193033" TargetMode="External"/><Relationship Id="rId153" Type="http://schemas.openxmlformats.org/officeDocument/2006/relationships/hyperlink" Target="https://www.ourcommons.ca/DocumentViewer/en/43-2/OGGO/related-document/11193033" TargetMode="External"/><Relationship Id="rId174" Type="http://schemas.openxmlformats.org/officeDocument/2006/relationships/hyperlink" Target="https://www.ourcommons.ca/DocumentViewer/en/43-2/OGGO/related-document/11193033" TargetMode="External"/><Relationship Id="rId179" Type="http://schemas.openxmlformats.org/officeDocument/2006/relationships/hyperlink" Target="https://www.ourcommons.ca/DocumentViewer/en/43-2/OGGO/related-document/11193033" TargetMode="External"/><Relationship Id="rId15" Type="http://schemas.openxmlformats.org/officeDocument/2006/relationships/hyperlink" Target="https://www.pbo-dpb.gc.ca/web/default/files/Documents/Info%20Requests/2020/IR0517_CRA_COVID19_followup_request_e.pdf" TargetMode="External"/><Relationship Id="rId36" Type="http://schemas.openxmlformats.org/officeDocument/2006/relationships/hyperlink" Target="https://www.pbo-dpb.gc.ca/web/default/files/Documents/Info%20Requests/2020/IR0494_FIN_COVID-19_Measures_request_e.pdf" TargetMode="External"/><Relationship Id="rId57" Type="http://schemas.openxmlformats.org/officeDocument/2006/relationships/hyperlink" Target="https://www.pbo-dpb.gc.ca/web/default/files/Documents/Info%20Requests/2020/IR0516_CMHC_COVID19_update_2_request_e.pdf" TargetMode="External"/><Relationship Id="rId106" Type="http://schemas.openxmlformats.org/officeDocument/2006/relationships/hyperlink" Target="https://www.pbo-dpb.gc.ca/web/default/files/Documents/Info%20Requests/2021/IR0582_Justice_COVID_Measures_request_e.pdf" TargetMode="External"/><Relationship Id="rId127" Type="http://schemas.openxmlformats.org/officeDocument/2006/relationships/hyperlink" Target="https://www.ourcommons.ca/DocumentViewer/en/43-2/OGGO/related-document/11193033" TargetMode="External"/><Relationship Id="rId10" Type="http://schemas.openxmlformats.org/officeDocument/2006/relationships/hyperlink" Target="https://www.canada.ca/en/revenue-agency/services/benefits/recovery-caregiving-benefit/crcb-statistics.html" TargetMode="External"/><Relationship Id="rId31" Type="http://schemas.openxmlformats.org/officeDocument/2006/relationships/hyperlink" Target="https://www.pbo-dpb.gc.ca/web/default/files/Documents/Info%20Requests/2020/IR0549_ESDC_COVID-19_Measures_Q_request_e.pdf" TargetMode="External"/><Relationship Id="rId52" Type="http://schemas.openxmlformats.org/officeDocument/2006/relationships/hyperlink" Target="https://www.pbo-dpb.gc.ca/web/default/files/Documents/Info%20Requests/2020/IR0518_ESDC_COVIID19_update_request_e.pdf" TargetMode="External"/><Relationship Id="rId73" Type="http://schemas.openxmlformats.org/officeDocument/2006/relationships/hyperlink" Target="https://www.pbo-dpb.gc.ca/web/default/files/Documents/Info%20Requests/2020/IR0549_ESDC_COVID-19_Measures_Q_request_e.pdf" TargetMode="External"/><Relationship Id="rId78" Type="http://schemas.openxmlformats.org/officeDocument/2006/relationships/hyperlink" Target="https://www.pbo-dpb.gc.ca/web/default/files/Documents/Info%20Requests/2020/IR0456_AAFC_COVID-19_Allocations_request_e_signed.pdf" TargetMode="External"/><Relationship Id="rId94" Type="http://schemas.openxmlformats.org/officeDocument/2006/relationships/hyperlink" Target="https://www.pbo-dpb.gc.ca/web/default/files/Documents/Info%20Requests/2020/IR0524_ISED_COVID19_update_2_request_e.pdf" TargetMode="External"/><Relationship Id="rId99" Type="http://schemas.openxmlformats.org/officeDocument/2006/relationships/hyperlink" Target="https://www.pbo-dpb.gc.ca/web/default/files/Documents/Info%20Requests/2020/IR0560_VA_COVID-19_Measures_request_e.pdf" TargetMode="External"/><Relationship Id="rId101" Type="http://schemas.openxmlformats.org/officeDocument/2006/relationships/hyperlink" Target="https://www.pbo-dpb.gc.ca/web/default/files/Documents/Info%20Requests/2021/IR0583_NCC_COVID_Measures_request_e.pdf" TargetMode="External"/><Relationship Id="rId122" Type="http://schemas.openxmlformats.org/officeDocument/2006/relationships/hyperlink" Target="https://www.ourcommons.ca/DocumentViewer/en/43-2/OGGO/related-document/11193033" TargetMode="External"/><Relationship Id="rId143" Type="http://schemas.openxmlformats.org/officeDocument/2006/relationships/hyperlink" Target="https://www.ourcommons.ca/DocumentViewer/en/43-2/OGGO/related-document/11193033" TargetMode="External"/><Relationship Id="rId148" Type="http://schemas.openxmlformats.org/officeDocument/2006/relationships/hyperlink" Target="https://www.ourcommons.ca/DocumentViewer/en/43-2/OGGO/related-document/11193033" TargetMode="External"/><Relationship Id="rId164" Type="http://schemas.openxmlformats.org/officeDocument/2006/relationships/hyperlink" Target="https://www.ourcommons.ca/DocumentViewer/en/43-2/OGGO/related-document/11193033" TargetMode="External"/><Relationship Id="rId169" Type="http://schemas.openxmlformats.org/officeDocument/2006/relationships/hyperlink" Target="https://www.ourcommons.ca/DocumentViewer/en/43-2/OGGO/related-document/1119303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79_CDIC_COVID-19_ltr_e.pdf" TargetMode="External"/><Relationship Id="rId13" Type="http://schemas.openxmlformats.org/officeDocument/2006/relationships/hyperlink" Target="https://ceba-cuec.ca/" TargetMode="External"/><Relationship Id="rId3" Type="http://schemas.openxmlformats.org/officeDocument/2006/relationships/hyperlink" Target="https://www.pbo-dpb.gc.ca/web/default/files/Documents/Info%20Requests/2020/IR0480_CMHC_COVID-19_ltr_e.pdf" TargetMode="External"/><Relationship Id="rId7" Type="http://schemas.openxmlformats.org/officeDocument/2006/relationships/hyperlink" Target="https://www.ceefc-cfuec.ca/approved-loans/" TargetMode="External"/><Relationship Id="rId12"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65_EDC_COVID-19%20Measures_request_e_signed.pdf" TargetMode="External"/><Relationship Id="rId1" Type="http://schemas.openxmlformats.org/officeDocument/2006/relationships/hyperlink" Target="https://www.pbo-dpb.gc.ca/web/default/files/Documents/Info%20Requests/2020/IR0465_EDC_COVID-19%20Measures_request_e_signed.pdf" TargetMode="External"/><Relationship Id="rId6" Type="http://schemas.openxmlformats.org/officeDocument/2006/relationships/hyperlink" Target="https://www.pbo-dpb.gc.ca/web/default/files/Documents/Info%20Requests/2020/IR0466_FCC_COVID-19_Measures_request_e_signed.pdf" TargetMode="External"/><Relationship Id="rId11" Type="http://schemas.openxmlformats.org/officeDocument/2006/relationships/hyperlink" Target="https://www.cmhc-schl.gc.ca/en/finance-and-investing/insured-mortgage-purchase-program" TargetMode="External"/><Relationship Id="rId5" Type="http://schemas.openxmlformats.org/officeDocument/2006/relationships/hyperlink" Target="https://www.pbo-dpb.gc.ca/web/default/files/Documents/Info%20Requests/2020/IR0457_BDC_COVID-19_Measures_request_e_signed.pdf" TargetMode="External"/><Relationship Id="rId10" Type="http://schemas.openxmlformats.org/officeDocument/2006/relationships/hyperlink" Target="https://www.pbo-dpb.gc.ca/web/default/files/Documents/Info%20Requests/2020/IR0465_EDC_COVID-19%20Measures_request_e_signed.pdf" TargetMode="External"/><Relationship Id="rId4" Type="http://schemas.openxmlformats.org/officeDocument/2006/relationships/hyperlink" Target="https://www.pbo-dpb.gc.ca/web/default/files/Documents/Info%20Requests/2020/IR0457_BDC_COVID-19_Measures_request_e_signed.pdf" TargetMode="External"/><Relationship Id="rId9" Type="http://schemas.openxmlformats.org/officeDocument/2006/relationships/hyperlink" Target="https://www.pbo-dpb.gc.ca/web/default/files/Documents/Info%20Requests/2020/IR0456_AAFC_COVID-19_Allocations_request_e_signed.pdf"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3_ISC_COVID19_update_2_request_e.pdf" TargetMode="External"/><Relationship Id="rId13" Type="http://schemas.openxmlformats.org/officeDocument/2006/relationships/hyperlink" Target="https://search.open.canada.ca/en/gc/?sort=score%20desc&amp;page=1&amp;search_text=new%20horizons%20seniors&amp;gc-search-orgs=Employment%20and%20Social%20Development%20Canada" TargetMode="External"/><Relationship Id="rId18" Type="http://schemas.openxmlformats.org/officeDocument/2006/relationships/hyperlink" Target="https://www.pbo-dpb.gc.ca/web/default/files/Documents/Info%20Requests/2020/IR0530_CIHR_granting_COVID-19_request_e.pdf" TargetMode="External"/><Relationship Id="rId3" Type="http://schemas.openxmlformats.org/officeDocument/2006/relationships/hyperlink" Target="https://www.pbo-dpb.gc.ca/web/default/files/Documents/Info%20Requests/2020/IR0526_NRCCan_COVID19_update_2_request_e.pdf" TargetMode="External"/><Relationship Id="rId21" Type="http://schemas.openxmlformats.org/officeDocument/2006/relationships/hyperlink" Target="https://www.pbo-dpb.gc.ca/web/default/files/Documents/Info%20Requests/2020/IR0526_NRCCan_COVID19_update_2_request_e.pdf" TargetMode="External"/><Relationship Id="rId7" Type="http://schemas.openxmlformats.org/officeDocument/2006/relationships/hyperlink" Target="https://www.pbo-dpb.gc.ca/web/default/files/Documents/Info%20Requests/2020/IR0524_ISED_COVID19_update_2_request_e.pdf" TargetMode="External"/><Relationship Id="rId12" Type="http://schemas.openxmlformats.org/officeDocument/2006/relationships/hyperlink" Target="https://www.pbo-dpb.gc.ca/web/default/files/Documents/Info%20Requests/2020/IR0564_ESDC_COVID-19_Measures_T_request_e.pdf" TargetMode="External"/><Relationship Id="rId17" Type="http://schemas.openxmlformats.org/officeDocument/2006/relationships/hyperlink" Target="http://gazette.gc.ca/rp-pr/p2/2020/2020-08-19/html/sor-dors173-eng.html" TargetMode="External"/><Relationship Id="rId25" Type="http://schemas.openxmlformats.org/officeDocument/2006/relationships/printerSettings" Target="../printerSettings/printerSettings5.bin"/><Relationship Id="rId2" Type="http://schemas.openxmlformats.org/officeDocument/2006/relationships/hyperlink" Target="https://www.pbo-dpb.gc.ca/web/default/files/Documents/Info%20Requests/2020/IR0522_ISEDC_Granting_Councils_COVID19_request_e.pdf" TargetMode="External"/><Relationship Id="rId16" Type="http://schemas.openxmlformats.org/officeDocument/2006/relationships/hyperlink" Target="https://www.pbo-dpb.gc.ca/web/default/files/Documents/Info%20Requests/2020/IR0524_ISED_COVID19_update_2_request_e.pdf" TargetMode="External"/><Relationship Id="rId20" Type="http://schemas.openxmlformats.org/officeDocument/2006/relationships/hyperlink" Target="https://www.pbo-dpb.gc.ca/web/default/files/Documents/Info%20Requests/2020/IR0526_NRCCan_COVID19_update_2_request_e.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26_NRCCan_COVID19_update_2_request_e.pdf" TargetMode="External"/><Relationship Id="rId11" Type="http://schemas.openxmlformats.org/officeDocument/2006/relationships/hyperlink" Target="https://www.pbo-dpb.gc.ca/web/default/files/Documents/Info%20Requests/2020/IR0562_CCOHS_COVID-19_Measures_request_e.pdf" TargetMode="External"/><Relationship Id="rId24" Type="http://schemas.openxmlformats.org/officeDocument/2006/relationships/hyperlink" Target="https://www.pbo-dpb.gc.ca/web/default/files/Documents/Info%20Requests/2020/IR0561_SSC_COVID-19_Measures_request_e.pdf" TargetMode="External"/><Relationship Id="rId5" Type="http://schemas.openxmlformats.org/officeDocument/2006/relationships/hyperlink" Target="https://www.pbo-dpb.gc.ca/web/default/files/Documents/Info%20Requests/2020/IR0519_TC_Fed-Bridge-corp_COVID-19_request_e.pdf" TargetMode="External"/><Relationship Id="rId15" Type="http://schemas.openxmlformats.org/officeDocument/2006/relationships/hyperlink" Target="https://www.canada.ca/en/employment-social-development/services/work-sharing/statistics.html" TargetMode="External"/><Relationship Id="rId23" Type="http://schemas.openxmlformats.org/officeDocument/2006/relationships/hyperlink" Target="https://www.pbo-dpb.gc.ca/web/default/files/Documents/Info%20Requests/2020/IR0523_ISC_COVID19_update_2_request_e.pdf" TargetMode="External"/><Relationship Id="rId10" Type="http://schemas.openxmlformats.org/officeDocument/2006/relationships/hyperlink" Target="https://www.pbo-dpb.gc.ca/web/default/files/Documents/Info%20Requests/2020/IR0561_SSC_COVID-19_Measures_request_e.pdf" TargetMode="External"/><Relationship Id="rId19" Type="http://schemas.openxmlformats.org/officeDocument/2006/relationships/hyperlink" Target="https://www.pbo-dpb.gc.ca/web/default/files/Documents/Info%20Requests/2020/IR0519_TC_Fed-Bridge-corp_COVID-19_request_e.pdf" TargetMode="External"/><Relationship Id="rId4" Type="http://schemas.openxmlformats.org/officeDocument/2006/relationships/hyperlink" Target="https://www.pbo-dpb.gc.ca/web/default/files/Documents/Info%20Requests/2020/IR0524_ISED_COVID19_update_2_request_e.pdf" TargetMode="External"/><Relationship Id="rId9" Type="http://schemas.openxmlformats.org/officeDocument/2006/relationships/hyperlink" Target="https://www.pbo-dpb.gc.ca/web/default/files/Documents/Info%20Requests/2020/IR0548_Des-Can_COVID-19_Measures_request_e.pdf" TargetMode="External"/><Relationship Id="rId14" Type="http://schemas.openxmlformats.org/officeDocument/2006/relationships/hyperlink" Target="https://www.pbo-dpb.gc.ca/web/default/files/Documents/Info%20Requests/2020/IR0483_ESDC_COVID-19_ltr_e.pdf" TargetMode="External"/><Relationship Id="rId22" Type="http://schemas.openxmlformats.org/officeDocument/2006/relationships/hyperlink" Target="https://www.pbo-dpb.gc.ca/web/default/files/Documents/Info%20Requests/2020/IR0524_ISED_COVID19_update_2_request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6C36-EE25-43D8-8250-29CBD7B14DB0}">
  <dimension ref="A1:B34"/>
  <sheetViews>
    <sheetView showGridLines="0" tabSelected="1" zoomScale="80" zoomScaleNormal="80" workbookViewId="0"/>
  </sheetViews>
  <sheetFormatPr defaultRowHeight="15" x14ac:dyDescent="0.25"/>
  <cols>
    <col min="1" max="1" width="31.28515625" customWidth="1"/>
    <col min="2" max="2" width="28.140625" customWidth="1"/>
  </cols>
  <sheetData>
    <row r="1" spans="1:1" ht="18.75" x14ac:dyDescent="0.3">
      <c r="A1" s="13" t="s">
        <v>43</v>
      </c>
    </row>
    <row r="2" spans="1:1" x14ac:dyDescent="0.25">
      <c r="A2" t="s">
        <v>44</v>
      </c>
    </row>
    <row r="3" spans="1:1" x14ac:dyDescent="0.25">
      <c r="A3" t="s">
        <v>45</v>
      </c>
    </row>
    <row r="5" spans="1:1" ht="15.75" x14ac:dyDescent="0.25">
      <c r="A5" s="14" t="s">
        <v>46</v>
      </c>
    </row>
    <row r="6" spans="1:1" s="251" customFormat="1" ht="15.75" x14ac:dyDescent="0.25">
      <c r="A6" s="291" t="s">
        <v>629</v>
      </c>
    </row>
    <row r="7" spans="1:1" x14ac:dyDescent="0.25">
      <c r="A7" t="s">
        <v>47</v>
      </c>
    </row>
    <row r="8" spans="1:1" x14ac:dyDescent="0.25">
      <c r="A8" t="s">
        <v>627</v>
      </c>
    </row>
    <row r="9" spans="1:1" s="54" customFormat="1" x14ac:dyDescent="0.25">
      <c r="A9" s="54" t="s">
        <v>376</v>
      </c>
    </row>
    <row r="11" spans="1:1" ht="15.75" x14ac:dyDescent="0.25">
      <c r="A11" s="14" t="s">
        <v>48</v>
      </c>
    </row>
    <row r="12" spans="1:1" x14ac:dyDescent="0.25">
      <c r="A12" t="s">
        <v>345</v>
      </c>
    </row>
    <row r="13" spans="1:1" x14ac:dyDescent="0.25">
      <c r="A13" s="15" t="s">
        <v>0</v>
      </c>
    </row>
    <row r="14" spans="1:1" x14ac:dyDescent="0.25">
      <c r="A14" s="15" t="s">
        <v>49</v>
      </c>
    </row>
    <row r="15" spans="1:1" x14ac:dyDescent="0.25">
      <c r="A15" s="15" t="s">
        <v>50</v>
      </c>
    </row>
    <row r="16" spans="1:1" x14ac:dyDescent="0.25">
      <c r="A16" s="15" t="s">
        <v>51</v>
      </c>
    </row>
    <row r="17" spans="1:2" x14ac:dyDescent="0.25">
      <c r="A17" t="s">
        <v>346</v>
      </c>
    </row>
    <row r="18" spans="1:2" x14ac:dyDescent="0.25">
      <c r="A18" s="16" t="s">
        <v>347</v>
      </c>
    </row>
    <row r="20" spans="1:2" ht="15.75" x14ac:dyDescent="0.25">
      <c r="A20" s="14" t="s">
        <v>52</v>
      </c>
    </row>
    <row r="21" spans="1:2" x14ac:dyDescent="0.25">
      <c r="A21" s="17" t="s">
        <v>53</v>
      </c>
      <c r="B21" t="s">
        <v>54</v>
      </c>
    </row>
    <row r="22" spans="1:2" x14ac:dyDescent="0.25">
      <c r="A22" s="17" t="s">
        <v>55</v>
      </c>
      <c r="B22" t="s">
        <v>56</v>
      </c>
    </row>
    <row r="23" spans="1:2" x14ac:dyDescent="0.25">
      <c r="A23" s="17" t="s">
        <v>57</v>
      </c>
      <c r="B23" t="s">
        <v>391</v>
      </c>
    </row>
    <row r="24" spans="1:2" x14ac:dyDescent="0.25">
      <c r="A24" s="17" t="s">
        <v>58</v>
      </c>
      <c r="B24" t="s">
        <v>59</v>
      </c>
    </row>
    <row r="25" spans="1:2" x14ac:dyDescent="0.25">
      <c r="A25" s="17" t="s">
        <v>60</v>
      </c>
      <c r="B25" t="s">
        <v>61</v>
      </c>
    </row>
    <row r="26" spans="1:2" x14ac:dyDescent="0.25">
      <c r="A26" s="17" t="s">
        <v>393</v>
      </c>
      <c r="B26" t="s">
        <v>392</v>
      </c>
    </row>
    <row r="28" spans="1:2" ht="15.75" x14ac:dyDescent="0.25">
      <c r="A28" s="18" t="s">
        <v>62</v>
      </c>
    </row>
    <row r="29" spans="1:2" x14ac:dyDescent="0.25">
      <c r="A29" t="s">
        <v>351</v>
      </c>
    </row>
    <row r="30" spans="1:2" x14ac:dyDescent="0.25">
      <c r="A30" t="s">
        <v>63</v>
      </c>
    </row>
    <row r="31" spans="1:2" x14ac:dyDescent="0.25">
      <c r="A31" t="s">
        <v>64</v>
      </c>
    </row>
    <row r="32" spans="1:2" x14ac:dyDescent="0.25">
      <c r="A32" s="54" t="s">
        <v>414</v>
      </c>
    </row>
    <row r="33" spans="1:1" s="54" customFormat="1" x14ac:dyDescent="0.25">
      <c r="A33" s="54" t="s">
        <v>514</v>
      </c>
    </row>
    <row r="34" spans="1:1" x14ac:dyDescent="0.25">
      <c r="A34" t="s">
        <v>520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Q200"/>
  <sheetViews>
    <sheetView showGridLines="0" zoomScale="70" zoomScaleNormal="70" workbookViewId="0"/>
  </sheetViews>
  <sheetFormatPr defaultRowHeight="15" x14ac:dyDescent="0.25"/>
  <cols>
    <col min="1" max="1" width="68.7109375" bestFit="1" customWidth="1"/>
    <col min="2" max="2" width="42.7109375" style="54" bestFit="1" customWidth="1"/>
    <col min="3" max="3" width="26.140625" bestFit="1" customWidth="1"/>
    <col min="4" max="4" width="40.28515625" customWidth="1"/>
    <col min="5" max="5" width="26.85546875" bestFit="1" customWidth="1"/>
    <col min="6" max="6" width="57.5703125" style="54" customWidth="1"/>
    <col min="7" max="7" width="35.28515625" bestFit="1" customWidth="1"/>
    <col min="8" max="8" width="26.140625" style="54" bestFit="1" customWidth="1"/>
    <col min="9" max="9" width="40.28515625" style="54" customWidth="1"/>
    <col min="10" max="10" width="26.85546875" style="54" bestFit="1" customWidth="1"/>
    <col min="11" max="11" width="57.5703125" style="54" customWidth="1"/>
    <col min="12" max="12" width="35.28515625" style="54" bestFit="1" customWidth="1"/>
    <col min="13" max="13" width="17" customWidth="1"/>
    <col min="14" max="14" width="13.7109375" bestFit="1" customWidth="1"/>
    <col min="15" max="15" width="20.85546875" customWidth="1"/>
    <col min="16" max="16" width="40.140625" customWidth="1"/>
    <col min="17" max="17" width="20.140625" customWidth="1"/>
  </cols>
  <sheetData>
    <row r="1" spans="1:17" x14ac:dyDescent="0.25">
      <c r="A1" s="2" t="s">
        <v>0</v>
      </c>
      <c r="B1" s="2"/>
    </row>
    <row r="2" spans="1:17" ht="15.75" thickBot="1" x14ac:dyDescent="0.3">
      <c r="A2" s="1"/>
      <c r="B2" s="1"/>
      <c r="C2" s="315" t="s">
        <v>507</v>
      </c>
      <c r="D2" s="315"/>
      <c r="E2" s="315"/>
      <c r="F2" s="315"/>
      <c r="G2" s="315"/>
      <c r="H2" s="315" t="s">
        <v>508</v>
      </c>
      <c r="I2" s="315"/>
      <c r="J2" s="315"/>
      <c r="K2" s="315"/>
      <c r="L2" s="315"/>
    </row>
    <row r="3" spans="1:17" ht="17.25" x14ac:dyDescent="0.25">
      <c r="A3" s="3" t="s">
        <v>0</v>
      </c>
      <c r="B3" s="75" t="s">
        <v>381</v>
      </c>
      <c r="C3" s="224" t="s">
        <v>509</v>
      </c>
      <c r="D3" s="224" t="s">
        <v>1</v>
      </c>
      <c r="E3" s="224" t="s">
        <v>515</v>
      </c>
      <c r="F3" s="225" t="s">
        <v>344</v>
      </c>
      <c r="G3" s="224" t="s">
        <v>512</v>
      </c>
      <c r="H3" s="224" t="s">
        <v>510</v>
      </c>
      <c r="I3" s="224" t="s">
        <v>1</v>
      </c>
      <c r="J3" s="224" t="s">
        <v>515</v>
      </c>
      <c r="K3" s="225" t="s">
        <v>344</v>
      </c>
      <c r="L3" s="224" t="s">
        <v>513</v>
      </c>
      <c r="M3" s="4" t="s">
        <v>2</v>
      </c>
      <c r="N3" s="4" t="s">
        <v>3</v>
      </c>
      <c r="O3" s="4" t="s">
        <v>4</v>
      </c>
      <c r="P3" s="4" t="s">
        <v>5</v>
      </c>
      <c r="Q3" s="5" t="s">
        <v>6</v>
      </c>
    </row>
    <row r="4" spans="1:17" ht="60" customHeight="1" x14ac:dyDescent="0.25">
      <c r="A4" s="319" t="s">
        <v>7</v>
      </c>
      <c r="B4" s="322">
        <f>14000+4809</f>
        <v>18809</v>
      </c>
      <c r="C4" s="174" t="s">
        <v>8</v>
      </c>
      <c r="D4" s="177" t="s">
        <v>9</v>
      </c>
      <c r="E4" s="181" t="s">
        <v>10</v>
      </c>
      <c r="F4" s="177" t="s">
        <v>359</v>
      </c>
      <c r="G4" s="143">
        <v>1.2</v>
      </c>
      <c r="H4" s="296"/>
      <c r="I4" s="296"/>
      <c r="J4" s="296"/>
      <c r="K4" s="296"/>
      <c r="L4" s="296"/>
      <c r="M4" s="296" t="s">
        <v>11</v>
      </c>
      <c r="N4" s="379" t="s">
        <v>12</v>
      </c>
      <c r="O4" s="296" t="s">
        <v>19</v>
      </c>
      <c r="P4" s="330" t="s">
        <v>386</v>
      </c>
      <c r="Q4" s="332">
        <v>44257</v>
      </c>
    </row>
    <row r="5" spans="1:17" s="54" customFormat="1" x14ac:dyDescent="0.25">
      <c r="A5" s="320"/>
      <c r="B5" s="323"/>
      <c r="C5" s="181" t="s">
        <v>415</v>
      </c>
      <c r="D5" s="59" t="s">
        <v>9</v>
      </c>
      <c r="E5" s="181" t="s">
        <v>16</v>
      </c>
      <c r="F5" s="177" t="s">
        <v>111</v>
      </c>
      <c r="G5" s="143">
        <v>2.5</v>
      </c>
      <c r="H5" s="297"/>
      <c r="I5" s="297"/>
      <c r="J5" s="297"/>
      <c r="K5" s="297"/>
      <c r="L5" s="297"/>
      <c r="M5" s="297"/>
      <c r="N5" s="380"/>
      <c r="O5" s="297"/>
      <c r="P5" s="401"/>
      <c r="Q5" s="333"/>
    </row>
    <row r="6" spans="1:17" s="54" customFormat="1" x14ac:dyDescent="0.25">
      <c r="A6" s="320"/>
      <c r="B6" s="323"/>
      <c r="C6" s="181" t="s">
        <v>415</v>
      </c>
      <c r="D6" s="59" t="s">
        <v>20</v>
      </c>
      <c r="E6" s="181" t="s">
        <v>16</v>
      </c>
      <c r="F6" s="177" t="s">
        <v>111</v>
      </c>
      <c r="G6" s="143">
        <v>-2.5</v>
      </c>
      <c r="H6" s="298"/>
      <c r="I6" s="298"/>
      <c r="J6" s="298"/>
      <c r="K6" s="298"/>
      <c r="L6" s="298"/>
      <c r="M6" s="298"/>
      <c r="N6" s="381"/>
      <c r="O6" s="298"/>
      <c r="P6" s="331"/>
      <c r="Q6" s="334"/>
    </row>
    <row r="7" spans="1:17" ht="60" x14ac:dyDescent="0.25">
      <c r="A7" s="320"/>
      <c r="B7" s="323"/>
      <c r="C7" s="174" t="s">
        <v>8</v>
      </c>
      <c r="D7" s="177" t="s">
        <v>14</v>
      </c>
      <c r="E7" s="181" t="s">
        <v>10</v>
      </c>
      <c r="F7" s="177" t="s">
        <v>359</v>
      </c>
      <c r="G7" s="143">
        <v>12276.726000000001</v>
      </c>
      <c r="H7" s="296"/>
      <c r="I7" s="296"/>
      <c r="J7" s="296"/>
      <c r="K7" s="296"/>
      <c r="L7" s="296"/>
      <c r="M7" s="360" t="s">
        <v>11</v>
      </c>
      <c r="N7" s="350" t="s">
        <v>15</v>
      </c>
      <c r="O7" s="329" t="s">
        <v>475</v>
      </c>
      <c r="P7" s="384" t="s">
        <v>450</v>
      </c>
      <c r="Q7" s="361">
        <v>44255</v>
      </c>
    </row>
    <row r="8" spans="1:17" x14ac:dyDescent="0.25">
      <c r="A8" s="320"/>
      <c r="B8" s="323"/>
      <c r="C8" s="174" t="s">
        <v>8</v>
      </c>
      <c r="D8" s="176" t="s">
        <v>14</v>
      </c>
      <c r="E8" s="181" t="s">
        <v>16</v>
      </c>
      <c r="F8" s="108" t="s">
        <v>111</v>
      </c>
      <c r="G8" s="143">
        <v>700</v>
      </c>
      <c r="H8" s="298"/>
      <c r="I8" s="298"/>
      <c r="J8" s="298"/>
      <c r="K8" s="298"/>
      <c r="L8" s="298"/>
      <c r="M8" s="360"/>
      <c r="N8" s="350"/>
      <c r="O8" s="329"/>
      <c r="P8" s="384"/>
      <c r="Q8" s="399"/>
    </row>
    <row r="9" spans="1:17" ht="60" x14ac:dyDescent="0.25">
      <c r="A9" s="320"/>
      <c r="B9" s="323"/>
      <c r="C9" s="174" t="s">
        <v>8</v>
      </c>
      <c r="D9" s="177" t="s">
        <v>17</v>
      </c>
      <c r="E9" s="181" t="s">
        <v>10</v>
      </c>
      <c r="F9" s="177" t="s">
        <v>359</v>
      </c>
      <c r="G9" s="143">
        <v>622.26666599999999</v>
      </c>
      <c r="H9" s="296"/>
      <c r="I9" s="296"/>
      <c r="J9" s="296"/>
      <c r="K9" s="296"/>
      <c r="L9" s="296"/>
      <c r="M9" s="296" t="s">
        <v>11</v>
      </c>
      <c r="N9" s="379" t="s">
        <v>18</v>
      </c>
      <c r="O9" s="296" t="s">
        <v>19</v>
      </c>
      <c r="P9" s="372" t="s">
        <v>497</v>
      </c>
      <c r="Q9" s="332">
        <v>44255</v>
      </c>
    </row>
    <row r="10" spans="1:17" s="54" customFormat="1" x14ac:dyDescent="0.25">
      <c r="A10" s="320"/>
      <c r="B10" s="323"/>
      <c r="C10" s="174" t="s">
        <v>8</v>
      </c>
      <c r="D10" s="177" t="s">
        <v>17</v>
      </c>
      <c r="E10" s="181" t="s">
        <v>16</v>
      </c>
      <c r="F10" s="108" t="s">
        <v>111</v>
      </c>
      <c r="G10" s="143">
        <v>320.13333399999999</v>
      </c>
      <c r="H10" s="297"/>
      <c r="I10" s="297"/>
      <c r="J10" s="297"/>
      <c r="K10" s="297"/>
      <c r="L10" s="297"/>
      <c r="M10" s="297"/>
      <c r="N10" s="380"/>
      <c r="O10" s="297"/>
      <c r="P10" s="373"/>
      <c r="Q10" s="333"/>
    </row>
    <row r="11" spans="1:17" s="54" customFormat="1" ht="60" x14ac:dyDescent="0.25">
      <c r="A11" s="320"/>
      <c r="B11" s="323"/>
      <c r="C11" s="174" t="s">
        <v>415</v>
      </c>
      <c r="D11" s="177" t="s">
        <v>17</v>
      </c>
      <c r="E11" s="181" t="s">
        <v>10</v>
      </c>
      <c r="F11" s="177" t="s">
        <v>359</v>
      </c>
      <c r="G11" s="144">
        <v>-522.88831300000004</v>
      </c>
      <c r="H11" s="297"/>
      <c r="I11" s="297"/>
      <c r="J11" s="297"/>
      <c r="K11" s="297"/>
      <c r="L11" s="297"/>
      <c r="M11" s="297"/>
      <c r="N11" s="380"/>
      <c r="O11" s="297"/>
      <c r="P11" s="373"/>
      <c r="Q11" s="333"/>
    </row>
    <row r="12" spans="1:17" s="54" customFormat="1" x14ac:dyDescent="0.25">
      <c r="A12" s="320"/>
      <c r="B12" s="323"/>
      <c r="C12" s="174" t="s">
        <v>415</v>
      </c>
      <c r="D12" s="177" t="s">
        <v>17</v>
      </c>
      <c r="E12" s="181" t="s">
        <v>16</v>
      </c>
      <c r="F12" s="108" t="s">
        <v>111</v>
      </c>
      <c r="G12" s="144">
        <f>504.570313+18.248+0.07</f>
        <v>522.88831300000004</v>
      </c>
      <c r="H12" s="297"/>
      <c r="I12" s="297"/>
      <c r="J12" s="297"/>
      <c r="K12" s="297"/>
      <c r="L12" s="297"/>
      <c r="M12" s="297"/>
      <c r="N12" s="380"/>
      <c r="O12" s="297"/>
      <c r="P12" s="373"/>
      <c r="Q12" s="333"/>
    </row>
    <row r="13" spans="1:17" ht="60" x14ac:dyDescent="0.25">
      <c r="A13" s="320"/>
      <c r="B13" s="323"/>
      <c r="C13" s="174" t="s">
        <v>8</v>
      </c>
      <c r="D13" s="177" t="s">
        <v>17</v>
      </c>
      <c r="E13" s="181" t="s">
        <v>10</v>
      </c>
      <c r="F13" s="177" t="s">
        <v>359</v>
      </c>
      <c r="G13" s="143">
        <v>3347.0251779999999</v>
      </c>
      <c r="H13" s="297"/>
      <c r="I13" s="297"/>
      <c r="J13" s="297"/>
      <c r="K13" s="297"/>
      <c r="L13" s="297"/>
      <c r="M13" s="297"/>
      <c r="N13" s="380"/>
      <c r="O13" s="297"/>
      <c r="P13" s="373"/>
      <c r="Q13" s="333"/>
    </row>
    <row r="14" spans="1:17" s="54" customFormat="1" x14ac:dyDescent="0.25">
      <c r="A14" s="320"/>
      <c r="B14" s="323"/>
      <c r="C14" s="174" t="s">
        <v>8</v>
      </c>
      <c r="D14" s="177" t="s">
        <v>17</v>
      </c>
      <c r="E14" s="181" t="s">
        <v>16</v>
      </c>
      <c r="F14" s="108" t="s">
        <v>111</v>
      </c>
      <c r="G14" s="143">
        <v>2202.8748220000002</v>
      </c>
      <c r="H14" s="297"/>
      <c r="I14" s="297"/>
      <c r="J14" s="297"/>
      <c r="K14" s="297"/>
      <c r="L14" s="297"/>
      <c r="M14" s="297"/>
      <c r="N14" s="380"/>
      <c r="O14" s="297"/>
      <c r="P14" s="373"/>
      <c r="Q14" s="333"/>
    </row>
    <row r="15" spans="1:17" s="54" customFormat="1" ht="60" x14ac:dyDescent="0.25">
      <c r="A15" s="320"/>
      <c r="B15" s="323"/>
      <c r="C15" s="174" t="s">
        <v>415</v>
      </c>
      <c r="D15" s="177" t="s">
        <v>17</v>
      </c>
      <c r="E15" s="181" t="s">
        <v>10</v>
      </c>
      <c r="F15" s="177" t="s">
        <v>359</v>
      </c>
      <c r="G15" s="144">
        <v>-1722.2837</v>
      </c>
      <c r="H15" s="297"/>
      <c r="I15" s="297"/>
      <c r="J15" s="297"/>
      <c r="K15" s="297"/>
      <c r="L15" s="297"/>
      <c r="M15" s="297"/>
      <c r="N15" s="380"/>
      <c r="O15" s="297"/>
      <c r="P15" s="373"/>
      <c r="Q15" s="333"/>
    </row>
    <row r="16" spans="1:17" s="54" customFormat="1" x14ac:dyDescent="0.25">
      <c r="A16" s="320"/>
      <c r="B16" s="323"/>
      <c r="C16" s="174" t="s">
        <v>415</v>
      </c>
      <c r="D16" s="177" t="s">
        <v>17</v>
      </c>
      <c r="E16" s="181" t="s">
        <v>16</v>
      </c>
      <c r="F16" s="177" t="s">
        <v>111</v>
      </c>
      <c r="G16" s="144">
        <v>1722.2837</v>
      </c>
      <c r="H16" s="298"/>
      <c r="I16" s="298"/>
      <c r="J16" s="298"/>
      <c r="K16" s="298"/>
      <c r="L16" s="298"/>
      <c r="M16" s="297"/>
      <c r="N16" s="380"/>
      <c r="O16" s="297"/>
      <c r="P16" s="374"/>
      <c r="Q16" s="333"/>
    </row>
    <row r="17" spans="1:17" ht="60" x14ac:dyDescent="0.25">
      <c r="A17" s="320"/>
      <c r="B17" s="323"/>
      <c r="C17" s="174" t="s">
        <v>8</v>
      </c>
      <c r="D17" s="177" t="s">
        <v>20</v>
      </c>
      <c r="E17" s="181" t="s">
        <v>10</v>
      </c>
      <c r="F17" s="177" t="s">
        <v>360</v>
      </c>
      <c r="G17" s="143">
        <v>18.5</v>
      </c>
      <c r="H17" s="292"/>
      <c r="I17" s="292"/>
      <c r="J17" s="292"/>
      <c r="K17" s="292"/>
      <c r="L17" s="292"/>
      <c r="M17" s="296" t="s">
        <v>11</v>
      </c>
      <c r="N17" s="379" t="s">
        <v>21</v>
      </c>
      <c r="O17" s="366" t="s">
        <v>475</v>
      </c>
      <c r="P17" s="330" t="s">
        <v>559</v>
      </c>
      <c r="Q17" s="332">
        <v>44255</v>
      </c>
    </row>
    <row r="18" spans="1:17" x14ac:dyDescent="0.25">
      <c r="A18" s="320"/>
      <c r="B18" s="323"/>
      <c r="C18" s="174" t="s">
        <v>8</v>
      </c>
      <c r="D18" s="177" t="s">
        <v>20</v>
      </c>
      <c r="E18" s="181" t="s">
        <v>16</v>
      </c>
      <c r="F18" s="108" t="s">
        <v>111</v>
      </c>
      <c r="G18" s="143">
        <f>202.625+112.426062</f>
        <v>315.051062</v>
      </c>
      <c r="H18" s="293"/>
      <c r="I18" s="293"/>
      <c r="J18" s="293"/>
      <c r="K18" s="293"/>
      <c r="L18" s="293"/>
      <c r="M18" s="297"/>
      <c r="N18" s="380"/>
      <c r="O18" s="367"/>
      <c r="P18" s="401"/>
      <c r="Q18" s="333"/>
    </row>
    <row r="19" spans="1:17" s="54" customFormat="1" ht="60" x14ac:dyDescent="0.25">
      <c r="A19" s="320"/>
      <c r="B19" s="323"/>
      <c r="C19" s="174" t="s">
        <v>415</v>
      </c>
      <c r="D19" s="177" t="s">
        <v>20</v>
      </c>
      <c r="E19" s="181" t="s">
        <v>10</v>
      </c>
      <c r="F19" s="177" t="s">
        <v>360</v>
      </c>
      <c r="G19" s="144">
        <v>-16.448232999999998</v>
      </c>
      <c r="H19" s="293"/>
      <c r="I19" s="293"/>
      <c r="J19" s="293"/>
      <c r="K19" s="293"/>
      <c r="L19" s="293"/>
      <c r="M19" s="297"/>
      <c r="N19" s="380"/>
      <c r="O19" s="367"/>
      <c r="P19" s="401"/>
      <c r="Q19" s="333"/>
    </row>
    <row r="20" spans="1:17" s="54" customFormat="1" x14ac:dyDescent="0.25">
      <c r="A20" s="320"/>
      <c r="B20" s="323"/>
      <c r="C20" s="174" t="s">
        <v>415</v>
      </c>
      <c r="D20" s="177" t="s">
        <v>20</v>
      </c>
      <c r="E20" s="181" t="s">
        <v>16</v>
      </c>
      <c r="F20" s="108" t="s">
        <v>111</v>
      </c>
      <c r="G20" s="144">
        <v>16.448232999999998</v>
      </c>
      <c r="H20" s="294"/>
      <c r="I20" s="294"/>
      <c r="J20" s="294"/>
      <c r="K20" s="294"/>
      <c r="L20" s="294"/>
      <c r="M20" s="298"/>
      <c r="N20" s="381"/>
      <c r="O20" s="368"/>
      <c r="P20" s="331"/>
      <c r="Q20" s="334"/>
    </row>
    <row r="21" spans="1:17" ht="60" x14ac:dyDescent="0.25">
      <c r="A21" s="320"/>
      <c r="B21" s="323"/>
      <c r="C21" s="174" t="s">
        <v>8</v>
      </c>
      <c r="D21" s="177" t="s">
        <v>22</v>
      </c>
      <c r="E21" s="181" t="s">
        <v>10</v>
      </c>
      <c r="F21" s="177" t="s">
        <v>359</v>
      </c>
      <c r="G21" s="143">
        <v>100</v>
      </c>
      <c r="H21" s="292"/>
      <c r="I21" s="292"/>
      <c r="J21" s="292"/>
      <c r="K21" s="292"/>
      <c r="L21" s="292"/>
      <c r="M21" s="360" t="s">
        <v>11</v>
      </c>
      <c r="N21" s="350" t="s">
        <v>23</v>
      </c>
      <c r="O21" s="329" t="s">
        <v>475</v>
      </c>
      <c r="P21" s="351" t="s">
        <v>586</v>
      </c>
      <c r="Q21" s="348">
        <v>44255</v>
      </c>
    </row>
    <row r="22" spans="1:17" s="54" customFormat="1" ht="30" x14ac:dyDescent="0.25">
      <c r="A22" s="320"/>
      <c r="B22" s="323"/>
      <c r="C22" s="181" t="s">
        <v>8</v>
      </c>
      <c r="D22" s="177" t="s">
        <v>22</v>
      </c>
      <c r="E22" s="181" t="s">
        <v>16</v>
      </c>
      <c r="F22" s="108" t="s">
        <v>111</v>
      </c>
      <c r="G22" s="143">
        <v>400</v>
      </c>
      <c r="H22" s="293"/>
      <c r="I22" s="293"/>
      <c r="J22" s="293"/>
      <c r="K22" s="293"/>
      <c r="L22" s="293"/>
      <c r="M22" s="360"/>
      <c r="N22" s="350"/>
      <c r="O22" s="329"/>
      <c r="P22" s="351"/>
      <c r="Q22" s="348"/>
    </row>
    <row r="23" spans="1:17" s="54" customFormat="1" ht="60" x14ac:dyDescent="0.25">
      <c r="A23" s="320"/>
      <c r="B23" s="323"/>
      <c r="C23" s="174" t="s">
        <v>415</v>
      </c>
      <c r="D23" s="177" t="s">
        <v>22</v>
      </c>
      <c r="E23" s="181" t="s">
        <v>10</v>
      </c>
      <c r="F23" s="177" t="s">
        <v>359</v>
      </c>
      <c r="G23" s="144">
        <v>-379.99461200000002</v>
      </c>
      <c r="H23" s="293"/>
      <c r="I23" s="293"/>
      <c r="J23" s="293"/>
      <c r="K23" s="293"/>
      <c r="L23" s="293"/>
      <c r="M23" s="360"/>
      <c r="N23" s="350"/>
      <c r="O23" s="329"/>
      <c r="P23" s="351"/>
      <c r="Q23" s="348"/>
    </row>
    <row r="24" spans="1:17" ht="30" x14ac:dyDescent="0.25">
      <c r="A24" s="320"/>
      <c r="B24" s="323"/>
      <c r="C24" s="174" t="s">
        <v>415</v>
      </c>
      <c r="D24" s="177" t="s">
        <v>22</v>
      </c>
      <c r="E24" s="181" t="s">
        <v>16</v>
      </c>
      <c r="F24" s="69" t="s">
        <v>111</v>
      </c>
      <c r="G24" s="143">
        <v>379.99461200000002</v>
      </c>
      <c r="H24" s="294"/>
      <c r="I24" s="294"/>
      <c r="J24" s="294"/>
      <c r="K24" s="294"/>
      <c r="L24" s="294"/>
      <c r="M24" s="360"/>
      <c r="N24" s="350"/>
      <c r="O24" s="329"/>
      <c r="P24" s="351"/>
      <c r="Q24" s="349"/>
    </row>
    <row r="25" spans="1:17" s="54" customFormat="1" x14ac:dyDescent="0.25">
      <c r="A25" s="320"/>
      <c r="B25" s="323"/>
      <c r="C25" s="174" t="s">
        <v>415</v>
      </c>
      <c r="D25" s="177" t="s">
        <v>20</v>
      </c>
      <c r="E25" s="181" t="s">
        <v>16</v>
      </c>
      <c r="F25" s="69" t="s">
        <v>111</v>
      </c>
      <c r="G25" s="143">
        <v>-7</v>
      </c>
      <c r="H25" s="292"/>
      <c r="I25" s="292"/>
      <c r="J25" s="292"/>
      <c r="K25" s="292"/>
      <c r="L25" s="292"/>
      <c r="M25" s="325" t="s">
        <v>443</v>
      </c>
      <c r="N25" s="327" t="s">
        <v>111</v>
      </c>
      <c r="O25" s="329" t="s">
        <v>475</v>
      </c>
      <c r="P25" s="330" t="s">
        <v>606</v>
      </c>
      <c r="Q25" s="316">
        <v>44255</v>
      </c>
    </row>
    <row r="26" spans="1:17" s="54" customFormat="1" x14ac:dyDescent="0.25">
      <c r="A26" s="321"/>
      <c r="B26" s="324"/>
      <c r="C26" s="174" t="s">
        <v>415</v>
      </c>
      <c r="D26" s="177" t="s">
        <v>474</v>
      </c>
      <c r="E26" s="181" t="s">
        <v>16</v>
      </c>
      <c r="F26" s="69" t="s">
        <v>111</v>
      </c>
      <c r="G26" s="143">
        <v>7</v>
      </c>
      <c r="H26" s="294"/>
      <c r="I26" s="294"/>
      <c r="J26" s="294"/>
      <c r="K26" s="294"/>
      <c r="L26" s="294"/>
      <c r="M26" s="326"/>
      <c r="N26" s="328"/>
      <c r="O26" s="329"/>
      <c r="P26" s="331"/>
      <c r="Q26" s="318"/>
    </row>
    <row r="27" spans="1:17" ht="30" x14ac:dyDescent="0.25">
      <c r="A27" s="382" t="s">
        <v>24</v>
      </c>
      <c r="B27" s="322">
        <v>2000</v>
      </c>
      <c r="C27" s="181" t="s">
        <v>8</v>
      </c>
      <c r="D27" s="177" t="s">
        <v>14</v>
      </c>
      <c r="E27" s="181" t="s">
        <v>10</v>
      </c>
      <c r="F27" s="177" t="s">
        <v>357</v>
      </c>
      <c r="G27" s="143">
        <v>1000</v>
      </c>
      <c r="H27" s="292"/>
      <c r="I27" s="292"/>
      <c r="J27" s="292"/>
      <c r="K27" s="292"/>
      <c r="L27" s="292"/>
      <c r="M27" s="311" t="s">
        <v>11</v>
      </c>
      <c r="N27" s="337" t="s">
        <v>15</v>
      </c>
      <c r="O27" s="329" t="s">
        <v>475</v>
      </c>
      <c r="P27" s="338" t="s">
        <v>441</v>
      </c>
      <c r="Q27" s="348">
        <v>44255</v>
      </c>
    </row>
    <row r="28" spans="1:17" x14ac:dyDescent="0.25">
      <c r="A28" s="382"/>
      <c r="B28" s="301"/>
      <c r="C28" s="181" t="s">
        <v>8</v>
      </c>
      <c r="D28" s="177" t="s">
        <v>14</v>
      </c>
      <c r="E28" s="181" t="s">
        <v>16</v>
      </c>
      <c r="F28" s="177" t="s">
        <v>111</v>
      </c>
      <c r="G28" s="143">
        <v>1000</v>
      </c>
      <c r="H28" s="294"/>
      <c r="I28" s="294"/>
      <c r="J28" s="294"/>
      <c r="K28" s="294"/>
      <c r="L28" s="294"/>
      <c r="M28" s="311"/>
      <c r="N28" s="337"/>
      <c r="O28" s="329"/>
      <c r="P28" s="338"/>
      <c r="Q28" s="349"/>
    </row>
    <row r="29" spans="1:17" ht="30" x14ac:dyDescent="0.25">
      <c r="A29" s="319" t="s">
        <v>25</v>
      </c>
      <c r="B29" s="299">
        <f>115+65</f>
        <v>180</v>
      </c>
      <c r="C29" s="174" t="s">
        <v>26</v>
      </c>
      <c r="D29" s="177" t="s">
        <v>27</v>
      </c>
      <c r="E29" s="181" t="s">
        <v>10</v>
      </c>
      <c r="F29" s="177" t="s">
        <v>357</v>
      </c>
      <c r="G29" s="143">
        <v>25</v>
      </c>
      <c r="H29" s="292"/>
      <c r="I29" s="292"/>
      <c r="J29" s="292"/>
      <c r="K29" s="292"/>
      <c r="L29" s="292"/>
      <c r="M29" s="296" t="s">
        <v>11</v>
      </c>
      <c r="N29" s="379" t="s">
        <v>28</v>
      </c>
      <c r="O29" s="366" t="s">
        <v>475</v>
      </c>
      <c r="P29" s="372" t="s">
        <v>545</v>
      </c>
      <c r="Q29" s="332">
        <v>44255</v>
      </c>
    </row>
    <row r="30" spans="1:17" ht="30" x14ac:dyDescent="0.25">
      <c r="A30" s="320"/>
      <c r="B30" s="300"/>
      <c r="C30" s="174" t="s">
        <v>26</v>
      </c>
      <c r="D30" s="177" t="s">
        <v>27</v>
      </c>
      <c r="E30" s="181" t="s">
        <v>10</v>
      </c>
      <c r="F30" s="177" t="s">
        <v>357</v>
      </c>
      <c r="G30" s="143">
        <v>17.3</v>
      </c>
      <c r="H30" s="293"/>
      <c r="I30" s="293"/>
      <c r="J30" s="293"/>
      <c r="K30" s="293"/>
      <c r="L30" s="293"/>
      <c r="M30" s="297"/>
      <c r="N30" s="380"/>
      <c r="O30" s="367"/>
      <c r="P30" s="373"/>
      <c r="Q30" s="333"/>
    </row>
    <row r="31" spans="1:17" ht="30" x14ac:dyDescent="0.25">
      <c r="A31" s="320"/>
      <c r="B31" s="300"/>
      <c r="C31" s="174" t="s">
        <v>26</v>
      </c>
      <c r="D31" s="177" t="s">
        <v>27</v>
      </c>
      <c r="E31" s="181" t="s">
        <v>10</v>
      </c>
      <c r="F31" s="177" t="s">
        <v>357</v>
      </c>
      <c r="G31" s="143">
        <v>72.599999999999994</v>
      </c>
      <c r="H31" s="293"/>
      <c r="I31" s="293"/>
      <c r="J31" s="293"/>
      <c r="K31" s="293"/>
      <c r="L31" s="293"/>
      <c r="M31" s="297"/>
      <c r="N31" s="380"/>
      <c r="O31" s="367"/>
      <c r="P31" s="373"/>
      <c r="Q31" s="333"/>
    </row>
    <row r="32" spans="1:17" s="54" customFormat="1" ht="30" x14ac:dyDescent="0.25">
      <c r="A32" s="321"/>
      <c r="B32" s="301"/>
      <c r="C32" s="174" t="s">
        <v>415</v>
      </c>
      <c r="D32" s="177" t="s">
        <v>27</v>
      </c>
      <c r="E32" s="181" t="s">
        <v>16</v>
      </c>
      <c r="F32" s="177" t="s">
        <v>111</v>
      </c>
      <c r="G32" s="143">
        <v>64.7</v>
      </c>
      <c r="H32" s="294"/>
      <c r="I32" s="294"/>
      <c r="J32" s="294"/>
      <c r="K32" s="294"/>
      <c r="L32" s="294"/>
      <c r="M32" s="298"/>
      <c r="N32" s="381"/>
      <c r="O32" s="368"/>
      <c r="P32" s="374"/>
      <c r="Q32" s="334"/>
    </row>
    <row r="33" spans="1:17" s="54" customFormat="1" x14ac:dyDescent="0.25">
      <c r="A33" s="319" t="s">
        <v>29</v>
      </c>
      <c r="B33" s="299">
        <v>115</v>
      </c>
      <c r="C33" s="302" t="s">
        <v>8</v>
      </c>
      <c r="D33" s="299" t="s">
        <v>30</v>
      </c>
      <c r="E33" s="302" t="s">
        <v>16</v>
      </c>
      <c r="F33" s="299" t="s">
        <v>111</v>
      </c>
      <c r="G33" s="292">
        <f>115.782133</f>
        <v>115.782133</v>
      </c>
      <c r="H33" s="231" t="s">
        <v>511</v>
      </c>
      <c r="I33" s="228" t="s">
        <v>30</v>
      </c>
      <c r="J33" s="229" t="s">
        <v>16</v>
      </c>
      <c r="K33" s="228" t="s">
        <v>111</v>
      </c>
      <c r="L33" s="143">
        <v>58.03445</v>
      </c>
      <c r="M33" s="302" t="s">
        <v>11</v>
      </c>
      <c r="N33" s="353" t="s">
        <v>31</v>
      </c>
      <c r="O33" s="329" t="s">
        <v>475</v>
      </c>
      <c r="P33" s="345" t="s">
        <v>449</v>
      </c>
      <c r="Q33" s="316">
        <v>44255</v>
      </c>
    </row>
    <row r="34" spans="1:17" x14ac:dyDescent="0.25">
      <c r="A34" s="321"/>
      <c r="B34" s="301"/>
      <c r="C34" s="304"/>
      <c r="D34" s="301"/>
      <c r="E34" s="304"/>
      <c r="F34" s="301"/>
      <c r="G34" s="294"/>
      <c r="H34" s="215" t="s">
        <v>511</v>
      </c>
      <c r="I34" s="228" t="s">
        <v>30</v>
      </c>
      <c r="J34" s="215" t="s">
        <v>10</v>
      </c>
      <c r="K34" s="249"/>
      <c r="L34" s="163">
        <v>9.3661999999999995E-2</v>
      </c>
      <c r="M34" s="304"/>
      <c r="N34" s="355"/>
      <c r="O34" s="329"/>
      <c r="P34" s="347"/>
      <c r="Q34" s="336"/>
    </row>
    <row r="35" spans="1:17" ht="30" x14ac:dyDescent="0.25">
      <c r="A35" s="339" t="s">
        <v>32</v>
      </c>
      <c r="B35" s="363">
        <f>305+380+380</f>
        <v>1065</v>
      </c>
      <c r="C35" s="181" t="s">
        <v>26</v>
      </c>
      <c r="D35" s="177" t="s">
        <v>33</v>
      </c>
      <c r="E35" s="181" t="s">
        <v>10</v>
      </c>
      <c r="F35" s="177" t="s">
        <v>357</v>
      </c>
      <c r="G35" s="143">
        <v>305</v>
      </c>
      <c r="H35" s="292"/>
      <c r="I35" s="292"/>
      <c r="J35" s="292"/>
      <c r="K35" s="292"/>
      <c r="L35" s="292"/>
      <c r="M35" s="302" t="s">
        <v>11</v>
      </c>
      <c r="N35" s="353" t="s">
        <v>34</v>
      </c>
      <c r="O35" s="342" t="s">
        <v>475</v>
      </c>
      <c r="P35" s="345" t="s">
        <v>567</v>
      </c>
      <c r="Q35" s="316">
        <v>44255</v>
      </c>
    </row>
    <row r="36" spans="1:17" ht="30" x14ac:dyDescent="0.25">
      <c r="A36" s="340"/>
      <c r="B36" s="364"/>
      <c r="C36" s="181" t="s">
        <v>26</v>
      </c>
      <c r="D36" s="177" t="s">
        <v>33</v>
      </c>
      <c r="E36" s="181" t="s">
        <v>10</v>
      </c>
      <c r="F36" s="177" t="s">
        <v>357</v>
      </c>
      <c r="G36" s="143">
        <v>75</v>
      </c>
      <c r="H36" s="293"/>
      <c r="I36" s="293"/>
      <c r="J36" s="293"/>
      <c r="K36" s="293"/>
      <c r="L36" s="293"/>
      <c r="M36" s="303"/>
      <c r="N36" s="354"/>
      <c r="O36" s="343"/>
      <c r="P36" s="346"/>
      <c r="Q36" s="335"/>
    </row>
    <row r="37" spans="1:17" x14ac:dyDescent="0.25">
      <c r="A37" s="340"/>
      <c r="B37" s="364"/>
      <c r="C37" s="181" t="s">
        <v>8</v>
      </c>
      <c r="D37" s="177" t="s">
        <v>33</v>
      </c>
      <c r="E37" s="181" t="s">
        <v>10</v>
      </c>
      <c r="F37" s="142"/>
      <c r="G37" s="143">
        <v>305</v>
      </c>
      <c r="H37" s="293"/>
      <c r="I37" s="293"/>
      <c r="J37" s="293"/>
      <c r="K37" s="293"/>
      <c r="L37" s="293"/>
      <c r="M37" s="303"/>
      <c r="N37" s="354"/>
      <c r="O37" s="343"/>
      <c r="P37" s="346"/>
      <c r="Q37" s="335"/>
    </row>
    <row r="38" spans="1:17" s="54" customFormat="1" ht="60" x14ac:dyDescent="0.25">
      <c r="A38" s="340"/>
      <c r="B38" s="364"/>
      <c r="C38" s="181" t="s">
        <v>415</v>
      </c>
      <c r="D38" s="177" t="s">
        <v>33</v>
      </c>
      <c r="E38" s="181" t="s">
        <v>10</v>
      </c>
      <c r="F38" s="177" t="s">
        <v>359</v>
      </c>
      <c r="G38" s="143">
        <v>-3.838641</v>
      </c>
      <c r="H38" s="293"/>
      <c r="I38" s="293"/>
      <c r="J38" s="293"/>
      <c r="K38" s="293"/>
      <c r="L38" s="293"/>
      <c r="M38" s="303"/>
      <c r="N38" s="354"/>
      <c r="O38" s="343"/>
      <c r="P38" s="346"/>
      <c r="Q38" s="335"/>
    </row>
    <row r="39" spans="1:17" s="54" customFormat="1" x14ac:dyDescent="0.25">
      <c r="A39" s="341"/>
      <c r="B39" s="365"/>
      <c r="C39" s="181" t="s">
        <v>415</v>
      </c>
      <c r="D39" s="177" t="s">
        <v>33</v>
      </c>
      <c r="E39" s="181" t="s">
        <v>16</v>
      </c>
      <c r="F39" s="177" t="s">
        <v>111</v>
      </c>
      <c r="G39" s="143">
        <v>383.838641</v>
      </c>
      <c r="H39" s="294"/>
      <c r="I39" s="294"/>
      <c r="J39" s="294"/>
      <c r="K39" s="294"/>
      <c r="L39" s="294"/>
      <c r="M39" s="304"/>
      <c r="N39" s="355"/>
      <c r="O39" s="344"/>
      <c r="P39" s="347"/>
      <c r="Q39" s="336"/>
    </row>
    <row r="40" spans="1:17" ht="30" x14ac:dyDescent="0.25">
      <c r="A40" s="319" t="s">
        <v>40</v>
      </c>
      <c r="B40" s="299">
        <v>205</v>
      </c>
      <c r="C40" s="181" t="s">
        <v>8</v>
      </c>
      <c r="D40" s="177" t="s">
        <v>35</v>
      </c>
      <c r="E40" s="181" t="s">
        <v>10</v>
      </c>
      <c r="F40" s="177" t="s">
        <v>361</v>
      </c>
      <c r="G40" s="143">
        <v>63.9</v>
      </c>
      <c r="H40" s="292"/>
      <c r="I40" s="292"/>
      <c r="J40" s="292"/>
      <c r="K40" s="292"/>
      <c r="L40" s="292"/>
      <c r="M40" s="302" t="s">
        <v>11</v>
      </c>
      <c r="N40" s="353" t="s">
        <v>36</v>
      </c>
      <c r="O40" s="329" t="s">
        <v>475</v>
      </c>
      <c r="P40" s="357" t="s">
        <v>454</v>
      </c>
      <c r="Q40" s="316">
        <v>44255</v>
      </c>
    </row>
    <row r="41" spans="1:17" s="54" customFormat="1" ht="30" x14ac:dyDescent="0.25">
      <c r="A41" s="320"/>
      <c r="B41" s="300"/>
      <c r="C41" s="181" t="s">
        <v>415</v>
      </c>
      <c r="D41" s="177" t="s">
        <v>35</v>
      </c>
      <c r="E41" s="181" t="s">
        <v>10</v>
      </c>
      <c r="F41" s="177" t="s">
        <v>361</v>
      </c>
      <c r="G41" s="163">
        <v>-0.12490999999999999</v>
      </c>
      <c r="H41" s="294"/>
      <c r="I41" s="294"/>
      <c r="J41" s="294"/>
      <c r="K41" s="294"/>
      <c r="L41" s="294"/>
      <c r="M41" s="304"/>
      <c r="N41" s="355"/>
      <c r="O41" s="329"/>
      <c r="P41" s="359"/>
      <c r="Q41" s="336"/>
    </row>
    <row r="42" spans="1:17" ht="30" x14ac:dyDescent="0.25">
      <c r="A42" s="320"/>
      <c r="B42" s="300"/>
      <c r="C42" s="181" t="s">
        <v>8</v>
      </c>
      <c r="D42" s="241" t="s">
        <v>33</v>
      </c>
      <c r="E42" s="181" t="s">
        <v>10</v>
      </c>
      <c r="F42" s="177" t="s">
        <v>361</v>
      </c>
      <c r="G42" s="143">
        <v>237.3</v>
      </c>
      <c r="H42" s="292"/>
      <c r="I42" s="292"/>
      <c r="J42" s="292"/>
      <c r="K42" s="292"/>
      <c r="L42" s="292"/>
      <c r="M42" s="302" t="s">
        <v>11</v>
      </c>
      <c r="N42" s="353" t="s">
        <v>38</v>
      </c>
      <c r="O42" s="342" t="s">
        <v>475</v>
      </c>
      <c r="P42" s="357" t="s">
        <v>574</v>
      </c>
      <c r="Q42" s="316">
        <v>44255</v>
      </c>
    </row>
    <row r="43" spans="1:17" x14ac:dyDescent="0.25">
      <c r="A43" s="320"/>
      <c r="B43" s="300"/>
      <c r="C43" s="181" t="s">
        <v>8</v>
      </c>
      <c r="D43" s="241" t="s">
        <v>33</v>
      </c>
      <c r="E43" s="181" t="s">
        <v>16</v>
      </c>
      <c r="F43" s="194" t="s">
        <v>111</v>
      </c>
      <c r="G43" s="143">
        <v>8.1</v>
      </c>
      <c r="H43" s="293"/>
      <c r="I43" s="293"/>
      <c r="J43" s="293"/>
      <c r="K43" s="293"/>
      <c r="L43" s="293"/>
      <c r="M43" s="303"/>
      <c r="N43" s="354"/>
      <c r="O43" s="343"/>
      <c r="P43" s="358"/>
      <c r="Q43" s="317"/>
    </row>
    <row r="44" spans="1:17" s="54" customFormat="1" ht="30" x14ac:dyDescent="0.25">
      <c r="A44" s="320"/>
      <c r="B44" s="300"/>
      <c r="C44" s="181" t="s">
        <v>415</v>
      </c>
      <c r="D44" s="241" t="s">
        <v>33</v>
      </c>
      <c r="E44" s="181" t="s">
        <v>10</v>
      </c>
      <c r="F44" s="177" t="s">
        <v>361</v>
      </c>
      <c r="G44" s="143">
        <v>-25.795983</v>
      </c>
      <c r="H44" s="293"/>
      <c r="I44" s="293"/>
      <c r="J44" s="293"/>
      <c r="K44" s="293"/>
      <c r="L44" s="293"/>
      <c r="M44" s="303"/>
      <c r="N44" s="354"/>
      <c r="O44" s="343"/>
      <c r="P44" s="358"/>
      <c r="Q44" s="317"/>
    </row>
    <row r="45" spans="1:17" s="54" customFormat="1" x14ac:dyDescent="0.25">
      <c r="A45" s="320"/>
      <c r="B45" s="300"/>
      <c r="C45" s="181" t="s">
        <v>415</v>
      </c>
      <c r="D45" s="241" t="s">
        <v>33</v>
      </c>
      <c r="E45" s="181" t="s">
        <v>16</v>
      </c>
      <c r="F45" s="194" t="s">
        <v>111</v>
      </c>
      <c r="G45" s="143">
        <f>0.109703+23.503155</f>
        <v>23.612857999999999</v>
      </c>
      <c r="H45" s="294"/>
      <c r="I45" s="294"/>
      <c r="J45" s="294"/>
      <c r="K45" s="294"/>
      <c r="L45" s="294"/>
      <c r="M45" s="304"/>
      <c r="N45" s="355"/>
      <c r="O45" s="344"/>
      <c r="P45" s="359"/>
      <c r="Q45" s="318"/>
    </row>
    <row r="46" spans="1:17" ht="30" x14ac:dyDescent="0.25">
      <c r="A46" s="320"/>
      <c r="B46" s="300"/>
      <c r="C46" s="181" t="s">
        <v>8</v>
      </c>
      <c r="D46" s="177" t="s">
        <v>17</v>
      </c>
      <c r="E46" s="181" t="s">
        <v>10</v>
      </c>
      <c r="F46" s="177" t="s">
        <v>361</v>
      </c>
      <c r="G46" s="143">
        <v>0.6</v>
      </c>
      <c r="H46" s="292"/>
      <c r="I46" s="292"/>
      <c r="J46" s="292"/>
      <c r="K46" s="292"/>
      <c r="L46" s="292"/>
      <c r="M46" s="302" t="s">
        <v>11</v>
      </c>
      <c r="N46" s="353" t="s">
        <v>18</v>
      </c>
      <c r="O46" s="302" t="s">
        <v>19</v>
      </c>
      <c r="P46" s="357" t="s">
        <v>498</v>
      </c>
      <c r="Q46" s="316">
        <v>44255</v>
      </c>
    </row>
    <row r="47" spans="1:17" x14ac:dyDescent="0.25">
      <c r="A47" s="320"/>
      <c r="B47" s="300"/>
      <c r="C47" s="181" t="s">
        <v>8</v>
      </c>
      <c r="D47" s="177" t="s">
        <v>17</v>
      </c>
      <c r="E47" s="181" t="s">
        <v>16</v>
      </c>
      <c r="F47" s="194" t="s">
        <v>111</v>
      </c>
      <c r="G47" s="143">
        <v>8.1999999999999993</v>
      </c>
      <c r="H47" s="293"/>
      <c r="I47" s="293"/>
      <c r="J47" s="293"/>
      <c r="K47" s="293"/>
      <c r="L47" s="293"/>
      <c r="M47" s="303"/>
      <c r="N47" s="354"/>
      <c r="O47" s="303"/>
      <c r="P47" s="358"/>
      <c r="Q47" s="335"/>
    </row>
    <row r="48" spans="1:17" s="54" customFormat="1" ht="30" x14ac:dyDescent="0.25">
      <c r="A48" s="320"/>
      <c r="B48" s="300"/>
      <c r="C48" s="181" t="s">
        <v>415</v>
      </c>
      <c r="D48" s="177" t="s">
        <v>17</v>
      </c>
      <c r="E48" s="181" t="s">
        <v>10</v>
      </c>
      <c r="F48" s="177" t="s">
        <v>361</v>
      </c>
      <c r="G48" s="143">
        <v>-0.6</v>
      </c>
      <c r="H48" s="293"/>
      <c r="I48" s="293"/>
      <c r="J48" s="293"/>
      <c r="K48" s="293"/>
      <c r="L48" s="293"/>
      <c r="M48" s="303"/>
      <c r="N48" s="354"/>
      <c r="O48" s="303"/>
      <c r="P48" s="358"/>
      <c r="Q48" s="335"/>
    </row>
    <row r="49" spans="1:17" s="54" customFormat="1" x14ac:dyDescent="0.25">
      <c r="A49" s="320"/>
      <c r="B49" s="300"/>
      <c r="C49" s="181" t="s">
        <v>415</v>
      </c>
      <c r="D49" s="177" t="s">
        <v>17</v>
      </c>
      <c r="E49" s="181" t="s">
        <v>16</v>
      </c>
      <c r="F49" s="194" t="s">
        <v>111</v>
      </c>
      <c r="G49" s="143">
        <v>0.57145599999999996</v>
      </c>
      <c r="H49" s="294"/>
      <c r="I49" s="294"/>
      <c r="J49" s="294"/>
      <c r="K49" s="294"/>
      <c r="L49" s="294"/>
      <c r="M49" s="304"/>
      <c r="N49" s="355"/>
      <c r="O49" s="304"/>
      <c r="P49" s="359"/>
      <c r="Q49" s="336"/>
    </row>
    <row r="50" spans="1:17" s="54" customFormat="1" ht="30" x14ac:dyDescent="0.25">
      <c r="A50" s="321"/>
      <c r="B50" s="301"/>
      <c r="C50" s="181" t="s">
        <v>415</v>
      </c>
      <c r="D50" s="177" t="s">
        <v>27</v>
      </c>
      <c r="E50" s="181" t="s">
        <v>16</v>
      </c>
      <c r="F50" s="194" t="s">
        <v>111</v>
      </c>
      <c r="G50" s="143">
        <v>2.2772389999999998</v>
      </c>
      <c r="H50" s="215"/>
      <c r="I50" s="216"/>
      <c r="J50" s="215"/>
      <c r="K50" s="218"/>
      <c r="L50" s="143"/>
      <c r="M50" s="184" t="s">
        <v>377</v>
      </c>
      <c r="N50" s="186"/>
      <c r="O50" s="184"/>
      <c r="P50" s="185"/>
      <c r="Q50" s="197"/>
    </row>
    <row r="51" spans="1:17" x14ac:dyDescent="0.25">
      <c r="A51" s="189" t="s">
        <v>41</v>
      </c>
      <c r="B51" s="81">
        <v>0</v>
      </c>
      <c r="C51" s="181" t="s">
        <v>42</v>
      </c>
      <c r="D51" s="177" t="s">
        <v>33</v>
      </c>
      <c r="E51" s="181" t="s">
        <v>111</v>
      </c>
      <c r="F51" s="177" t="s">
        <v>111</v>
      </c>
      <c r="G51" s="143" t="s">
        <v>111</v>
      </c>
      <c r="H51" s="215"/>
      <c r="I51" s="216"/>
      <c r="J51" s="215"/>
      <c r="K51" s="216"/>
      <c r="L51" s="143"/>
      <c r="M51" s="181" t="s">
        <v>377</v>
      </c>
      <c r="N51" s="182"/>
      <c r="O51" s="181"/>
      <c r="P51" s="199"/>
      <c r="Q51" s="191"/>
    </row>
    <row r="52" spans="1:17" ht="15" customHeight="1" x14ac:dyDescent="0.25">
      <c r="A52" s="387" t="s">
        <v>65</v>
      </c>
      <c r="B52" s="299">
        <v>727</v>
      </c>
      <c r="C52" s="296" t="s">
        <v>26</v>
      </c>
      <c r="D52" s="299" t="s">
        <v>66</v>
      </c>
      <c r="E52" s="302" t="s">
        <v>16</v>
      </c>
      <c r="F52" s="402" t="s">
        <v>111</v>
      </c>
      <c r="G52" s="292">
        <v>375.06649900000002</v>
      </c>
      <c r="H52" s="217" t="s">
        <v>511</v>
      </c>
      <c r="I52" s="228" t="s">
        <v>66</v>
      </c>
      <c r="J52" s="215" t="s">
        <v>16</v>
      </c>
      <c r="K52" s="108" t="s">
        <v>111</v>
      </c>
      <c r="L52" s="143">
        <v>261.52390400000002</v>
      </c>
      <c r="M52" s="397" t="s">
        <v>11</v>
      </c>
      <c r="N52" s="379" t="s">
        <v>67</v>
      </c>
      <c r="O52" s="366" t="s">
        <v>475</v>
      </c>
      <c r="P52" s="376" t="s">
        <v>578</v>
      </c>
      <c r="Q52" s="316">
        <v>44255</v>
      </c>
    </row>
    <row r="53" spans="1:17" s="54" customFormat="1" ht="15" customHeight="1" x14ac:dyDescent="0.25">
      <c r="A53" s="388"/>
      <c r="B53" s="300"/>
      <c r="C53" s="298"/>
      <c r="D53" s="301"/>
      <c r="E53" s="304"/>
      <c r="F53" s="403"/>
      <c r="G53" s="294"/>
      <c r="H53" s="231" t="s">
        <v>511</v>
      </c>
      <c r="I53" s="228" t="s">
        <v>66</v>
      </c>
      <c r="J53" s="229" t="s">
        <v>10</v>
      </c>
      <c r="K53" s="108"/>
      <c r="L53" s="143">
        <v>0.54374100000000003</v>
      </c>
      <c r="M53" s="398"/>
      <c r="N53" s="381"/>
      <c r="O53" s="368"/>
      <c r="P53" s="377"/>
      <c r="Q53" s="336"/>
    </row>
    <row r="54" spans="1:17" ht="60" x14ac:dyDescent="0.25">
      <c r="A54" s="388"/>
      <c r="B54" s="300"/>
      <c r="C54" s="174" t="s">
        <v>26</v>
      </c>
      <c r="D54" s="177" t="s">
        <v>68</v>
      </c>
      <c r="E54" s="181" t="s">
        <v>16</v>
      </c>
      <c r="F54" s="108" t="s">
        <v>111</v>
      </c>
      <c r="G54" s="143">
        <v>8</v>
      </c>
      <c r="H54" s="217" t="s">
        <v>511</v>
      </c>
      <c r="I54" s="228" t="s">
        <v>68</v>
      </c>
      <c r="J54" s="215" t="s">
        <v>16</v>
      </c>
      <c r="K54" s="108" t="s">
        <v>111</v>
      </c>
      <c r="L54" s="143">
        <v>15</v>
      </c>
      <c r="M54" s="192" t="s">
        <v>11</v>
      </c>
      <c r="N54" s="175" t="s">
        <v>67</v>
      </c>
      <c r="O54" s="242" t="s">
        <v>475</v>
      </c>
      <c r="P54" s="180" t="s">
        <v>69</v>
      </c>
      <c r="Q54" s="190">
        <v>44255</v>
      </c>
    </row>
    <row r="55" spans="1:17" ht="42.75" customHeight="1" x14ac:dyDescent="0.25">
      <c r="A55" s="388"/>
      <c r="B55" s="300"/>
      <c r="C55" s="296" t="s">
        <v>26</v>
      </c>
      <c r="D55" s="299" t="s">
        <v>70</v>
      </c>
      <c r="E55" s="302" t="s">
        <v>16</v>
      </c>
      <c r="F55" s="402" t="s">
        <v>111</v>
      </c>
      <c r="G55" s="292">
        <v>17.090800000000002</v>
      </c>
      <c r="H55" s="217" t="s">
        <v>511</v>
      </c>
      <c r="I55" s="216" t="s">
        <v>70</v>
      </c>
      <c r="J55" s="215" t="s">
        <v>16</v>
      </c>
      <c r="K55" s="108" t="s">
        <v>111</v>
      </c>
      <c r="L55" s="143">
        <v>11.0908</v>
      </c>
      <c r="M55" s="397" t="s">
        <v>11</v>
      </c>
      <c r="N55" s="379" t="s">
        <v>71</v>
      </c>
      <c r="O55" s="366" t="s">
        <v>475</v>
      </c>
      <c r="P55" s="376" t="s">
        <v>600</v>
      </c>
      <c r="Q55" s="316">
        <v>44255</v>
      </c>
    </row>
    <row r="56" spans="1:17" s="54" customFormat="1" x14ac:dyDescent="0.25">
      <c r="A56" s="388"/>
      <c r="B56" s="300"/>
      <c r="C56" s="298"/>
      <c r="D56" s="301"/>
      <c r="E56" s="304"/>
      <c r="F56" s="403"/>
      <c r="G56" s="294"/>
      <c r="H56" s="231" t="s">
        <v>511</v>
      </c>
      <c r="I56" s="228" t="s">
        <v>70</v>
      </c>
      <c r="J56" s="229" t="s">
        <v>10</v>
      </c>
      <c r="K56" s="108"/>
      <c r="L56" s="163">
        <v>0.35639999999999999</v>
      </c>
      <c r="M56" s="398"/>
      <c r="N56" s="381"/>
      <c r="O56" s="368"/>
      <c r="P56" s="377"/>
      <c r="Q56" s="336"/>
    </row>
    <row r="57" spans="1:17" x14ac:dyDescent="0.25">
      <c r="A57" s="388"/>
      <c r="B57" s="300"/>
      <c r="C57" s="174" t="s">
        <v>26</v>
      </c>
      <c r="D57" s="177" t="s">
        <v>9</v>
      </c>
      <c r="E57" s="181" t="s">
        <v>16</v>
      </c>
      <c r="F57" s="108" t="s">
        <v>111</v>
      </c>
      <c r="G57" s="143">
        <v>1.78</v>
      </c>
      <c r="H57" s="292"/>
      <c r="I57" s="292"/>
      <c r="J57" s="292"/>
      <c r="K57" s="292"/>
      <c r="L57" s="292"/>
      <c r="M57" s="396" t="s">
        <v>11</v>
      </c>
      <c r="N57" s="350" t="s">
        <v>72</v>
      </c>
      <c r="O57" s="356" t="s">
        <v>19</v>
      </c>
      <c r="P57" s="362" t="s">
        <v>478</v>
      </c>
      <c r="Q57" s="316">
        <v>44257</v>
      </c>
    </row>
    <row r="58" spans="1:17" s="54" customFormat="1" ht="30" x14ac:dyDescent="0.25">
      <c r="A58" s="388"/>
      <c r="B58" s="300"/>
      <c r="C58" s="174" t="s">
        <v>26</v>
      </c>
      <c r="D58" s="177" t="s">
        <v>9</v>
      </c>
      <c r="E58" s="181" t="s">
        <v>10</v>
      </c>
      <c r="F58" s="141" t="s">
        <v>357</v>
      </c>
      <c r="G58" s="143">
        <v>112.7</v>
      </c>
      <c r="H58" s="293"/>
      <c r="I58" s="293"/>
      <c r="J58" s="293"/>
      <c r="K58" s="293"/>
      <c r="L58" s="293"/>
      <c r="M58" s="396"/>
      <c r="N58" s="350"/>
      <c r="O58" s="356"/>
      <c r="P58" s="362"/>
      <c r="Q58" s="335"/>
    </row>
    <row r="59" spans="1:17" x14ac:dyDescent="0.25">
      <c r="A59" s="388"/>
      <c r="B59" s="300"/>
      <c r="C59" s="69" t="s">
        <v>8</v>
      </c>
      <c r="D59" s="59" t="s">
        <v>9</v>
      </c>
      <c r="E59" s="69" t="s">
        <v>16</v>
      </c>
      <c r="F59" s="108" t="s">
        <v>111</v>
      </c>
      <c r="G59" s="143">
        <v>12.399149</v>
      </c>
      <c r="H59" s="294"/>
      <c r="I59" s="294"/>
      <c r="J59" s="294"/>
      <c r="K59" s="294"/>
      <c r="L59" s="294"/>
      <c r="M59" s="396"/>
      <c r="N59" s="350"/>
      <c r="O59" s="356"/>
      <c r="P59" s="362"/>
      <c r="Q59" s="336"/>
    </row>
    <row r="60" spans="1:17" x14ac:dyDescent="0.25">
      <c r="A60" s="388"/>
      <c r="B60" s="300"/>
      <c r="C60" s="174" t="s">
        <v>26</v>
      </c>
      <c r="D60" s="177" t="s">
        <v>17</v>
      </c>
      <c r="E60" s="181" t="s">
        <v>16</v>
      </c>
      <c r="F60" s="108" t="s">
        <v>111</v>
      </c>
      <c r="G60" s="143">
        <v>1.6896629999999999</v>
      </c>
      <c r="H60" s="360" t="s">
        <v>511</v>
      </c>
      <c r="I60" s="312" t="s">
        <v>17</v>
      </c>
      <c r="J60" s="311" t="s">
        <v>16</v>
      </c>
      <c r="K60" s="311" t="s">
        <v>111</v>
      </c>
      <c r="L60" s="386">
        <v>105.29519000000001</v>
      </c>
      <c r="M60" s="396" t="s">
        <v>11</v>
      </c>
      <c r="N60" s="350" t="s">
        <v>18</v>
      </c>
      <c r="O60" s="396" t="s">
        <v>19</v>
      </c>
      <c r="P60" s="395" t="s">
        <v>499</v>
      </c>
      <c r="Q60" s="348">
        <v>44255</v>
      </c>
    </row>
    <row r="61" spans="1:17" x14ac:dyDescent="0.25">
      <c r="A61" s="388"/>
      <c r="B61" s="300"/>
      <c r="C61" s="174" t="s">
        <v>26</v>
      </c>
      <c r="D61" s="177" t="s">
        <v>17</v>
      </c>
      <c r="E61" s="181" t="s">
        <v>16</v>
      </c>
      <c r="F61" s="108" t="s">
        <v>111</v>
      </c>
      <c r="G61" s="143">
        <v>3.3615650000000001</v>
      </c>
      <c r="H61" s="360"/>
      <c r="I61" s="312"/>
      <c r="J61" s="311"/>
      <c r="K61" s="311"/>
      <c r="L61" s="386"/>
      <c r="M61" s="396"/>
      <c r="N61" s="350"/>
      <c r="O61" s="396"/>
      <c r="P61" s="395"/>
      <c r="Q61" s="348"/>
    </row>
    <row r="62" spans="1:17" ht="30" x14ac:dyDescent="0.25">
      <c r="A62" s="388"/>
      <c r="B62" s="300"/>
      <c r="C62" s="174" t="s">
        <v>26</v>
      </c>
      <c r="D62" s="177" t="s">
        <v>17</v>
      </c>
      <c r="E62" s="181" t="s">
        <v>10</v>
      </c>
      <c r="F62" s="177" t="s">
        <v>357</v>
      </c>
      <c r="G62" s="143">
        <v>200</v>
      </c>
      <c r="H62" s="360"/>
      <c r="I62" s="312"/>
      <c r="J62" s="311"/>
      <c r="K62" s="311"/>
      <c r="L62" s="386"/>
      <c r="M62" s="396"/>
      <c r="N62" s="350"/>
      <c r="O62" s="396"/>
      <c r="P62" s="395"/>
      <c r="Q62" s="348"/>
    </row>
    <row r="63" spans="1:17" ht="30" x14ac:dyDescent="0.25">
      <c r="A63" s="388"/>
      <c r="B63" s="300"/>
      <c r="C63" s="174" t="s">
        <v>8</v>
      </c>
      <c r="D63" s="177" t="s">
        <v>17</v>
      </c>
      <c r="E63" s="181" t="s">
        <v>10</v>
      </c>
      <c r="F63" s="177" t="s">
        <v>357</v>
      </c>
      <c r="G63" s="143">
        <v>-101.549187</v>
      </c>
      <c r="H63" s="360"/>
      <c r="I63" s="312"/>
      <c r="J63" s="311"/>
      <c r="K63" s="311"/>
      <c r="L63" s="386"/>
      <c r="M63" s="396"/>
      <c r="N63" s="350"/>
      <c r="O63" s="396"/>
      <c r="P63" s="395"/>
      <c r="Q63" s="348"/>
    </row>
    <row r="64" spans="1:17" s="54" customFormat="1" x14ac:dyDescent="0.25">
      <c r="A64" s="388"/>
      <c r="B64" s="300"/>
      <c r="C64" s="174" t="s">
        <v>8</v>
      </c>
      <c r="D64" s="177" t="s">
        <v>17</v>
      </c>
      <c r="E64" s="181" t="s">
        <v>16</v>
      </c>
      <c r="F64" s="108" t="s">
        <v>111</v>
      </c>
      <c r="G64" s="143">
        <f>58+31.150038</f>
        <v>89.150037999999995</v>
      </c>
      <c r="H64" s="360" t="s">
        <v>511</v>
      </c>
      <c r="I64" s="312" t="s">
        <v>17</v>
      </c>
      <c r="J64" s="311" t="s">
        <v>10</v>
      </c>
      <c r="K64" s="312"/>
      <c r="L64" s="386">
        <v>1.0781270000000001</v>
      </c>
      <c r="M64" s="396"/>
      <c r="N64" s="350"/>
      <c r="O64" s="396"/>
      <c r="P64" s="395"/>
      <c r="Q64" s="348"/>
    </row>
    <row r="65" spans="1:17" s="54" customFormat="1" ht="30" x14ac:dyDescent="0.25">
      <c r="A65" s="388"/>
      <c r="B65" s="300"/>
      <c r="C65" s="231" t="s">
        <v>415</v>
      </c>
      <c r="D65" s="228" t="s">
        <v>17</v>
      </c>
      <c r="E65" s="229" t="s">
        <v>10</v>
      </c>
      <c r="F65" s="228" t="s">
        <v>357</v>
      </c>
      <c r="G65" s="143">
        <v>-84.434709999999995</v>
      </c>
      <c r="H65" s="360"/>
      <c r="I65" s="312"/>
      <c r="J65" s="311"/>
      <c r="K65" s="312"/>
      <c r="L65" s="386"/>
      <c r="M65" s="396"/>
      <c r="N65" s="350"/>
      <c r="O65" s="396"/>
      <c r="P65" s="395"/>
      <c r="Q65" s="348"/>
    </row>
    <row r="66" spans="1:17" x14ac:dyDescent="0.25">
      <c r="A66" s="388"/>
      <c r="B66" s="300"/>
      <c r="C66" s="231" t="s">
        <v>415</v>
      </c>
      <c r="D66" s="228" t="s">
        <v>17</v>
      </c>
      <c r="E66" s="229" t="s">
        <v>16</v>
      </c>
      <c r="F66" s="69" t="s">
        <v>111</v>
      </c>
      <c r="G66" s="143">
        <f>27.72279+0.108+56.60392</f>
        <v>84.434709999999995</v>
      </c>
      <c r="H66" s="360"/>
      <c r="I66" s="312"/>
      <c r="J66" s="311"/>
      <c r="K66" s="312"/>
      <c r="L66" s="386"/>
      <c r="M66" s="396"/>
      <c r="N66" s="350"/>
      <c r="O66" s="396"/>
      <c r="P66" s="395"/>
      <c r="Q66" s="348"/>
    </row>
    <row r="67" spans="1:17" s="54" customFormat="1" ht="30" x14ac:dyDescent="0.25">
      <c r="A67" s="389"/>
      <c r="B67" s="301"/>
      <c r="C67" s="231" t="s">
        <v>42</v>
      </c>
      <c r="D67" s="228" t="s">
        <v>242</v>
      </c>
      <c r="E67" s="229" t="s">
        <v>111</v>
      </c>
      <c r="F67" s="69" t="s">
        <v>111</v>
      </c>
      <c r="G67" s="143" t="s">
        <v>111</v>
      </c>
      <c r="H67" s="231" t="s">
        <v>511</v>
      </c>
      <c r="I67" s="228" t="s">
        <v>242</v>
      </c>
      <c r="J67" s="229" t="s">
        <v>16</v>
      </c>
      <c r="K67" s="229" t="s">
        <v>111</v>
      </c>
      <c r="L67" s="238">
        <v>5</v>
      </c>
      <c r="M67" s="233" t="s">
        <v>11</v>
      </c>
      <c r="N67" s="230" t="s">
        <v>223</v>
      </c>
      <c r="O67" s="234" t="s">
        <v>13</v>
      </c>
      <c r="P67" s="235"/>
      <c r="Q67" s="232"/>
    </row>
    <row r="68" spans="1:17" s="54" customFormat="1" ht="15" customHeight="1" x14ac:dyDescent="0.25">
      <c r="A68" s="319" t="s">
        <v>471</v>
      </c>
      <c r="B68" s="322">
        <f>4223-2806</f>
        <v>1417</v>
      </c>
      <c r="C68" s="181" t="s">
        <v>8</v>
      </c>
      <c r="D68" s="181" t="s">
        <v>9</v>
      </c>
      <c r="E68" s="181" t="s">
        <v>16</v>
      </c>
      <c r="F68" s="194" t="s">
        <v>111</v>
      </c>
      <c r="G68" s="143">
        <f>0.403571+10</f>
        <v>10.403570999999999</v>
      </c>
      <c r="H68" s="302" t="s">
        <v>511</v>
      </c>
      <c r="I68" s="302" t="s">
        <v>9</v>
      </c>
      <c r="J68" s="302" t="s">
        <v>16</v>
      </c>
      <c r="K68" s="363" t="s">
        <v>111</v>
      </c>
      <c r="L68" s="292">
        <v>15</v>
      </c>
      <c r="M68" s="302" t="s">
        <v>11</v>
      </c>
      <c r="N68" s="353" t="s">
        <v>12</v>
      </c>
      <c r="O68" s="342" t="s">
        <v>475</v>
      </c>
      <c r="P68" s="376" t="s">
        <v>481</v>
      </c>
      <c r="Q68" s="316">
        <v>44255</v>
      </c>
    </row>
    <row r="69" spans="1:17" s="54" customFormat="1" ht="60" x14ac:dyDescent="0.25">
      <c r="A69" s="320"/>
      <c r="B69" s="323"/>
      <c r="C69" s="181" t="s">
        <v>8</v>
      </c>
      <c r="D69" s="181" t="s">
        <v>9</v>
      </c>
      <c r="E69" s="181" t="s">
        <v>10</v>
      </c>
      <c r="F69" s="177" t="s">
        <v>359</v>
      </c>
      <c r="G69" s="143">
        <v>133.69999999999999</v>
      </c>
      <c r="H69" s="303"/>
      <c r="I69" s="303"/>
      <c r="J69" s="303"/>
      <c r="K69" s="364"/>
      <c r="L69" s="293"/>
      <c r="M69" s="303"/>
      <c r="N69" s="354"/>
      <c r="O69" s="343"/>
      <c r="P69" s="400"/>
      <c r="Q69" s="335"/>
    </row>
    <row r="70" spans="1:17" s="54" customFormat="1" ht="60" x14ac:dyDescent="0.25">
      <c r="A70" s="320"/>
      <c r="B70" s="323"/>
      <c r="C70" s="181" t="s">
        <v>415</v>
      </c>
      <c r="D70" s="181" t="s">
        <v>9</v>
      </c>
      <c r="E70" s="181" t="s">
        <v>10</v>
      </c>
      <c r="F70" s="177" t="s">
        <v>359</v>
      </c>
      <c r="G70" s="143">
        <v>-126.7</v>
      </c>
      <c r="H70" s="303"/>
      <c r="I70" s="303"/>
      <c r="J70" s="303"/>
      <c r="K70" s="364"/>
      <c r="L70" s="293"/>
      <c r="M70" s="303"/>
      <c r="N70" s="354"/>
      <c r="O70" s="343"/>
      <c r="P70" s="400"/>
      <c r="Q70" s="335"/>
    </row>
    <row r="71" spans="1:17" s="54" customFormat="1" x14ac:dyDescent="0.25">
      <c r="A71" s="320"/>
      <c r="B71" s="323"/>
      <c r="C71" s="181" t="s">
        <v>415</v>
      </c>
      <c r="D71" s="181" t="s">
        <v>9</v>
      </c>
      <c r="E71" s="181" t="s">
        <v>16</v>
      </c>
      <c r="F71" s="188" t="s">
        <v>111</v>
      </c>
      <c r="G71" s="143">
        <v>126.7</v>
      </c>
      <c r="H71" s="304"/>
      <c r="I71" s="304"/>
      <c r="J71" s="304"/>
      <c r="K71" s="365"/>
      <c r="L71" s="294"/>
      <c r="M71" s="304"/>
      <c r="N71" s="355"/>
      <c r="O71" s="344"/>
      <c r="P71" s="377"/>
      <c r="Q71" s="336"/>
    </row>
    <row r="72" spans="1:17" s="54" customFormat="1" ht="30" customHeight="1" x14ac:dyDescent="0.25">
      <c r="A72" s="320"/>
      <c r="B72" s="323"/>
      <c r="C72" s="181" t="s">
        <v>8</v>
      </c>
      <c r="D72" s="181" t="s">
        <v>20</v>
      </c>
      <c r="E72" s="181" t="s">
        <v>16</v>
      </c>
      <c r="F72" s="194" t="s">
        <v>111</v>
      </c>
      <c r="G72" s="143">
        <f>318.492543+0.45</f>
        <v>318.942543</v>
      </c>
      <c r="H72" s="311" t="s">
        <v>511</v>
      </c>
      <c r="I72" s="311" t="s">
        <v>20</v>
      </c>
      <c r="J72" s="311" t="s">
        <v>16</v>
      </c>
      <c r="K72" s="314" t="s">
        <v>111</v>
      </c>
      <c r="L72" s="313">
        <v>374.188241</v>
      </c>
      <c r="M72" s="302" t="s">
        <v>11</v>
      </c>
      <c r="N72" s="337" t="s">
        <v>21</v>
      </c>
      <c r="O72" s="352" t="s">
        <v>475</v>
      </c>
      <c r="P72" s="362" t="s">
        <v>558</v>
      </c>
      <c r="Q72" s="316">
        <v>44255</v>
      </c>
    </row>
    <row r="73" spans="1:17" s="54" customFormat="1" ht="60" x14ac:dyDescent="0.25">
      <c r="A73" s="320"/>
      <c r="B73" s="323"/>
      <c r="C73" s="181" t="s">
        <v>8</v>
      </c>
      <c r="D73" s="181" t="s">
        <v>20</v>
      </c>
      <c r="E73" s="181" t="s">
        <v>10</v>
      </c>
      <c r="F73" s="177" t="s">
        <v>359</v>
      </c>
      <c r="G73" s="143">
        <v>308.37196399999999</v>
      </c>
      <c r="H73" s="311"/>
      <c r="I73" s="311"/>
      <c r="J73" s="311"/>
      <c r="K73" s="314"/>
      <c r="L73" s="313"/>
      <c r="M73" s="303"/>
      <c r="N73" s="337"/>
      <c r="O73" s="352"/>
      <c r="P73" s="362"/>
      <c r="Q73" s="335"/>
    </row>
    <row r="74" spans="1:17" s="54" customFormat="1" ht="60" x14ac:dyDescent="0.25">
      <c r="A74" s="320"/>
      <c r="B74" s="323"/>
      <c r="C74" s="181" t="s">
        <v>415</v>
      </c>
      <c r="D74" s="181" t="s">
        <v>20</v>
      </c>
      <c r="E74" s="181" t="s">
        <v>10</v>
      </c>
      <c r="F74" s="177" t="s">
        <v>359</v>
      </c>
      <c r="G74" s="143">
        <v>-217.57197500000001</v>
      </c>
      <c r="H74" s="311" t="s">
        <v>511</v>
      </c>
      <c r="I74" s="311" t="s">
        <v>20</v>
      </c>
      <c r="J74" s="311" t="s">
        <v>10</v>
      </c>
      <c r="K74" s="314"/>
      <c r="L74" s="313">
        <v>4.2413069999999999</v>
      </c>
      <c r="M74" s="303"/>
      <c r="N74" s="337"/>
      <c r="O74" s="352"/>
      <c r="P74" s="362"/>
      <c r="Q74" s="335"/>
    </row>
    <row r="75" spans="1:17" s="54" customFormat="1" ht="30" x14ac:dyDescent="0.25">
      <c r="A75" s="320"/>
      <c r="B75" s="323"/>
      <c r="C75" s="181" t="s">
        <v>415</v>
      </c>
      <c r="D75" s="181" t="s">
        <v>20</v>
      </c>
      <c r="E75" s="181" t="s">
        <v>10</v>
      </c>
      <c r="F75" s="177" t="s">
        <v>622</v>
      </c>
      <c r="G75" s="143">
        <v>217.57197500000001</v>
      </c>
      <c r="H75" s="311"/>
      <c r="I75" s="311"/>
      <c r="J75" s="311"/>
      <c r="K75" s="314"/>
      <c r="L75" s="313"/>
      <c r="M75" s="304"/>
      <c r="N75" s="337"/>
      <c r="O75" s="352"/>
      <c r="P75" s="362"/>
      <c r="Q75" s="318"/>
    </row>
    <row r="76" spans="1:17" s="54" customFormat="1" ht="30" x14ac:dyDescent="0.25">
      <c r="A76" s="320"/>
      <c r="B76" s="323"/>
      <c r="C76" s="181" t="s">
        <v>8</v>
      </c>
      <c r="D76" s="181" t="s">
        <v>66</v>
      </c>
      <c r="E76" s="181" t="s">
        <v>16</v>
      </c>
      <c r="F76" s="194" t="s">
        <v>111</v>
      </c>
      <c r="G76" s="143">
        <f>1+14</f>
        <v>15</v>
      </c>
      <c r="H76" s="215" t="s">
        <v>511</v>
      </c>
      <c r="I76" s="215" t="s">
        <v>66</v>
      </c>
      <c r="J76" s="215" t="s">
        <v>16</v>
      </c>
      <c r="K76" s="218" t="s">
        <v>111</v>
      </c>
      <c r="L76" s="143">
        <v>20</v>
      </c>
      <c r="M76" s="181" t="s">
        <v>11</v>
      </c>
      <c r="N76" s="182" t="s">
        <v>160</v>
      </c>
      <c r="O76" s="177" t="s">
        <v>73</v>
      </c>
      <c r="P76" s="180"/>
      <c r="Q76" s="190"/>
    </row>
    <row r="77" spans="1:17" x14ac:dyDescent="0.25">
      <c r="A77" s="320"/>
      <c r="B77" s="323"/>
      <c r="C77" s="181" t="s">
        <v>8</v>
      </c>
      <c r="D77" s="177" t="s">
        <v>17</v>
      </c>
      <c r="E77" s="181" t="s">
        <v>16</v>
      </c>
      <c r="F77" s="177" t="s">
        <v>111</v>
      </c>
      <c r="G77" s="143">
        <f>5378.297032+776.076667+6.75+21.4+68.6+46.199588+25+7.533544+5.3016</f>
        <v>6335.1584310000007</v>
      </c>
      <c r="H77" s="311" t="s">
        <v>511</v>
      </c>
      <c r="I77" s="312" t="s">
        <v>17</v>
      </c>
      <c r="J77" s="311" t="s">
        <v>16</v>
      </c>
      <c r="K77" s="312" t="s">
        <v>111</v>
      </c>
      <c r="L77" s="313">
        <v>5409.8816550000001</v>
      </c>
      <c r="M77" s="302" t="s">
        <v>11</v>
      </c>
      <c r="N77" s="353" t="s">
        <v>18</v>
      </c>
      <c r="O77" s="302" t="s">
        <v>19</v>
      </c>
      <c r="P77" s="357" t="s">
        <v>500</v>
      </c>
      <c r="Q77" s="316">
        <v>44255</v>
      </c>
    </row>
    <row r="78" spans="1:17" s="54" customFormat="1" ht="60" x14ac:dyDescent="0.25">
      <c r="A78" s="320"/>
      <c r="B78" s="323"/>
      <c r="C78" s="181" t="s">
        <v>8</v>
      </c>
      <c r="D78" s="95" t="s">
        <v>17</v>
      </c>
      <c r="E78" s="181" t="s">
        <v>10</v>
      </c>
      <c r="F78" s="177" t="s">
        <v>359</v>
      </c>
      <c r="G78" s="143">
        <f>3821.702968+536.473333+298.400412+13.4984+7.7+5.275384</f>
        <v>4683.0504970000002</v>
      </c>
      <c r="H78" s="311"/>
      <c r="I78" s="312"/>
      <c r="J78" s="311"/>
      <c r="K78" s="312"/>
      <c r="L78" s="313"/>
      <c r="M78" s="303"/>
      <c r="N78" s="354"/>
      <c r="O78" s="303"/>
      <c r="P78" s="358"/>
      <c r="Q78" s="335"/>
    </row>
    <row r="79" spans="1:17" s="54" customFormat="1" ht="15" customHeight="1" x14ac:dyDescent="0.25">
      <c r="A79" s="320"/>
      <c r="B79" s="323"/>
      <c r="C79" s="181" t="s">
        <v>415</v>
      </c>
      <c r="D79" s="95" t="s">
        <v>17</v>
      </c>
      <c r="E79" s="181" t="s">
        <v>16</v>
      </c>
      <c r="F79" s="177" t="s">
        <v>111</v>
      </c>
      <c r="G79" s="143">
        <f>3.18416+536.461532+7.2+2397.712418+10+0.5+75</f>
        <v>3030.0581099999999</v>
      </c>
      <c r="H79" s="311" t="s">
        <v>511</v>
      </c>
      <c r="I79" s="312" t="s">
        <v>17</v>
      </c>
      <c r="J79" s="302" t="s">
        <v>10</v>
      </c>
      <c r="K79" s="312"/>
      <c r="L79" s="313">
        <v>1.918345</v>
      </c>
      <c r="M79" s="303"/>
      <c r="N79" s="354"/>
      <c r="O79" s="303"/>
      <c r="P79" s="358"/>
      <c r="Q79" s="335"/>
    </row>
    <row r="80" spans="1:17" s="54" customFormat="1" ht="60" x14ac:dyDescent="0.25">
      <c r="A80" s="320"/>
      <c r="B80" s="323"/>
      <c r="C80" s="181" t="s">
        <v>415</v>
      </c>
      <c r="D80" s="95" t="s">
        <v>17</v>
      </c>
      <c r="E80" s="181" t="s">
        <v>10</v>
      </c>
      <c r="F80" s="177" t="s">
        <v>359</v>
      </c>
      <c r="G80" s="143">
        <f>-2482.712418+-3.18416+-536.461532+-7.7</f>
        <v>-3030.0581099999999</v>
      </c>
      <c r="H80" s="311"/>
      <c r="I80" s="312"/>
      <c r="J80" s="304"/>
      <c r="K80" s="312"/>
      <c r="L80" s="313"/>
      <c r="M80" s="304"/>
      <c r="N80" s="355"/>
      <c r="O80" s="304"/>
      <c r="P80" s="359"/>
      <c r="Q80" s="318"/>
    </row>
    <row r="81" spans="1:17" s="54" customFormat="1" x14ac:dyDescent="0.25">
      <c r="A81" s="320"/>
      <c r="B81" s="323"/>
      <c r="C81" s="181" t="s">
        <v>8</v>
      </c>
      <c r="D81" s="95" t="s">
        <v>70</v>
      </c>
      <c r="E81" s="181" t="s">
        <v>16</v>
      </c>
      <c r="F81" s="177" t="s">
        <v>111</v>
      </c>
      <c r="G81" s="143">
        <f>2+31.5</f>
        <v>33.5</v>
      </c>
      <c r="H81" s="302" t="s">
        <v>511</v>
      </c>
      <c r="I81" s="308" t="s">
        <v>70</v>
      </c>
      <c r="J81" s="302" t="s">
        <v>16</v>
      </c>
      <c r="K81" s="299" t="s">
        <v>111</v>
      </c>
      <c r="L81" s="292">
        <v>88</v>
      </c>
      <c r="M81" s="302" t="s">
        <v>11</v>
      </c>
      <c r="N81" s="337" t="s">
        <v>75</v>
      </c>
      <c r="O81" s="342" t="s">
        <v>475</v>
      </c>
      <c r="P81" s="357" t="s">
        <v>599</v>
      </c>
      <c r="Q81" s="316">
        <v>44255</v>
      </c>
    </row>
    <row r="82" spans="1:17" s="54" customFormat="1" ht="60" x14ac:dyDescent="0.25">
      <c r="A82" s="320"/>
      <c r="B82" s="323"/>
      <c r="C82" s="181" t="s">
        <v>8</v>
      </c>
      <c r="D82" s="95" t="s">
        <v>70</v>
      </c>
      <c r="E82" s="181" t="s">
        <v>10</v>
      </c>
      <c r="F82" s="177" t="s">
        <v>359</v>
      </c>
      <c r="G82" s="143">
        <v>33.5</v>
      </c>
      <c r="H82" s="303"/>
      <c r="I82" s="310"/>
      <c r="J82" s="303"/>
      <c r="K82" s="300"/>
      <c r="L82" s="293"/>
      <c r="M82" s="303"/>
      <c r="N82" s="337"/>
      <c r="O82" s="343"/>
      <c r="P82" s="358"/>
      <c r="Q82" s="317"/>
    </row>
    <row r="83" spans="1:17" s="54" customFormat="1" x14ac:dyDescent="0.25">
      <c r="A83" s="320"/>
      <c r="B83" s="323"/>
      <c r="C83" s="181" t="s">
        <v>415</v>
      </c>
      <c r="D83" s="95" t="s">
        <v>70</v>
      </c>
      <c r="E83" s="181" t="s">
        <v>16</v>
      </c>
      <c r="F83" s="181" t="s">
        <v>111</v>
      </c>
      <c r="G83" s="143">
        <v>30.158628</v>
      </c>
      <c r="H83" s="303"/>
      <c r="I83" s="310"/>
      <c r="J83" s="303"/>
      <c r="K83" s="300"/>
      <c r="L83" s="293"/>
      <c r="M83" s="303"/>
      <c r="N83" s="337"/>
      <c r="O83" s="343"/>
      <c r="P83" s="358"/>
      <c r="Q83" s="317"/>
    </row>
    <row r="84" spans="1:17" s="54" customFormat="1" ht="60" x14ac:dyDescent="0.25">
      <c r="A84" s="321"/>
      <c r="B84" s="324"/>
      <c r="C84" s="181" t="s">
        <v>415</v>
      </c>
      <c r="D84" s="95" t="s">
        <v>70</v>
      </c>
      <c r="E84" s="181" t="s">
        <v>10</v>
      </c>
      <c r="F84" s="177" t="s">
        <v>359</v>
      </c>
      <c r="G84" s="143">
        <v>-30.158628</v>
      </c>
      <c r="H84" s="304"/>
      <c r="I84" s="309"/>
      <c r="J84" s="304"/>
      <c r="K84" s="301"/>
      <c r="L84" s="294"/>
      <c r="M84" s="304"/>
      <c r="N84" s="337"/>
      <c r="O84" s="344"/>
      <c r="P84" s="359"/>
      <c r="Q84" s="318"/>
    </row>
    <row r="85" spans="1:17" ht="30" x14ac:dyDescent="0.25">
      <c r="A85" s="382" t="s">
        <v>74</v>
      </c>
      <c r="B85" s="299">
        <v>90</v>
      </c>
      <c r="C85" s="181" t="s">
        <v>8</v>
      </c>
      <c r="D85" s="177" t="s">
        <v>70</v>
      </c>
      <c r="E85" s="181" t="s">
        <v>10</v>
      </c>
      <c r="F85" s="177" t="s">
        <v>361</v>
      </c>
      <c r="G85" s="143">
        <v>40.020000000000003</v>
      </c>
      <c r="H85" s="302" t="s">
        <v>511</v>
      </c>
      <c r="I85" s="312" t="s">
        <v>70</v>
      </c>
      <c r="J85" s="311" t="s">
        <v>16</v>
      </c>
      <c r="K85" s="299" t="s">
        <v>111</v>
      </c>
      <c r="L85" s="292">
        <v>33.758555000000001</v>
      </c>
      <c r="M85" s="311" t="s">
        <v>11</v>
      </c>
      <c r="N85" s="337" t="s">
        <v>75</v>
      </c>
      <c r="O85" s="352" t="s">
        <v>475</v>
      </c>
      <c r="P85" s="378" t="s">
        <v>596</v>
      </c>
      <c r="Q85" s="348">
        <v>44255</v>
      </c>
    </row>
    <row r="86" spans="1:17" s="54" customFormat="1" x14ac:dyDescent="0.25">
      <c r="A86" s="382"/>
      <c r="B86" s="300"/>
      <c r="C86" s="181" t="s">
        <v>8</v>
      </c>
      <c r="D86" s="177" t="s">
        <v>70</v>
      </c>
      <c r="E86" s="181" t="s">
        <v>16</v>
      </c>
      <c r="F86" s="177" t="s">
        <v>111</v>
      </c>
      <c r="G86" s="143">
        <v>50</v>
      </c>
      <c r="H86" s="303"/>
      <c r="I86" s="312"/>
      <c r="J86" s="311"/>
      <c r="K86" s="301"/>
      <c r="L86" s="294"/>
      <c r="M86" s="311"/>
      <c r="N86" s="337"/>
      <c r="O86" s="352"/>
      <c r="P86" s="378"/>
      <c r="Q86" s="349"/>
    </row>
    <row r="87" spans="1:17" s="54" customFormat="1" ht="30" x14ac:dyDescent="0.25">
      <c r="A87" s="382"/>
      <c r="B87" s="300"/>
      <c r="C87" s="181" t="s">
        <v>415</v>
      </c>
      <c r="D87" s="177" t="s">
        <v>70</v>
      </c>
      <c r="E87" s="181" t="s">
        <v>10</v>
      </c>
      <c r="F87" s="177" t="s">
        <v>361</v>
      </c>
      <c r="G87" s="143">
        <v>-32.746285</v>
      </c>
      <c r="H87" s="302" t="s">
        <v>511</v>
      </c>
      <c r="I87" s="312" t="s">
        <v>70</v>
      </c>
      <c r="J87" s="311" t="s">
        <v>10</v>
      </c>
      <c r="K87" s="299"/>
      <c r="L87" s="292">
        <v>1.952226</v>
      </c>
      <c r="M87" s="311"/>
      <c r="N87" s="337"/>
      <c r="O87" s="352"/>
      <c r="P87" s="378"/>
      <c r="Q87" s="349"/>
    </row>
    <row r="88" spans="1:17" x14ac:dyDescent="0.25">
      <c r="A88" s="382"/>
      <c r="B88" s="301"/>
      <c r="C88" s="183" t="s">
        <v>415</v>
      </c>
      <c r="D88" s="177" t="s">
        <v>70</v>
      </c>
      <c r="E88" s="183" t="s">
        <v>16</v>
      </c>
      <c r="F88" s="187" t="s">
        <v>111</v>
      </c>
      <c r="G88" s="143">
        <f>8.532137+23.732769</f>
        <v>32.264906000000003</v>
      </c>
      <c r="H88" s="303"/>
      <c r="I88" s="312"/>
      <c r="J88" s="311"/>
      <c r="K88" s="301"/>
      <c r="L88" s="294"/>
      <c r="M88" s="311"/>
      <c r="N88" s="337"/>
      <c r="O88" s="352"/>
      <c r="P88" s="378"/>
      <c r="Q88" s="349"/>
    </row>
    <row r="89" spans="1:17" ht="34.5" customHeight="1" x14ac:dyDescent="0.25">
      <c r="A89" s="319" t="s">
        <v>76</v>
      </c>
      <c r="B89" s="299">
        <v>530</v>
      </c>
      <c r="C89" s="181" t="s">
        <v>415</v>
      </c>
      <c r="D89" s="177" t="s">
        <v>20</v>
      </c>
      <c r="E89" s="181" t="s">
        <v>10</v>
      </c>
      <c r="F89" s="177" t="s">
        <v>623</v>
      </c>
      <c r="G89" s="143">
        <v>45</v>
      </c>
      <c r="H89" s="215"/>
      <c r="I89" s="216"/>
      <c r="J89" s="215"/>
      <c r="K89" s="216"/>
      <c r="L89" s="143"/>
      <c r="M89" s="181" t="s">
        <v>11</v>
      </c>
      <c r="N89" s="179" t="s">
        <v>21</v>
      </c>
      <c r="O89" s="181" t="s">
        <v>13</v>
      </c>
      <c r="P89" s="199"/>
      <c r="Q89" s="191"/>
    </row>
    <row r="90" spans="1:17" s="54" customFormat="1" ht="34.5" customHeight="1" x14ac:dyDescent="0.25">
      <c r="A90" s="320"/>
      <c r="B90" s="300"/>
      <c r="C90" s="302" t="s">
        <v>415</v>
      </c>
      <c r="D90" s="299" t="s">
        <v>17</v>
      </c>
      <c r="E90" s="302" t="s">
        <v>16</v>
      </c>
      <c r="F90" s="299" t="s">
        <v>111</v>
      </c>
      <c r="G90" s="292">
        <f>484.509029+0.6</f>
        <v>485.10902900000002</v>
      </c>
      <c r="H90" s="229" t="s">
        <v>511</v>
      </c>
      <c r="I90" s="228" t="s">
        <v>17</v>
      </c>
      <c r="J90" s="229" t="s">
        <v>16</v>
      </c>
      <c r="K90" s="249" t="s">
        <v>111</v>
      </c>
      <c r="L90" s="143">
        <v>15.270640999999999</v>
      </c>
      <c r="M90" s="302" t="s">
        <v>11</v>
      </c>
      <c r="N90" s="379" t="s">
        <v>18</v>
      </c>
      <c r="O90" s="302" t="s">
        <v>19</v>
      </c>
      <c r="P90" s="357" t="s">
        <v>405</v>
      </c>
      <c r="Q90" s="316">
        <v>44255</v>
      </c>
    </row>
    <row r="91" spans="1:17" s="54" customFormat="1" ht="34.5" customHeight="1" x14ac:dyDescent="0.25">
      <c r="A91" s="321"/>
      <c r="B91" s="301"/>
      <c r="C91" s="304"/>
      <c r="D91" s="301"/>
      <c r="E91" s="304"/>
      <c r="F91" s="301"/>
      <c r="G91" s="294"/>
      <c r="H91" s="215" t="s">
        <v>511</v>
      </c>
      <c r="I91" s="216" t="s">
        <v>17</v>
      </c>
      <c r="J91" s="215" t="s">
        <v>10</v>
      </c>
      <c r="K91" s="249"/>
      <c r="L91" s="143">
        <v>1.2005490000000001</v>
      </c>
      <c r="M91" s="304"/>
      <c r="N91" s="381"/>
      <c r="O91" s="304"/>
      <c r="P91" s="359"/>
      <c r="Q91" s="336"/>
    </row>
    <row r="92" spans="1:17" s="54" customFormat="1" ht="30" customHeight="1" x14ac:dyDescent="0.25">
      <c r="A92" s="319" t="s">
        <v>77</v>
      </c>
      <c r="B92" s="299">
        <v>255</v>
      </c>
      <c r="C92" s="302" t="s">
        <v>415</v>
      </c>
      <c r="D92" s="299" t="s">
        <v>17</v>
      </c>
      <c r="E92" s="302" t="s">
        <v>16</v>
      </c>
      <c r="F92" s="299" t="s">
        <v>111</v>
      </c>
      <c r="G92" s="292">
        <f>196.646863+11.35+0.5</f>
        <v>208.49686299999999</v>
      </c>
      <c r="H92" s="215" t="s">
        <v>511</v>
      </c>
      <c r="I92" s="216" t="s">
        <v>17</v>
      </c>
      <c r="J92" s="215" t="s">
        <v>16</v>
      </c>
      <c r="K92" s="249" t="s">
        <v>111</v>
      </c>
      <c r="L92" s="143">
        <v>424.66776099999998</v>
      </c>
      <c r="M92" s="302" t="s">
        <v>11</v>
      </c>
      <c r="N92" s="379" t="s">
        <v>18</v>
      </c>
      <c r="O92" s="302" t="s">
        <v>19</v>
      </c>
      <c r="P92" s="357" t="s">
        <v>501</v>
      </c>
      <c r="Q92" s="316">
        <v>44255</v>
      </c>
    </row>
    <row r="93" spans="1:17" s="54" customFormat="1" ht="30" customHeight="1" x14ac:dyDescent="0.25">
      <c r="A93" s="320"/>
      <c r="B93" s="300"/>
      <c r="C93" s="304"/>
      <c r="D93" s="301"/>
      <c r="E93" s="304"/>
      <c r="F93" s="301"/>
      <c r="G93" s="294"/>
      <c r="H93" s="229" t="s">
        <v>511</v>
      </c>
      <c r="I93" s="228" t="s">
        <v>17</v>
      </c>
      <c r="J93" s="229" t="s">
        <v>10</v>
      </c>
      <c r="K93" s="249"/>
      <c r="L93" s="143">
        <v>38.946641</v>
      </c>
      <c r="M93" s="304"/>
      <c r="N93" s="381"/>
      <c r="O93" s="304"/>
      <c r="P93" s="359"/>
      <c r="Q93" s="336"/>
    </row>
    <row r="94" spans="1:17" s="54" customFormat="1" ht="30" customHeight="1" x14ac:dyDescent="0.25">
      <c r="A94" s="320"/>
      <c r="B94" s="300"/>
      <c r="C94" s="302" t="s">
        <v>415</v>
      </c>
      <c r="D94" s="299" t="s">
        <v>20</v>
      </c>
      <c r="E94" s="302" t="s">
        <v>16</v>
      </c>
      <c r="F94" s="299" t="s">
        <v>111</v>
      </c>
      <c r="G94" s="292">
        <v>24.399311999999998</v>
      </c>
      <c r="H94" s="229" t="s">
        <v>511</v>
      </c>
      <c r="I94" s="228" t="s">
        <v>20</v>
      </c>
      <c r="J94" s="229" t="s">
        <v>16</v>
      </c>
      <c r="K94" s="249" t="s">
        <v>111</v>
      </c>
      <c r="L94" s="143">
        <v>21.242428</v>
      </c>
      <c r="M94" s="302" t="s">
        <v>11</v>
      </c>
      <c r="N94" s="379" t="s">
        <v>21</v>
      </c>
      <c r="O94" s="366" t="s">
        <v>475</v>
      </c>
      <c r="P94" s="357" t="s">
        <v>562</v>
      </c>
      <c r="Q94" s="316">
        <v>44255</v>
      </c>
    </row>
    <row r="95" spans="1:17" s="54" customFormat="1" x14ac:dyDescent="0.25">
      <c r="A95" s="321"/>
      <c r="B95" s="301"/>
      <c r="C95" s="304"/>
      <c r="D95" s="301"/>
      <c r="E95" s="304"/>
      <c r="F95" s="301"/>
      <c r="G95" s="294"/>
      <c r="H95" s="215" t="s">
        <v>511</v>
      </c>
      <c r="I95" s="228" t="s">
        <v>20</v>
      </c>
      <c r="J95" s="215" t="s">
        <v>10</v>
      </c>
      <c r="K95" s="249"/>
      <c r="L95" s="143">
        <v>2.760958</v>
      </c>
      <c r="M95" s="304"/>
      <c r="N95" s="381"/>
      <c r="O95" s="368"/>
      <c r="P95" s="359"/>
      <c r="Q95" s="336"/>
    </row>
    <row r="96" spans="1:17" s="54" customFormat="1" x14ac:dyDescent="0.25">
      <c r="A96" s="319" t="s">
        <v>78</v>
      </c>
      <c r="B96" s="299">
        <v>5</v>
      </c>
      <c r="C96" s="302" t="s">
        <v>415</v>
      </c>
      <c r="D96" s="299" t="s">
        <v>398</v>
      </c>
      <c r="E96" s="302" t="s">
        <v>16</v>
      </c>
      <c r="F96" s="299" t="s">
        <v>111</v>
      </c>
      <c r="G96" s="305">
        <v>3.7789999999999999</v>
      </c>
      <c r="H96" s="222" t="s">
        <v>511</v>
      </c>
      <c r="I96" s="223" t="s">
        <v>398</v>
      </c>
      <c r="J96" s="222" t="s">
        <v>16</v>
      </c>
      <c r="K96" s="249" t="s">
        <v>111</v>
      </c>
      <c r="L96" s="143">
        <v>12.332000000000001</v>
      </c>
      <c r="M96" s="302" t="s">
        <v>11</v>
      </c>
      <c r="N96" s="353" t="s">
        <v>437</v>
      </c>
      <c r="O96" s="366" t="s">
        <v>475</v>
      </c>
      <c r="P96" s="357" t="s">
        <v>609</v>
      </c>
      <c r="Q96" s="316">
        <v>44255</v>
      </c>
    </row>
    <row r="97" spans="1:17" x14ac:dyDescent="0.25">
      <c r="A97" s="321"/>
      <c r="B97" s="301"/>
      <c r="C97" s="304"/>
      <c r="D97" s="301"/>
      <c r="E97" s="304"/>
      <c r="F97" s="301"/>
      <c r="G97" s="307"/>
      <c r="H97" s="215" t="s">
        <v>511</v>
      </c>
      <c r="I97" s="223" t="s">
        <v>398</v>
      </c>
      <c r="J97" s="215" t="s">
        <v>10</v>
      </c>
      <c r="K97" s="249"/>
      <c r="L97" s="143">
        <v>2.19591</v>
      </c>
      <c r="M97" s="304"/>
      <c r="N97" s="355"/>
      <c r="O97" s="368"/>
      <c r="P97" s="359"/>
      <c r="Q97" s="336"/>
    </row>
    <row r="98" spans="1:17" ht="60" x14ac:dyDescent="0.25">
      <c r="A98" s="382" t="s">
        <v>79</v>
      </c>
      <c r="B98" s="322">
        <v>1800</v>
      </c>
      <c r="C98" s="174" t="s">
        <v>26</v>
      </c>
      <c r="D98" s="177" t="s">
        <v>17</v>
      </c>
      <c r="E98" s="181" t="s">
        <v>10</v>
      </c>
      <c r="F98" s="177" t="s">
        <v>359</v>
      </c>
      <c r="G98" s="143">
        <v>1800</v>
      </c>
      <c r="H98" s="292"/>
      <c r="I98" s="292"/>
      <c r="J98" s="292"/>
      <c r="K98" s="292"/>
      <c r="L98" s="292"/>
      <c r="M98" s="360" t="s">
        <v>11</v>
      </c>
      <c r="N98" s="350" t="s">
        <v>80</v>
      </c>
      <c r="O98" s="360" t="s">
        <v>19</v>
      </c>
      <c r="P98" s="351" t="s">
        <v>502</v>
      </c>
      <c r="Q98" s="361">
        <v>44255</v>
      </c>
    </row>
    <row r="99" spans="1:17" x14ac:dyDescent="0.25">
      <c r="A99" s="382"/>
      <c r="B99" s="301"/>
      <c r="C99" s="174" t="s">
        <v>26</v>
      </c>
      <c r="D99" s="177" t="s">
        <v>17</v>
      </c>
      <c r="E99" s="181" t="s">
        <v>16</v>
      </c>
      <c r="F99" s="108" t="s">
        <v>111</v>
      </c>
      <c r="G99" s="143">
        <v>37.200000000000003</v>
      </c>
      <c r="H99" s="294"/>
      <c r="I99" s="294"/>
      <c r="J99" s="294"/>
      <c r="K99" s="294"/>
      <c r="L99" s="294"/>
      <c r="M99" s="360"/>
      <c r="N99" s="350"/>
      <c r="O99" s="360"/>
      <c r="P99" s="351"/>
      <c r="Q99" s="361"/>
    </row>
    <row r="100" spans="1:17" ht="60" x14ac:dyDescent="0.25">
      <c r="A100" s="319" t="s">
        <v>81</v>
      </c>
      <c r="B100" s="299">
        <f>11+500</f>
        <v>511</v>
      </c>
      <c r="C100" s="174" t="s">
        <v>26</v>
      </c>
      <c r="D100" s="177" t="s">
        <v>22</v>
      </c>
      <c r="E100" s="181" t="s">
        <v>10</v>
      </c>
      <c r="F100" s="177" t="s">
        <v>359</v>
      </c>
      <c r="G100" s="143">
        <v>500</v>
      </c>
      <c r="H100" s="292"/>
      <c r="I100" s="292"/>
      <c r="J100" s="292"/>
      <c r="K100" s="292"/>
      <c r="L100" s="292"/>
      <c r="M100" s="296" t="s">
        <v>11</v>
      </c>
      <c r="N100" s="379" t="s">
        <v>23</v>
      </c>
      <c r="O100" s="366" t="s">
        <v>475</v>
      </c>
      <c r="P100" s="330" t="s">
        <v>585</v>
      </c>
      <c r="Q100" s="316">
        <v>44255</v>
      </c>
    </row>
    <row r="101" spans="1:17" s="54" customFormat="1" ht="30" x14ac:dyDescent="0.25">
      <c r="A101" s="321"/>
      <c r="B101" s="301"/>
      <c r="C101" s="178" t="s">
        <v>415</v>
      </c>
      <c r="D101" s="177" t="s">
        <v>22</v>
      </c>
      <c r="E101" s="181" t="s">
        <v>16</v>
      </c>
      <c r="F101" s="177" t="s">
        <v>111</v>
      </c>
      <c r="G101" s="143">
        <v>8.1844990000000006</v>
      </c>
      <c r="H101" s="294"/>
      <c r="I101" s="294"/>
      <c r="J101" s="294"/>
      <c r="K101" s="294"/>
      <c r="L101" s="294"/>
      <c r="M101" s="298"/>
      <c r="N101" s="381"/>
      <c r="O101" s="368"/>
      <c r="P101" s="331"/>
      <c r="Q101" s="336"/>
    </row>
    <row r="102" spans="1:17" s="54" customFormat="1" x14ac:dyDescent="0.25">
      <c r="A102" s="319" t="s">
        <v>82</v>
      </c>
      <c r="B102" s="299">
        <v>1000</v>
      </c>
      <c r="C102" s="296" t="s">
        <v>42</v>
      </c>
      <c r="D102" s="299" t="s">
        <v>17</v>
      </c>
      <c r="E102" s="302" t="s">
        <v>111</v>
      </c>
      <c r="F102" s="299" t="s">
        <v>111</v>
      </c>
      <c r="G102" s="292" t="s">
        <v>111</v>
      </c>
      <c r="H102" s="221" t="s">
        <v>511</v>
      </c>
      <c r="I102" s="223" t="s">
        <v>17</v>
      </c>
      <c r="J102" s="222" t="s">
        <v>16</v>
      </c>
      <c r="K102" s="223" t="s">
        <v>111</v>
      </c>
      <c r="L102" s="143">
        <v>1743.4924329999999</v>
      </c>
      <c r="M102" s="302" t="s">
        <v>11</v>
      </c>
      <c r="N102" s="379" t="s">
        <v>18</v>
      </c>
      <c r="O102" s="302" t="s">
        <v>19</v>
      </c>
      <c r="P102" s="357" t="s">
        <v>39</v>
      </c>
      <c r="Q102" s="316">
        <v>44255</v>
      </c>
    </row>
    <row r="103" spans="1:17" ht="30" customHeight="1" x14ac:dyDescent="0.25">
      <c r="A103" s="321"/>
      <c r="B103" s="301"/>
      <c r="C103" s="298"/>
      <c r="D103" s="301"/>
      <c r="E103" s="304"/>
      <c r="F103" s="301"/>
      <c r="G103" s="294"/>
      <c r="H103" s="219" t="s">
        <v>511</v>
      </c>
      <c r="I103" s="223" t="s">
        <v>17</v>
      </c>
      <c r="J103" s="215" t="s">
        <v>10</v>
      </c>
      <c r="K103" s="249"/>
      <c r="L103" s="226">
        <v>2.4300000000000002</v>
      </c>
      <c r="M103" s="304"/>
      <c r="N103" s="381"/>
      <c r="O103" s="304"/>
      <c r="P103" s="359"/>
      <c r="Q103" s="336"/>
    </row>
    <row r="104" spans="1:17" ht="30" x14ac:dyDescent="0.25">
      <c r="A104" s="189" t="s">
        <v>83</v>
      </c>
      <c r="B104" s="81">
        <v>20</v>
      </c>
      <c r="C104" s="174" t="s">
        <v>42</v>
      </c>
      <c r="D104" s="177" t="s">
        <v>14</v>
      </c>
      <c r="E104" s="181" t="s">
        <v>111</v>
      </c>
      <c r="F104" s="177" t="s">
        <v>111</v>
      </c>
      <c r="G104" s="143" t="s">
        <v>111</v>
      </c>
      <c r="H104" s="217"/>
      <c r="I104" s="216"/>
      <c r="J104" s="215"/>
      <c r="K104" s="216"/>
      <c r="L104" s="143"/>
      <c r="M104" s="181" t="s">
        <v>11</v>
      </c>
      <c r="N104" s="175" t="s">
        <v>15</v>
      </c>
      <c r="O104" s="177" t="s">
        <v>73</v>
      </c>
      <c r="P104" s="199"/>
      <c r="Q104" s="191"/>
    </row>
    <row r="105" spans="1:17" x14ac:dyDescent="0.25">
      <c r="A105" s="189" t="s">
        <v>411</v>
      </c>
      <c r="B105" s="81">
        <v>30</v>
      </c>
      <c r="C105" s="174" t="s">
        <v>42</v>
      </c>
      <c r="D105" s="177" t="s">
        <v>396</v>
      </c>
      <c r="E105" s="181" t="s">
        <v>111</v>
      </c>
      <c r="F105" s="177" t="s">
        <v>111</v>
      </c>
      <c r="G105" s="143" t="s">
        <v>111</v>
      </c>
      <c r="H105" s="217"/>
      <c r="I105" s="216"/>
      <c r="J105" s="215"/>
      <c r="K105" s="216"/>
      <c r="L105" s="143"/>
      <c r="M105" s="183" t="s">
        <v>11</v>
      </c>
      <c r="N105" s="175" t="s">
        <v>412</v>
      </c>
      <c r="O105" s="177" t="s">
        <v>219</v>
      </c>
      <c r="P105" s="199"/>
      <c r="Q105" s="191"/>
    </row>
    <row r="106" spans="1:17" ht="30" x14ac:dyDescent="0.25">
      <c r="A106" s="382" t="s">
        <v>84</v>
      </c>
      <c r="B106" s="299">
        <f>158+237</f>
        <v>395</v>
      </c>
      <c r="C106" s="181" t="s">
        <v>26</v>
      </c>
      <c r="D106" s="177" t="s">
        <v>35</v>
      </c>
      <c r="E106" s="181" t="s">
        <v>10</v>
      </c>
      <c r="F106" s="177" t="s">
        <v>357</v>
      </c>
      <c r="G106" s="143">
        <v>157.5</v>
      </c>
      <c r="H106" s="292"/>
      <c r="I106" s="292"/>
      <c r="J106" s="292"/>
      <c r="K106" s="292"/>
      <c r="L106" s="292"/>
      <c r="M106" s="312" t="s">
        <v>443</v>
      </c>
      <c r="N106" s="311" t="s">
        <v>111</v>
      </c>
      <c r="O106" s="366" t="s">
        <v>475</v>
      </c>
      <c r="P106" s="338" t="s">
        <v>456</v>
      </c>
      <c r="Q106" s="348">
        <v>44255</v>
      </c>
    </row>
    <row r="107" spans="1:17" ht="30" x14ac:dyDescent="0.25">
      <c r="A107" s="382"/>
      <c r="B107" s="301"/>
      <c r="C107" s="181" t="s">
        <v>8</v>
      </c>
      <c r="D107" s="177" t="s">
        <v>35</v>
      </c>
      <c r="E107" s="181" t="s">
        <v>10</v>
      </c>
      <c r="F107" s="177" t="s">
        <v>361</v>
      </c>
      <c r="G107" s="143">
        <v>236.7</v>
      </c>
      <c r="H107" s="294"/>
      <c r="I107" s="294"/>
      <c r="J107" s="294"/>
      <c r="K107" s="294"/>
      <c r="L107" s="294"/>
      <c r="M107" s="312"/>
      <c r="N107" s="311"/>
      <c r="O107" s="368"/>
      <c r="P107" s="338"/>
      <c r="Q107" s="349"/>
    </row>
    <row r="108" spans="1:17" x14ac:dyDescent="0.25">
      <c r="A108" s="319" t="s">
        <v>87</v>
      </c>
      <c r="B108" s="299">
        <f>509</f>
        <v>509</v>
      </c>
      <c r="C108" s="181" t="s">
        <v>8</v>
      </c>
      <c r="D108" s="177" t="s">
        <v>17</v>
      </c>
      <c r="E108" s="181" t="s">
        <v>16</v>
      </c>
      <c r="F108" s="177" t="s">
        <v>111</v>
      </c>
      <c r="G108" s="143">
        <f>196.016667+34.744768</f>
        <v>230.76143500000001</v>
      </c>
      <c r="H108" s="302" t="s">
        <v>511</v>
      </c>
      <c r="I108" s="299" t="s">
        <v>17</v>
      </c>
      <c r="J108" s="302" t="s">
        <v>16</v>
      </c>
      <c r="K108" s="299" t="s">
        <v>111</v>
      </c>
      <c r="L108" s="292">
        <v>236.17306099999999</v>
      </c>
      <c r="M108" s="302" t="s">
        <v>11</v>
      </c>
      <c r="N108" s="353" t="s">
        <v>18</v>
      </c>
      <c r="O108" s="302" t="s">
        <v>19</v>
      </c>
      <c r="P108" s="357" t="s">
        <v>503</v>
      </c>
      <c r="Q108" s="316">
        <v>44255</v>
      </c>
    </row>
    <row r="109" spans="1:17" s="54" customFormat="1" ht="60" x14ac:dyDescent="0.25">
      <c r="A109" s="320"/>
      <c r="B109" s="300"/>
      <c r="C109" s="181" t="s">
        <v>8</v>
      </c>
      <c r="D109" s="95" t="s">
        <v>17</v>
      </c>
      <c r="E109" s="181" t="s">
        <v>10</v>
      </c>
      <c r="F109" s="177" t="s">
        <v>359</v>
      </c>
      <c r="G109" s="143">
        <f>278.038565</f>
        <v>278.03856500000001</v>
      </c>
      <c r="H109" s="304"/>
      <c r="I109" s="301"/>
      <c r="J109" s="304"/>
      <c r="K109" s="301"/>
      <c r="L109" s="294"/>
      <c r="M109" s="303"/>
      <c r="N109" s="354"/>
      <c r="O109" s="303"/>
      <c r="P109" s="358"/>
      <c r="Q109" s="335"/>
    </row>
    <row r="110" spans="1:17" s="54" customFormat="1" x14ac:dyDescent="0.25">
      <c r="A110" s="320"/>
      <c r="B110" s="300"/>
      <c r="C110" s="181" t="s">
        <v>415</v>
      </c>
      <c r="D110" s="95" t="s">
        <v>17</v>
      </c>
      <c r="E110" s="181" t="s">
        <v>16</v>
      </c>
      <c r="F110" s="177" t="s">
        <v>111</v>
      </c>
      <c r="G110" s="143">
        <f>155.154616+1.8+68.60198</f>
        <v>225.55659600000001</v>
      </c>
      <c r="H110" s="302" t="s">
        <v>511</v>
      </c>
      <c r="I110" s="308" t="s">
        <v>17</v>
      </c>
      <c r="J110" s="302" t="s">
        <v>10</v>
      </c>
      <c r="K110" s="299"/>
      <c r="L110" s="292">
        <v>19.826938999999999</v>
      </c>
      <c r="M110" s="303"/>
      <c r="N110" s="354"/>
      <c r="O110" s="303"/>
      <c r="P110" s="358"/>
      <c r="Q110" s="335"/>
    </row>
    <row r="111" spans="1:17" s="54" customFormat="1" ht="60" x14ac:dyDescent="0.25">
      <c r="A111" s="321"/>
      <c r="B111" s="301"/>
      <c r="C111" s="183" t="s">
        <v>415</v>
      </c>
      <c r="D111" s="95" t="s">
        <v>17</v>
      </c>
      <c r="E111" s="183" t="s">
        <v>10</v>
      </c>
      <c r="F111" s="177" t="s">
        <v>359</v>
      </c>
      <c r="G111" s="143">
        <v>-225.55659600000001</v>
      </c>
      <c r="H111" s="304"/>
      <c r="I111" s="309"/>
      <c r="J111" s="304"/>
      <c r="K111" s="301"/>
      <c r="L111" s="294"/>
      <c r="M111" s="304"/>
      <c r="N111" s="355"/>
      <c r="O111" s="304"/>
      <c r="P111" s="359"/>
      <c r="Q111" s="318"/>
    </row>
    <row r="112" spans="1:17" ht="60" x14ac:dyDescent="0.25">
      <c r="A112" s="382" t="s">
        <v>88</v>
      </c>
      <c r="B112" s="299">
        <v>54</v>
      </c>
      <c r="C112" s="181" t="s">
        <v>26</v>
      </c>
      <c r="D112" s="177" t="s">
        <v>89</v>
      </c>
      <c r="E112" s="181" t="s">
        <v>10</v>
      </c>
      <c r="F112" s="177" t="s">
        <v>359</v>
      </c>
      <c r="G112" s="143">
        <v>50</v>
      </c>
      <c r="H112" s="292"/>
      <c r="I112" s="292"/>
      <c r="J112" s="292"/>
      <c r="K112" s="292"/>
      <c r="L112" s="292"/>
      <c r="M112" s="302" t="s">
        <v>11</v>
      </c>
      <c r="N112" s="353" t="s">
        <v>90</v>
      </c>
      <c r="O112" s="352" t="s">
        <v>475</v>
      </c>
      <c r="P112" s="345" t="s">
        <v>544</v>
      </c>
      <c r="Q112" s="316">
        <v>44255</v>
      </c>
    </row>
    <row r="113" spans="1:17" s="54" customFormat="1" ht="60" x14ac:dyDescent="0.25">
      <c r="A113" s="382"/>
      <c r="B113" s="300"/>
      <c r="C113" s="181" t="s">
        <v>431</v>
      </c>
      <c r="D113" s="177" t="s">
        <v>89</v>
      </c>
      <c r="E113" s="181" t="s">
        <v>10</v>
      </c>
      <c r="F113" s="177" t="s">
        <v>359</v>
      </c>
      <c r="G113" s="143">
        <v>-13.124556</v>
      </c>
      <c r="H113" s="293"/>
      <c r="I113" s="293"/>
      <c r="J113" s="293"/>
      <c r="K113" s="293"/>
      <c r="L113" s="293"/>
      <c r="M113" s="303"/>
      <c r="N113" s="354"/>
      <c r="O113" s="352"/>
      <c r="P113" s="346"/>
      <c r="Q113" s="335"/>
    </row>
    <row r="114" spans="1:17" s="54" customFormat="1" x14ac:dyDescent="0.25">
      <c r="A114" s="382"/>
      <c r="B114" s="300"/>
      <c r="C114" s="181" t="s">
        <v>415</v>
      </c>
      <c r="D114" s="177" t="s">
        <v>89</v>
      </c>
      <c r="E114" s="181" t="s">
        <v>16</v>
      </c>
      <c r="F114" s="177" t="s">
        <v>111</v>
      </c>
      <c r="G114" s="143">
        <v>13.124556</v>
      </c>
      <c r="H114" s="294"/>
      <c r="I114" s="294"/>
      <c r="J114" s="294"/>
      <c r="K114" s="294"/>
      <c r="L114" s="294"/>
      <c r="M114" s="304"/>
      <c r="N114" s="355"/>
      <c r="O114" s="352"/>
      <c r="P114" s="347"/>
      <c r="Q114" s="336"/>
    </row>
    <row r="115" spans="1:17" ht="60" x14ac:dyDescent="0.25">
      <c r="A115" s="382"/>
      <c r="B115" s="301"/>
      <c r="C115" s="181" t="s">
        <v>8</v>
      </c>
      <c r="D115" s="177" t="s">
        <v>35</v>
      </c>
      <c r="E115" s="181" t="s">
        <v>10</v>
      </c>
      <c r="F115" s="177" t="s">
        <v>359</v>
      </c>
      <c r="G115" s="143">
        <v>4</v>
      </c>
      <c r="H115" s="215"/>
      <c r="I115" s="216"/>
      <c r="J115" s="215"/>
      <c r="K115" s="216"/>
      <c r="L115" s="143"/>
      <c r="M115" s="181" t="s">
        <v>11</v>
      </c>
      <c r="N115" s="182" t="s">
        <v>36</v>
      </c>
      <c r="O115" s="240" t="s">
        <v>475</v>
      </c>
      <c r="P115" s="199" t="s">
        <v>551</v>
      </c>
      <c r="Q115" s="190">
        <v>44255</v>
      </c>
    </row>
    <row r="116" spans="1:17" ht="30" customHeight="1" x14ac:dyDescent="0.25">
      <c r="A116" s="189" t="s">
        <v>93</v>
      </c>
      <c r="B116" s="81">
        <v>34</v>
      </c>
      <c r="C116" s="181" t="s">
        <v>415</v>
      </c>
      <c r="D116" s="177" t="s">
        <v>89</v>
      </c>
      <c r="E116" s="181" t="s">
        <v>16</v>
      </c>
      <c r="F116" s="177" t="s">
        <v>111</v>
      </c>
      <c r="G116" s="143">
        <f>31.7+2.06709+0.14</f>
        <v>33.907089999999997</v>
      </c>
      <c r="H116" s="215"/>
      <c r="I116" s="216"/>
      <c r="J116" s="215"/>
      <c r="K116" s="216"/>
      <c r="L116" s="143"/>
      <c r="M116" s="181" t="s">
        <v>11</v>
      </c>
      <c r="N116" s="182" t="s">
        <v>90</v>
      </c>
      <c r="O116" s="181" t="s">
        <v>13</v>
      </c>
      <c r="P116" s="96"/>
      <c r="Q116" s="209"/>
    </row>
    <row r="117" spans="1:17" x14ac:dyDescent="0.25">
      <c r="A117" s="382" t="s">
        <v>94</v>
      </c>
      <c r="B117" s="299">
        <v>59</v>
      </c>
      <c r="C117" s="181" t="s">
        <v>8</v>
      </c>
      <c r="D117" s="177" t="s">
        <v>89</v>
      </c>
      <c r="E117" s="181" t="s">
        <v>16</v>
      </c>
      <c r="F117" s="177" t="s">
        <v>111</v>
      </c>
      <c r="G117" s="143">
        <v>30.004252000000001</v>
      </c>
      <c r="H117" s="292"/>
      <c r="I117" s="292"/>
      <c r="J117" s="292"/>
      <c r="K117" s="292"/>
      <c r="L117" s="292"/>
      <c r="M117" s="311" t="s">
        <v>11</v>
      </c>
      <c r="N117" s="337" t="s">
        <v>90</v>
      </c>
      <c r="O117" s="352" t="s">
        <v>475</v>
      </c>
      <c r="P117" s="357" t="s">
        <v>541</v>
      </c>
      <c r="Q117" s="348">
        <v>44255</v>
      </c>
    </row>
    <row r="118" spans="1:17" ht="30" x14ac:dyDescent="0.25">
      <c r="A118" s="382"/>
      <c r="B118" s="300"/>
      <c r="C118" s="181" t="s">
        <v>8</v>
      </c>
      <c r="D118" s="177" t="s">
        <v>89</v>
      </c>
      <c r="E118" s="181" t="s">
        <v>10</v>
      </c>
      <c r="F118" s="177" t="s">
        <v>361</v>
      </c>
      <c r="G118" s="143">
        <v>5</v>
      </c>
      <c r="H118" s="294"/>
      <c r="I118" s="294"/>
      <c r="J118" s="294"/>
      <c r="K118" s="294"/>
      <c r="L118" s="294"/>
      <c r="M118" s="311"/>
      <c r="N118" s="337"/>
      <c r="O118" s="352"/>
      <c r="P118" s="359"/>
      <c r="Q118" s="348"/>
    </row>
    <row r="119" spans="1:17" ht="30" x14ac:dyDescent="0.25">
      <c r="A119" s="382"/>
      <c r="B119" s="300"/>
      <c r="C119" s="181" t="s">
        <v>8</v>
      </c>
      <c r="D119" s="177" t="s">
        <v>35</v>
      </c>
      <c r="E119" s="181" t="s">
        <v>10</v>
      </c>
      <c r="F119" s="177" t="s">
        <v>361</v>
      </c>
      <c r="G119" s="143">
        <v>15.495009</v>
      </c>
      <c r="H119" s="292"/>
      <c r="I119" s="292"/>
      <c r="J119" s="292"/>
      <c r="K119" s="292"/>
      <c r="L119" s="292"/>
      <c r="M119" s="311" t="s">
        <v>11</v>
      </c>
      <c r="N119" s="337" t="s">
        <v>36</v>
      </c>
      <c r="O119" s="352" t="s">
        <v>475</v>
      </c>
      <c r="P119" s="378" t="s">
        <v>546</v>
      </c>
      <c r="Q119" s="316">
        <v>44255</v>
      </c>
    </row>
    <row r="120" spans="1:17" ht="30" x14ac:dyDescent="0.25">
      <c r="A120" s="382"/>
      <c r="B120" s="301"/>
      <c r="C120" s="181" t="s">
        <v>8</v>
      </c>
      <c r="D120" s="177" t="s">
        <v>35</v>
      </c>
      <c r="E120" s="181" t="s">
        <v>16</v>
      </c>
      <c r="F120" s="177" t="s">
        <v>111</v>
      </c>
      <c r="G120" s="143">
        <v>6.9344419999999998</v>
      </c>
      <c r="H120" s="294"/>
      <c r="I120" s="294"/>
      <c r="J120" s="294"/>
      <c r="K120" s="294"/>
      <c r="L120" s="294"/>
      <c r="M120" s="311"/>
      <c r="N120" s="337"/>
      <c r="O120" s="352"/>
      <c r="P120" s="378"/>
      <c r="Q120" s="336"/>
    </row>
    <row r="121" spans="1:17" ht="60" x14ac:dyDescent="0.25">
      <c r="A121" s="189" t="s">
        <v>95</v>
      </c>
      <c r="B121" s="81">
        <v>292</v>
      </c>
      <c r="C121" s="181" t="s">
        <v>8</v>
      </c>
      <c r="D121" s="177" t="s">
        <v>96</v>
      </c>
      <c r="E121" s="181" t="s">
        <v>16</v>
      </c>
      <c r="F121" s="177" t="s">
        <v>111</v>
      </c>
      <c r="G121" s="143">
        <f>234.707427+21.265071</f>
        <v>255.972498</v>
      </c>
      <c r="H121" s="215"/>
      <c r="I121" s="216"/>
      <c r="J121" s="215"/>
      <c r="K121" s="249"/>
      <c r="L121" s="143"/>
      <c r="M121" s="177" t="s">
        <v>443</v>
      </c>
      <c r="N121" s="173" t="s">
        <v>111</v>
      </c>
      <c r="O121" s="247" t="s">
        <v>475</v>
      </c>
      <c r="P121" s="248" t="s">
        <v>610</v>
      </c>
      <c r="Q121" s="271">
        <v>44255</v>
      </c>
    </row>
    <row r="122" spans="1:17" ht="30" x14ac:dyDescent="0.25">
      <c r="A122" s="382" t="s">
        <v>97</v>
      </c>
      <c r="B122" s="299">
        <v>25</v>
      </c>
      <c r="C122" s="181" t="s">
        <v>8</v>
      </c>
      <c r="D122" s="177" t="s">
        <v>35</v>
      </c>
      <c r="E122" s="181" t="s">
        <v>10</v>
      </c>
      <c r="F122" s="177" t="s">
        <v>361</v>
      </c>
      <c r="G122" s="143">
        <v>12.65</v>
      </c>
      <c r="H122" s="215" t="s">
        <v>511</v>
      </c>
      <c r="I122" s="228" t="s">
        <v>35</v>
      </c>
      <c r="J122" s="215" t="s">
        <v>10</v>
      </c>
      <c r="K122" s="249"/>
      <c r="L122" s="163">
        <v>0.21093200000000001</v>
      </c>
      <c r="M122" s="311" t="s">
        <v>11</v>
      </c>
      <c r="N122" s="337" t="s">
        <v>36</v>
      </c>
      <c r="O122" s="352" t="s">
        <v>475</v>
      </c>
      <c r="P122" s="378" t="s">
        <v>457</v>
      </c>
      <c r="Q122" s="316">
        <v>44255</v>
      </c>
    </row>
    <row r="123" spans="1:17" ht="30" x14ac:dyDescent="0.25">
      <c r="A123" s="382"/>
      <c r="B123" s="301"/>
      <c r="C123" s="181" t="s">
        <v>8</v>
      </c>
      <c r="D123" s="177" t="s">
        <v>35</v>
      </c>
      <c r="E123" s="181" t="s">
        <v>16</v>
      </c>
      <c r="F123" s="194" t="s">
        <v>111</v>
      </c>
      <c r="G123" s="143">
        <f>11.5+0.97319</f>
        <v>12.473190000000001</v>
      </c>
      <c r="H123" s="215" t="s">
        <v>511</v>
      </c>
      <c r="I123" s="228" t="s">
        <v>35</v>
      </c>
      <c r="J123" s="215" t="s">
        <v>16</v>
      </c>
      <c r="K123" s="250" t="s">
        <v>111</v>
      </c>
      <c r="L123" s="143">
        <v>12.989068</v>
      </c>
      <c r="M123" s="311"/>
      <c r="N123" s="337"/>
      <c r="O123" s="352"/>
      <c r="P123" s="378"/>
      <c r="Q123" s="336"/>
    </row>
    <row r="124" spans="1:17" ht="30" x14ac:dyDescent="0.25">
      <c r="A124" s="319" t="s">
        <v>98</v>
      </c>
      <c r="B124" s="299">
        <v>506</v>
      </c>
      <c r="C124" s="181" t="s">
        <v>415</v>
      </c>
      <c r="D124" s="177" t="s">
        <v>20</v>
      </c>
      <c r="E124" s="181" t="s">
        <v>10</v>
      </c>
      <c r="F124" s="177" t="s">
        <v>623</v>
      </c>
      <c r="G124" s="143">
        <v>505.65</v>
      </c>
      <c r="H124" s="215" t="s">
        <v>511</v>
      </c>
      <c r="I124" s="228" t="s">
        <v>20</v>
      </c>
      <c r="J124" s="215" t="s">
        <v>10</v>
      </c>
      <c r="K124" s="249"/>
      <c r="L124" s="163">
        <v>0.16175200000000001</v>
      </c>
      <c r="M124" s="302" t="s">
        <v>11</v>
      </c>
      <c r="N124" s="379" t="s">
        <v>21</v>
      </c>
      <c r="O124" s="302" t="s">
        <v>13</v>
      </c>
      <c r="P124" s="357"/>
      <c r="Q124" s="375"/>
    </row>
    <row r="125" spans="1:17" s="54" customFormat="1" x14ac:dyDescent="0.25">
      <c r="A125" s="321"/>
      <c r="B125" s="301"/>
      <c r="C125" s="181" t="s">
        <v>415</v>
      </c>
      <c r="D125" s="177" t="s">
        <v>20</v>
      </c>
      <c r="E125" s="181" t="s">
        <v>16</v>
      </c>
      <c r="F125" s="177" t="s">
        <v>111</v>
      </c>
      <c r="G125" s="163">
        <f>2.32261-2.066</f>
        <v>0.25661000000000023</v>
      </c>
      <c r="H125" s="215" t="s">
        <v>511</v>
      </c>
      <c r="I125" s="228" t="s">
        <v>20</v>
      </c>
      <c r="J125" s="215" t="s">
        <v>16</v>
      </c>
      <c r="K125" s="249" t="s">
        <v>111</v>
      </c>
      <c r="L125" s="143">
        <v>502.469831</v>
      </c>
      <c r="M125" s="304"/>
      <c r="N125" s="381"/>
      <c r="O125" s="304"/>
      <c r="P125" s="359"/>
      <c r="Q125" s="318"/>
    </row>
    <row r="126" spans="1:17" ht="60" x14ac:dyDescent="0.25">
      <c r="A126" s="382" t="s">
        <v>99</v>
      </c>
      <c r="B126" s="299">
        <v>241</v>
      </c>
      <c r="C126" s="174" t="s">
        <v>26</v>
      </c>
      <c r="D126" s="177" t="s">
        <v>20</v>
      </c>
      <c r="E126" s="181" t="s">
        <v>10</v>
      </c>
      <c r="F126" s="177" t="s">
        <v>359</v>
      </c>
      <c r="G126" s="143">
        <v>253.264557</v>
      </c>
      <c r="H126" s="292"/>
      <c r="I126" s="292"/>
      <c r="J126" s="292"/>
      <c r="K126" s="292"/>
      <c r="L126" s="292"/>
      <c r="M126" s="360" t="s">
        <v>11</v>
      </c>
      <c r="N126" s="350" t="s">
        <v>100</v>
      </c>
      <c r="O126" s="366" t="s">
        <v>475</v>
      </c>
      <c r="P126" s="351" t="s">
        <v>563</v>
      </c>
      <c r="Q126" s="361">
        <v>44255</v>
      </c>
    </row>
    <row r="127" spans="1:17" ht="60" x14ac:dyDescent="0.25">
      <c r="A127" s="382"/>
      <c r="B127" s="300"/>
      <c r="C127" s="174" t="s">
        <v>8</v>
      </c>
      <c r="D127" s="177" t="s">
        <v>20</v>
      </c>
      <c r="E127" s="181" t="s">
        <v>10</v>
      </c>
      <c r="F127" s="177" t="s">
        <v>359</v>
      </c>
      <c r="G127" s="143">
        <v>-101.336512</v>
      </c>
      <c r="H127" s="293"/>
      <c r="I127" s="293"/>
      <c r="J127" s="293"/>
      <c r="K127" s="293"/>
      <c r="L127" s="293"/>
      <c r="M127" s="360"/>
      <c r="N127" s="350"/>
      <c r="O127" s="367"/>
      <c r="P127" s="351"/>
      <c r="Q127" s="399"/>
    </row>
    <row r="128" spans="1:17" s="54" customFormat="1" x14ac:dyDescent="0.25">
      <c r="A128" s="382"/>
      <c r="B128" s="300"/>
      <c r="C128" s="174" t="s">
        <v>8</v>
      </c>
      <c r="D128" s="177" t="s">
        <v>20</v>
      </c>
      <c r="E128" s="181" t="s">
        <v>16</v>
      </c>
      <c r="F128" s="177" t="s">
        <v>111</v>
      </c>
      <c r="G128" s="143">
        <f>14.975267+85</f>
        <v>99.975267000000002</v>
      </c>
      <c r="H128" s="293"/>
      <c r="I128" s="293"/>
      <c r="J128" s="293"/>
      <c r="K128" s="293"/>
      <c r="L128" s="293"/>
      <c r="M128" s="360"/>
      <c r="N128" s="350"/>
      <c r="O128" s="367"/>
      <c r="P128" s="351"/>
      <c r="Q128" s="399"/>
    </row>
    <row r="129" spans="1:17" s="54" customFormat="1" ht="60" x14ac:dyDescent="0.25">
      <c r="A129" s="382"/>
      <c r="B129" s="300"/>
      <c r="C129" s="174" t="s">
        <v>415</v>
      </c>
      <c r="D129" s="177" t="s">
        <v>20</v>
      </c>
      <c r="E129" s="181" t="s">
        <v>10</v>
      </c>
      <c r="F129" s="177" t="s">
        <v>359</v>
      </c>
      <c r="G129" s="143">
        <v>-116.14223699999999</v>
      </c>
      <c r="H129" s="293"/>
      <c r="I129" s="293"/>
      <c r="J129" s="293"/>
      <c r="K129" s="293"/>
      <c r="L129" s="293"/>
      <c r="M129" s="360"/>
      <c r="N129" s="350"/>
      <c r="O129" s="367"/>
      <c r="P129" s="351"/>
      <c r="Q129" s="399"/>
    </row>
    <row r="130" spans="1:17" s="54" customFormat="1" x14ac:dyDescent="0.25">
      <c r="A130" s="382"/>
      <c r="B130" s="300"/>
      <c r="C130" s="174" t="s">
        <v>415</v>
      </c>
      <c r="D130" s="177" t="s">
        <v>20</v>
      </c>
      <c r="E130" s="181" t="s">
        <v>16</v>
      </c>
      <c r="F130" s="177" t="s">
        <v>111</v>
      </c>
      <c r="G130" s="143">
        <v>47.492269</v>
      </c>
      <c r="H130" s="293"/>
      <c r="I130" s="293"/>
      <c r="J130" s="293"/>
      <c r="K130" s="293"/>
      <c r="L130" s="293"/>
      <c r="M130" s="360"/>
      <c r="N130" s="350"/>
      <c r="O130" s="367"/>
      <c r="P130" s="351"/>
      <c r="Q130" s="399"/>
    </row>
    <row r="131" spans="1:17" ht="30" x14ac:dyDescent="0.25">
      <c r="A131" s="382"/>
      <c r="B131" s="301"/>
      <c r="C131" s="174" t="s">
        <v>415</v>
      </c>
      <c r="D131" s="177" t="s">
        <v>20</v>
      </c>
      <c r="E131" s="183" t="s">
        <v>10</v>
      </c>
      <c r="F131" s="177" t="s">
        <v>623</v>
      </c>
      <c r="G131" s="145">
        <v>68.649968000000001</v>
      </c>
      <c r="H131" s="294"/>
      <c r="I131" s="294"/>
      <c r="J131" s="294"/>
      <c r="K131" s="294"/>
      <c r="L131" s="294"/>
      <c r="M131" s="360"/>
      <c r="N131" s="350"/>
      <c r="O131" s="368"/>
      <c r="P131" s="351"/>
      <c r="Q131" s="399"/>
    </row>
    <row r="132" spans="1:17" ht="29.25" customHeight="1" x14ac:dyDescent="0.25">
      <c r="A132" s="319" t="s">
        <v>101</v>
      </c>
      <c r="B132" s="299">
        <v>93</v>
      </c>
      <c r="C132" s="174" t="s">
        <v>415</v>
      </c>
      <c r="D132" s="177" t="s">
        <v>20</v>
      </c>
      <c r="E132" s="181" t="s">
        <v>10</v>
      </c>
      <c r="F132" s="177" t="s">
        <v>623</v>
      </c>
      <c r="G132" s="143">
        <v>43</v>
      </c>
      <c r="H132" s="217"/>
      <c r="I132" s="216"/>
      <c r="J132" s="215"/>
      <c r="K132" s="216"/>
      <c r="L132" s="143"/>
      <c r="M132" s="181" t="s">
        <v>11</v>
      </c>
      <c r="N132" s="179" t="s">
        <v>21</v>
      </c>
      <c r="O132" s="242" t="s">
        <v>475</v>
      </c>
      <c r="P132" s="199" t="s">
        <v>561</v>
      </c>
      <c r="Q132" s="243">
        <v>44255</v>
      </c>
    </row>
    <row r="133" spans="1:17" s="54" customFormat="1" ht="29.25" customHeight="1" x14ac:dyDescent="0.25">
      <c r="A133" s="321"/>
      <c r="B133" s="301"/>
      <c r="C133" s="174" t="s">
        <v>415</v>
      </c>
      <c r="D133" s="177" t="s">
        <v>17</v>
      </c>
      <c r="E133" s="181" t="s">
        <v>16</v>
      </c>
      <c r="F133" s="177" t="s">
        <v>111</v>
      </c>
      <c r="G133" s="143">
        <v>50</v>
      </c>
      <c r="H133" s="217"/>
      <c r="I133" s="216"/>
      <c r="J133" s="215"/>
      <c r="K133" s="216"/>
      <c r="L133" s="143"/>
      <c r="M133" s="181" t="s">
        <v>11</v>
      </c>
      <c r="N133" s="175" t="s">
        <v>18</v>
      </c>
      <c r="O133" s="181" t="s">
        <v>19</v>
      </c>
      <c r="P133" s="199" t="s">
        <v>39</v>
      </c>
      <c r="Q133" s="190">
        <v>44255</v>
      </c>
    </row>
    <row r="134" spans="1:17" s="54" customFormat="1" x14ac:dyDescent="0.25">
      <c r="A134" s="319" t="s">
        <v>102</v>
      </c>
      <c r="B134" s="299">
        <v>21</v>
      </c>
      <c r="C134" s="296" t="s">
        <v>415</v>
      </c>
      <c r="D134" s="299" t="s">
        <v>20</v>
      </c>
      <c r="E134" s="302" t="s">
        <v>10</v>
      </c>
      <c r="F134" s="299" t="s">
        <v>623</v>
      </c>
      <c r="G134" s="292">
        <f>64.4273-43</f>
        <v>21.427300000000002</v>
      </c>
      <c r="H134" s="231" t="s">
        <v>511</v>
      </c>
      <c r="I134" s="228" t="s">
        <v>20</v>
      </c>
      <c r="J134" s="229" t="s">
        <v>16</v>
      </c>
      <c r="K134" s="228" t="s">
        <v>111</v>
      </c>
      <c r="L134" s="143">
        <v>44.169148999999997</v>
      </c>
      <c r="M134" s="302" t="s">
        <v>11</v>
      </c>
      <c r="N134" s="379" t="s">
        <v>21</v>
      </c>
      <c r="O134" s="302" t="s">
        <v>13</v>
      </c>
      <c r="P134" s="302"/>
      <c r="Q134" s="316"/>
    </row>
    <row r="135" spans="1:17" x14ac:dyDescent="0.25">
      <c r="A135" s="321"/>
      <c r="B135" s="301"/>
      <c r="C135" s="298"/>
      <c r="D135" s="301"/>
      <c r="E135" s="304"/>
      <c r="F135" s="301"/>
      <c r="G135" s="294"/>
      <c r="H135" s="217" t="s">
        <v>511</v>
      </c>
      <c r="I135" s="216" t="s">
        <v>20</v>
      </c>
      <c r="J135" s="215" t="s">
        <v>10</v>
      </c>
      <c r="K135" s="249"/>
      <c r="L135" s="163">
        <v>0.22308800000000001</v>
      </c>
      <c r="M135" s="304"/>
      <c r="N135" s="381"/>
      <c r="O135" s="304"/>
      <c r="P135" s="304"/>
      <c r="Q135" s="336"/>
    </row>
    <row r="136" spans="1:17" ht="30" x14ac:dyDescent="0.25">
      <c r="A136" s="382" t="s">
        <v>103</v>
      </c>
      <c r="B136" s="299">
        <f>100+35</f>
        <v>135</v>
      </c>
      <c r="C136" s="181" t="s">
        <v>26</v>
      </c>
      <c r="D136" s="177" t="s">
        <v>104</v>
      </c>
      <c r="E136" s="181" t="s">
        <v>16</v>
      </c>
      <c r="F136" s="177" t="s">
        <v>111</v>
      </c>
      <c r="G136" s="143">
        <v>59.32</v>
      </c>
      <c r="H136" s="292"/>
      <c r="I136" s="292"/>
      <c r="J136" s="292"/>
      <c r="K136" s="292"/>
      <c r="L136" s="292"/>
      <c r="M136" s="311" t="s">
        <v>11</v>
      </c>
      <c r="N136" s="337" t="s">
        <v>105</v>
      </c>
      <c r="O136" s="342" t="s">
        <v>475</v>
      </c>
      <c r="P136" s="338" t="s">
        <v>583</v>
      </c>
      <c r="Q136" s="332">
        <v>44255</v>
      </c>
    </row>
    <row r="137" spans="1:17" ht="30" x14ac:dyDescent="0.25">
      <c r="A137" s="382"/>
      <c r="B137" s="300"/>
      <c r="C137" s="181" t="s">
        <v>26</v>
      </c>
      <c r="D137" s="177" t="s">
        <v>104</v>
      </c>
      <c r="E137" s="181" t="s">
        <v>10</v>
      </c>
      <c r="F137" s="177" t="s">
        <v>357</v>
      </c>
      <c r="G137" s="143">
        <v>40.68</v>
      </c>
      <c r="H137" s="293"/>
      <c r="I137" s="293"/>
      <c r="J137" s="293"/>
      <c r="K137" s="293"/>
      <c r="L137" s="293"/>
      <c r="M137" s="311"/>
      <c r="N137" s="337"/>
      <c r="O137" s="343"/>
      <c r="P137" s="338"/>
      <c r="Q137" s="333"/>
    </row>
    <row r="138" spans="1:17" ht="30" x14ac:dyDescent="0.25">
      <c r="A138" s="382"/>
      <c r="B138" s="300"/>
      <c r="C138" s="181" t="s">
        <v>8</v>
      </c>
      <c r="D138" s="177" t="s">
        <v>104</v>
      </c>
      <c r="E138" s="181" t="s">
        <v>10</v>
      </c>
      <c r="F138" s="177" t="s">
        <v>357</v>
      </c>
      <c r="G138" s="143">
        <v>-1.2203999999999999</v>
      </c>
      <c r="H138" s="293"/>
      <c r="I138" s="293"/>
      <c r="J138" s="293"/>
      <c r="K138" s="293"/>
      <c r="L138" s="293"/>
      <c r="M138" s="311"/>
      <c r="N138" s="337"/>
      <c r="O138" s="343"/>
      <c r="P138" s="338"/>
      <c r="Q138" s="333"/>
    </row>
    <row r="139" spans="1:17" s="54" customFormat="1" ht="30" x14ac:dyDescent="0.25">
      <c r="A139" s="382"/>
      <c r="B139" s="300"/>
      <c r="C139" s="181" t="s">
        <v>8</v>
      </c>
      <c r="D139" s="177" t="s">
        <v>104</v>
      </c>
      <c r="E139" s="181" t="s">
        <v>16</v>
      </c>
      <c r="F139" s="177" t="s">
        <v>111</v>
      </c>
      <c r="G139" s="143">
        <v>1.2203999999999999</v>
      </c>
      <c r="H139" s="293"/>
      <c r="I139" s="293"/>
      <c r="J139" s="293"/>
      <c r="K139" s="293"/>
      <c r="L139" s="293"/>
      <c r="M139" s="311"/>
      <c r="N139" s="337"/>
      <c r="O139" s="343"/>
      <c r="P139" s="338"/>
      <c r="Q139" s="333"/>
    </row>
    <row r="140" spans="1:17" ht="30" x14ac:dyDescent="0.25">
      <c r="A140" s="382"/>
      <c r="B140" s="301"/>
      <c r="C140" s="183" t="s">
        <v>415</v>
      </c>
      <c r="D140" s="177" t="s">
        <v>104</v>
      </c>
      <c r="E140" s="183" t="s">
        <v>16</v>
      </c>
      <c r="F140" s="187" t="s">
        <v>111</v>
      </c>
      <c r="G140" s="143">
        <v>35</v>
      </c>
      <c r="H140" s="294"/>
      <c r="I140" s="294"/>
      <c r="J140" s="294"/>
      <c r="K140" s="294"/>
      <c r="L140" s="294"/>
      <c r="M140" s="311"/>
      <c r="N140" s="337"/>
      <c r="O140" s="344"/>
      <c r="P140" s="338"/>
      <c r="Q140" s="334"/>
    </row>
    <row r="141" spans="1:17" ht="30" x14ac:dyDescent="0.25">
      <c r="A141" s="189" t="s">
        <v>106</v>
      </c>
      <c r="B141" s="81">
        <v>0</v>
      </c>
      <c r="C141" s="181" t="s">
        <v>42</v>
      </c>
      <c r="D141" s="177" t="s">
        <v>104</v>
      </c>
      <c r="E141" s="181" t="s">
        <v>111</v>
      </c>
      <c r="F141" s="177" t="s">
        <v>111</v>
      </c>
      <c r="G141" s="143" t="s">
        <v>111</v>
      </c>
      <c r="H141" s="215"/>
      <c r="I141" s="216"/>
      <c r="J141" s="215"/>
      <c r="K141" s="216"/>
      <c r="L141" s="143"/>
      <c r="M141" s="181" t="s">
        <v>377</v>
      </c>
      <c r="N141" s="181"/>
      <c r="O141" s="181"/>
      <c r="P141" s="199"/>
      <c r="Q141" s="191"/>
    </row>
    <row r="142" spans="1:17" ht="60" x14ac:dyDescent="0.25">
      <c r="A142" s="382" t="s">
        <v>107</v>
      </c>
      <c r="B142" s="299">
        <f>285+537</f>
        <v>822</v>
      </c>
      <c r="C142" s="174" t="s">
        <v>26</v>
      </c>
      <c r="D142" s="177" t="s">
        <v>37</v>
      </c>
      <c r="E142" s="181" t="s">
        <v>10</v>
      </c>
      <c r="F142" s="177" t="s">
        <v>359</v>
      </c>
      <c r="G142" s="143">
        <v>280.536</v>
      </c>
      <c r="H142" s="360" t="s">
        <v>511</v>
      </c>
      <c r="I142" s="312" t="s">
        <v>37</v>
      </c>
      <c r="J142" s="311" t="s">
        <v>10</v>
      </c>
      <c r="K142" s="312"/>
      <c r="L142" s="313">
        <v>1.3758459999999999</v>
      </c>
      <c r="M142" s="296" t="s">
        <v>11</v>
      </c>
      <c r="N142" s="379" t="s">
        <v>38</v>
      </c>
      <c r="O142" s="366" t="s">
        <v>475</v>
      </c>
      <c r="P142" s="372" t="s">
        <v>565</v>
      </c>
      <c r="Q142" s="332">
        <v>44255</v>
      </c>
    </row>
    <row r="143" spans="1:17" s="54" customFormat="1" x14ac:dyDescent="0.25">
      <c r="A143" s="382"/>
      <c r="B143" s="300"/>
      <c r="C143" s="174" t="s">
        <v>415</v>
      </c>
      <c r="D143" s="177" t="s">
        <v>37</v>
      </c>
      <c r="E143" s="181" t="s">
        <v>16</v>
      </c>
      <c r="F143" s="177" t="s">
        <v>111</v>
      </c>
      <c r="G143" s="143">
        <f>61.136105+16.606763+447.9837</f>
        <v>525.72656800000004</v>
      </c>
      <c r="H143" s="360"/>
      <c r="I143" s="312"/>
      <c r="J143" s="311"/>
      <c r="K143" s="312"/>
      <c r="L143" s="313"/>
      <c r="M143" s="297"/>
      <c r="N143" s="380"/>
      <c r="O143" s="367"/>
      <c r="P143" s="373"/>
      <c r="Q143" s="333"/>
    </row>
    <row r="144" spans="1:17" s="54" customFormat="1" x14ac:dyDescent="0.25">
      <c r="A144" s="382"/>
      <c r="B144" s="300"/>
      <c r="C144" s="174" t="s">
        <v>415</v>
      </c>
      <c r="D144" s="177" t="s">
        <v>37</v>
      </c>
      <c r="E144" s="181" t="s">
        <v>16</v>
      </c>
      <c r="F144" s="177" t="s">
        <v>111</v>
      </c>
      <c r="G144" s="143">
        <v>1.2530349999999999</v>
      </c>
      <c r="H144" s="296" t="s">
        <v>511</v>
      </c>
      <c r="I144" s="299" t="s">
        <v>37</v>
      </c>
      <c r="J144" s="302" t="s">
        <v>16</v>
      </c>
      <c r="K144" s="299" t="s">
        <v>111</v>
      </c>
      <c r="L144" s="292">
        <v>92.144615999999999</v>
      </c>
      <c r="M144" s="297"/>
      <c r="N144" s="380"/>
      <c r="O144" s="367"/>
      <c r="P144" s="373"/>
      <c r="Q144" s="333"/>
    </row>
    <row r="145" spans="1:17" s="54" customFormat="1" ht="60" x14ac:dyDescent="0.25">
      <c r="A145" s="382"/>
      <c r="B145" s="300"/>
      <c r="C145" s="174" t="s">
        <v>415</v>
      </c>
      <c r="D145" s="177" t="s">
        <v>37</v>
      </c>
      <c r="E145" s="181" t="s">
        <v>10</v>
      </c>
      <c r="F145" s="177" t="s">
        <v>359</v>
      </c>
      <c r="G145" s="143">
        <v>-1.2530349999999999</v>
      </c>
      <c r="H145" s="298"/>
      <c r="I145" s="301"/>
      <c r="J145" s="304"/>
      <c r="K145" s="301"/>
      <c r="L145" s="294"/>
      <c r="M145" s="298"/>
      <c r="N145" s="381"/>
      <c r="O145" s="368"/>
      <c r="P145" s="374"/>
      <c r="Q145" s="334"/>
    </row>
    <row r="146" spans="1:17" s="54" customFormat="1" ht="60" x14ac:dyDescent="0.25">
      <c r="A146" s="382"/>
      <c r="B146" s="300"/>
      <c r="C146" s="174" t="s">
        <v>8</v>
      </c>
      <c r="D146" s="177" t="s">
        <v>91</v>
      </c>
      <c r="E146" s="181" t="s">
        <v>10</v>
      </c>
      <c r="F146" s="177" t="s">
        <v>359</v>
      </c>
      <c r="G146" s="143">
        <v>1.1000000000000001</v>
      </c>
      <c r="H146" s="217"/>
      <c r="I146" s="216"/>
      <c r="J146" s="215"/>
      <c r="K146" s="216"/>
      <c r="L146" s="143"/>
      <c r="M146" s="174" t="s">
        <v>11</v>
      </c>
      <c r="N146" s="182" t="s">
        <v>92</v>
      </c>
      <c r="O146" s="176" t="s">
        <v>19</v>
      </c>
      <c r="P146" s="201" t="s">
        <v>343</v>
      </c>
      <c r="Q146" s="202">
        <v>44255</v>
      </c>
    </row>
    <row r="147" spans="1:17" s="54" customFormat="1" x14ac:dyDescent="0.25">
      <c r="A147" s="382"/>
      <c r="B147" s="300"/>
      <c r="C147" s="174" t="s">
        <v>415</v>
      </c>
      <c r="D147" s="177" t="s">
        <v>17</v>
      </c>
      <c r="E147" s="181" t="s">
        <v>16</v>
      </c>
      <c r="F147" s="177" t="s">
        <v>111</v>
      </c>
      <c r="G147" s="143">
        <v>6.25</v>
      </c>
      <c r="H147" s="217"/>
      <c r="I147" s="216"/>
      <c r="J147" s="215"/>
      <c r="K147" s="216"/>
      <c r="L147" s="143"/>
      <c r="M147" s="181" t="s">
        <v>11</v>
      </c>
      <c r="N147" s="175" t="s">
        <v>18</v>
      </c>
      <c r="O147" s="176" t="s">
        <v>13</v>
      </c>
      <c r="P147" s="201"/>
      <c r="Q147" s="202"/>
    </row>
    <row r="148" spans="1:17" x14ac:dyDescent="0.25">
      <c r="A148" s="382"/>
      <c r="B148" s="301"/>
      <c r="C148" s="174" t="s">
        <v>415</v>
      </c>
      <c r="D148" s="177" t="s">
        <v>20</v>
      </c>
      <c r="E148" s="181" t="s">
        <v>16</v>
      </c>
      <c r="F148" s="177" t="s">
        <v>111</v>
      </c>
      <c r="G148" s="143">
        <v>2.0659999999999998</v>
      </c>
      <c r="H148" s="217" t="s">
        <v>511</v>
      </c>
      <c r="I148" s="228" t="s">
        <v>20</v>
      </c>
      <c r="J148" s="215" t="s">
        <v>16</v>
      </c>
      <c r="K148" s="216" t="s">
        <v>111</v>
      </c>
      <c r="L148" s="163">
        <v>0.45</v>
      </c>
      <c r="M148" s="181" t="s">
        <v>11</v>
      </c>
      <c r="N148" s="179" t="s">
        <v>21</v>
      </c>
      <c r="O148" s="181" t="s">
        <v>13</v>
      </c>
      <c r="P148" s="199"/>
      <c r="Q148" s="191"/>
    </row>
    <row r="149" spans="1:17" ht="30" x14ac:dyDescent="0.25">
      <c r="A149" s="319" t="s">
        <v>108</v>
      </c>
      <c r="B149" s="299">
        <v>83</v>
      </c>
      <c r="C149" s="181" t="s">
        <v>8</v>
      </c>
      <c r="D149" s="177" t="s">
        <v>37</v>
      </c>
      <c r="E149" s="181" t="s">
        <v>10</v>
      </c>
      <c r="F149" s="95" t="s">
        <v>357</v>
      </c>
      <c r="G149" s="143">
        <v>82.5</v>
      </c>
      <c r="H149" s="292"/>
      <c r="I149" s="292"/>
      <c r="J149" s="292"/>
      <c r="K149" s="292"/>
      <c r="L149" s="292"/>
      <c r="M149" s="311" t="s">
        <v>11</v>
      </c>
      <c r="N149" s="337" t="s">
        <v>38</v>
      </c>
      <c r="O149" s="352" t="s">
        <v>475</v>
      </c>
      <c r="P149" s="378" t="s">
        <v>568</v>
      </c>
      <c r="Q149" s="348">
        <v>44255</v>
      </c>
    </row>
    <row r="150" spans="1:17" s="54" customFormat="1" x14ac:dyDescent="0.25">
      <c r="A150" s="320"/>
      <c r="B150" s="300"/>
      <c r="C150" s="181" t="s">
        <v>415</v>
      </c>
      <c r="D150" s="177" t="s">
        <v>37</v>
      </c>
      <c r="E150" s="181" t="s">
        <v>16</v>
      </c>
      <c r="F150" s="95" t="s">
        <v>111</v>
      </c>
      <c r="G150" s="143">
        <f>57.924343+0.343862</f>
        <v>58.268205000000002</v>
      </c>
      <c r="H150" s="293"/>
      <c r="I150" s="293"/>
      <c r="J150" s="293"/>
      <c r="K150" s="293"/>
      <c r="L150" s="293"/>
      <c r="M150" s="311"/>
      <c r="N150" s="337"/>
      <c r="O150" s="352"/>
      <c r="P150" s="378"/>
      <c r="Q150" s="349"/>
    </row>
    <row r="151" spans="1:17" s="54" customFormat="1" ht="30" x14ac:dyDescent="0.25">
      <c r="A151" s="321"/>
      <c r="B151" s="301"/>
      <c r="C151" s="181" t="s">
        <v>415</v>
      </c>
      <c r="D151" s="177" t="s">
        <v>37</v>
      </c>
      <c r="E151" s="181" t="s">
        <v>10</v>
      </c>
      <c r="F151" s="95" t="s">
        <v>357</v>
      </c>
      <c r="G151" s="143">
        <v>-58.340210999999996</v>
      </c>
      <c r="H151" s="294"/>
      <c r="I151" s="294"/>
      <c r="J151" s="294"/>
      <c r="K151" s="294"/>
      <c r="L151" s="294"/>
      <c r="M151" s="311"/>
      <c r="N151" s="337"/>
      <c r="O151" s="352"/>
      <c r="P151" s="378"/>
      <c r="Q151" s="349"/>
    </row>
    <row r="152" spans="1:17" s="54" customFormat="1" x14ac:dyDescent="0.25">
      <c r="A152" s="319" t="s">
        <v>109</v>
      </c>
      <c r="B152" s="299">
        <v>64</v>
      </c>
      <c r="C152" s="302" t="s">
        <v>415</v>
      </c>
      <c r="D152" s="299" t="s">
        <v>37</v>
      </c>
      <c r="E152" s="302" t="s">
        <v>16</v>
      </c>
      <c r="F152" s="299" t="s">
        <v>111</v>
      </c>
      <c r="G152" s="292">
        <f>0.697346+0.04+63.012274</f>
        <v>63.74962</v>
      </c>
      <c r="H152" s="229" t="s">
        <v>511</v>
      </c>
      <c r="I152" s="228" t="s">
        <v>37</v>
      </c>
      <c r="J152" s="229" t="s">
        <v>16</v>
      </c>
      <c r="K152" s="95" t="s">
        <v>111</v>
      </c>
      <c r="L152" s="143">
        <v>122.29113599999999</v>
      </c>
      <c r="M152" s="302" t="s">
        <v>11</v>
      </c>
      <c r="N152" s="353" t="s">
        <v>38</v>
      </c>
      <c r="O152" s="302" t="s">
        <v>13</v>
      </c>
      <c r="P152" s="302"/>
      <c r="Q152" s="375"/>
    </row>
    <row r="153" spans="1:17" x14ac:dyDescent="0.25">
      <c r="A153" s="321"/>
      <c r="B153" s="301"/>
      <c r="C153" s="304"/>
      <c r="D153" s="301"/>
      <c r="E153" s="304"/>
      <c r="F153" s="301"/>
      <c r="G153" s="294"/>
      <c r="H153" s="215" t="s">
        <v>511</v>
      </c>
      <c r="I153" s="228" t="s">
        <v>37</v>
      </c>
      <c r="J153" s="215" t="s">
        <v>10</v>
      </c>
      <c r="K153" s="249"/>
      <c r="L153" s="163">
        <v>0.33142100000000002</v>
      </c>
      <c r="M153" s="304"/>
      <c r="N153" s="355"/>
      <c r="O153" s="304"/>
      <c r="P153" s="304"/>
      <c r="Q153" s="318"/>
    </row>
    <row r="154" spans="1:17" ht="30" x14ac:dyDescent="0.25">
      <c r="A154" s="319" t="s">
        <v>367</v>
      </c>
      <c r="B154" s="299">
        <f>299+400</f>
        <v>699</v>
      </c>
      <c r="C154" s="174" t="s">
        <v>415</v>
      </c>
      <c r="D154" s="176" t="s">
        <v>110</v>
      </c>
      <c r="E154" s="181" t="s">
        <v>16</v>
      </c>
      <c r="F154" s="177" t="s">
        <v>111</v>
      </c>
      <c r="G154" s="143">
        <v>400</v>
      </c>
      <c r="H154" s="292"/>
      <c r="I154" s="292"/>
      <c r="J154" s="292"/>
      <c r="K154" s="292"/>
      <c r="L154" s="292"/>
      <c r="M154" s="296" t="s">
        <v>11</v>
      </c>
      <c r="N154" s="379" t="s">
        <v>112</v>
      </c>
      <c r="O154" s="296" t="s">
        <v>19</v>
      </c>
      <c r="P154" s="372" t="s">
        <v>486</v>
      </c>
      <c r="Q154" s="332">
        <v>44260</v>
      </c>
    </row>
    <row r="155" spans="1:17" s="54" customFormat="1" ht="30" x14ac:dyDescent="0.25">
      <c r="A155" s="320"/>
      <c r="B155" s="300"/>
      <c r="C155" s="181" t="s">
        <v>415</v>
      </c>
      <c r="D155" s="59" t="s">
        <v>110</v>
      </c>
      <c r="E155" s="181" t="s">
        <v>16</v>
      </c>
      <c r="F155" s="177" t="s">
        <v>111</v>
      </c>
      <c r="G155" s="143">
        <f>705+120</f>
        <v>825</v>
      </c>
      <c r="H155" s="293"/>
      <c r="I155" s="293"/>
      <c r="J155" s="293"/>
      <c r="K155" s="293"/>
      <c r="L155" s="293"/>
      <c r="M155" s="297"/>
      <c r="N155" s="380"/>
      <c r="O155" s="297"/>
      <c r="P155" s="373"/>
      <c r="Q155" s="333"/>
    </row>
    <row r="156" spans="1:17" s="54" customFormat="1" x14ac:dyDescent="0.25">
      <c r="A156" s="321"/>
      <c r="B156" s="301"/>
      <c r="C156" s="181" t="s">
        <v>415</v>
      </c>
      <c r="D156" s="177" t="s">
        <v>17</v>
      </c>
      <c r="E156" s="181" t="s">
        <v>16</v>
      </c>
      <c r="F156" s="177" t="s">
        <v>111</v>
      </c>
      <c r="G156" s="143">
        <v>-705</v>
      </c>
      <c r="H156" s="294"/>
      <c r="I156" s="294"/>
      <c r="J156" s="294"/>
      <c r="K156" s="294"/>
      <c r="L156" s="294"/>
      <c r="M156" s="298"/>
      <c r="N156" s="381"/>
      <c r="O156" s="298"/>
      <c r="P156" s="374"/>
      <c r="Q156" s="334"/>
    </row>
    <row r="157" spans="1:17" ht="31.5" customHeight="1" x14ac:dyDescent="0.25">
      <c r="A157" s="189" t="s">
        <v>113</v>
      </c>
      <c r="B157" s="81">
        <v>25</v>
      </c>
      <c r="C157" s="174" t="s">
        <v>26</v>
      </c>
      <c r="D157" s="177" t="s">
        <v>9</v>
      </c>
      <c r="E157" s="181" t="s">
        <v>16</v>
      </c>
      <c r="F157" s="177" t="s">
        <v>111</v>
      </c>
      <c r="G157" s="143">
        <v>12.5</v>
      </c>
      <c r="H157" s="217"/>
      <c r="I157" s="216"/>
      <c r="J157" s="215"/>
      <c r="K157" s="216"/>
      <c r="L157" s="143"/>
      <c r="M157" s="174" t="s">
        <v>11</v>
      </c>
      <c r="N157" s="175" t="s">
        <v>12</v>
      </c>
      <c r="O157" s="176" t="s">
        <v>19</v>
      </c>
      <c r="P157" s="201" t="s">
        <v>409</v>
      </c>
      <c r="Q157" s="190">
        <v>44257</v>
      </c>
    </row>
    <row r="158" spans="1:17" x14ac:dyDescent="0.25">
      <c r="A158" s="382" t="s">
        <v>407</v>
      </c>
      <c r="B158" s="299">
        <f>513</f>
        <v>513</v>
      </c>
      <c r="C158" s="174" t="s">
        <v>26</v>
      </c>
      <c r="D158" s="177" t="s">
        <v>9</v>
      </c>
      <c r="E158" s="181" t="s">
        <v>16</v>
      </c>
      <c r="F158" s="177" t="s">
        <v>111</v>
      </c>
      <c r="G158" s="143">
        <v>25.795292</v>
      </c>
      <c r="H158" s="217"/>
      <c r="I158" s="216"/>
      <c r="J158" s="215"/>
      <c r="K158" s="216"/>
      <c r="L158" s="143"/>
      <c r="M158" s="192" t="s">
        <v>11</v>
      </c>
      <c r="N158" s="175" t="s">
        <v>12</v>
      </c>
      <c r="O158" s="200" t="s">
        <v>19</v>
      </c>
      <c r="P158" s="193" t="s">
        <v>410</v>
      </c>
      <c r="Q158" s="190">
        <v>44257</v>
      </c>
    </row>
    <row r="159" spans="1:17" ht="60" x14ac:dyDescent="0.25">
      <c r="A159" s="382"/>
      <c r="B159" s="300"/>
      <c r="C159" s="174" t="s">
        <v>26</v>
      </c>
      <c r="D159" s="177" t="s">
        <v>66</v>
      </c>
      <c r="E159" s="181" t="s">
        <v>16</v>
      </c>
      <c r="F159" s="177" t="s">
        <v>111</v>
      </c>
      <c r="G159" s="143">
        <v>192.20470800000001</v>
      </c>
      <c r="H159" s="217"/>
      <c r="I159" s="216"/>
      <c r="J159" s="215"/>
      <c r="K159" s="216"/>
      <c r="L159" s="143"/>
      <c r="M159" s="192" t="s">
        <v>11</v>
      </c>
      <c r="N159" s="175" t="s">
        <v>114</v>
      </c>
      <c r="O159" s="242" t="s">
        <v>475</v>
      </c>
      <c r="P159" s="180" t="s">
        <v>575</v>
      </c>
      <c r="Q159" s="190">
        <v>44255</v>
      </c>
    </row>
    <row r="160" spans="1:17" ht="60" x14ac:dyDescent="0.25">
      <c r="A160" s="382"/>
      <c r="B160" s="300"/>
      <c r="C160" s="174" t="s">
        <v>26</v>
      </c>
      <c r="D160" s="177" t="s">
        <v>68</v>
      </c>
      <c r="E160" s="181" t="s">
        <v>16</v>
      </c>
      <c r="F160" s="177" t="s">
        <v>111</v>
      </c>
      <c r="G160" s="143">
        <v>12</v>
      </c>
      <c r="H160" s="217"/>
      <c r="I160" s="216"/>
      <c r="J160" s="215"/>
      <c r="K160" s="216"/>
      <c r="L160" s="143"/>
      <c r="M160" s="192" t="s">
        <v>11</v>
      </c>
      <c r="N160" s="175" t="s">
        <v>67</v>
      </c>
      <c r="O160" s="240" t="s">
        <v>475</v>
      </c>
      <c r="P160" s="193" t="s">
        <v>587</v>
      </c>
      <c r="Q160" s="243">
        <v>44255</v>
      </c>
    </row>
    <row r="161" spans="1:17" ht="60" x14ac:dyDescent="0.25">
      <c r="A161" s="382"/>
      <c r="B161" s="300"/>
      <c r="C161" s="174" t="s">
        <v>26</v>
      </c>
      <c r="D161" s="177" t="s">
        <v>70</v>
      </c>
      <c r="E161" s="181" t="s">
        <v>16</v>
      </c>
      <c r="F161" s="177" t="s">
        <v>111</v>
      </c>
      <c r="G161" s="143">
        <f>24.5133+20</f>
        <v>44.513300000000001</v>
      </c>
      <c r="H161" s="217"/>
      <c r="I161" s="216"/>
      <c r="J161" s="215"/>
      <c r="K161" s="216"/>
      <c r="L161" s="143"/>
      <c r="M161" s="192" t="s">
        <v>11</v>
      </c>
      <c r="N161" s="175" t="s">
        <v>115</v>
      </c>
      <c r="O161" s="240" t="s">
        <v>475</v>
      </c>
      <c r="P161" s="180" t="s">
        <v>597</v>
      </c>
      <c r="Q161" s="243">
        <v>44255</v>
      </c>
    </row>
    <row r="162" spans="1:17" ht="60" x14ac:dyDescent="0.25">
      <c r="A162" s="382"/>
      <c r="B162" s="300"/>
      <c r="C162" s="174" t="s">
        <v>8</v>
      </c>
      <c r="D162" s="177" t="s">
        <v>20</v>
      </c>
      <c r="E162" s="181" t="s">
        <v>10</v>
      </c>
      <c r="F162" s="177" t="s">
        <v>359</v>
      </c>
      <c r="G162" s="143">
        <v>-4.3365270000000002</v>
      </c>
      <c r="H162" s="292"/>
      <c r="I162" s="292"/>
      <c r="J162" s="292"/>
      <c r="K162" s="292"/>
      <c r="L162" s="292"/>
      <c r="M162" s="397" t="s">
        <v>11</v>
      </c>
      <c r="N162" s="379" t="s">
        <v>21</v>
      </c>
      <c r="O162" s="352" t="s">
        <v>475</v>
      </c>
      <c r="P162" s="395" t="s">
        <v>557</v>
      </c>
      <c r="Q162" s="316">
        <v>44255</v>
      </c>
    </row>
    <row r="163" spans="1:17" x14ac:dyDescent="0.25">
      <c r="A163" s="382"/>
      <c r="B163" s="300"/>
      <c r="C163" s="174" t="s">
        <v>8</v>
      </c>
      <c r="D163" s="177" t="s">
        <v>20</v>
      </c>
      <c r="E163" s="181" t="s">
        <v>16</v>
      </c>
      <c r="F163" s="108" t="s">
        <v>111</v>
      </c>
      <c r="G163" s="143">
        <v>3.6606359999999998</v>
      </c>
      <c r="H163" s="294"/>
      <c r="I163" s="294"/>
      <c r="J163" s="294"/>
      <c r="K163" s="294"/>
      <c r="L163" s="294"/>
      <c r="M163" s="398"/>
      <c r="N163" s="381"/>
      <c r="O163" s="352"/>
      <c r="P163" s="395"/>
      <c r="Q163" s="336"/>
    </row>
    <row r="164" spans="1:17" ht="60" x14ac:dyDescent="0.25">
      <c r="A164" s="382"/>
      <c r="B164" s="300"/>
      <c r="C164" s="174" t="s">
        <v>26</v>
      </c>
      <c r="D164" s="177" t="s">
        <v>33</v>
      </c>
      <c r="E164" s="181" t="s">
        <v>10</v>
      </c>
      <c r="F164" s="177" t="s">
        <v>359</v>
      </c>
      <c r="G164" s="143">
        <v>10</v>
      </c>
      <c r="H164" s="292"/>
      <c r="I164" s="292"/>
      <c r="J164" s="292"/>
      <c r="K164" s="292"/>
      <c r="L164" s="292"/>
      <c r="M164" s="296" t="s">
        <v>11</v>
      </c>
      <c r="N164" s="379" t="s">
        <v>38</v>
      </c>
      <c r="O164" s="352" t="s">
        <v>475</v>
      </c>
      <c r="P164" s="369" t="s">
        <v>452</v>
      </c>
      <c r="Q164" s="348">
        <v>44255</v>
      </c>
    </row>
    <row r="165" spans="1:17" s="54" customFormat="1" ht="60" x14ac:dyDescent="0.25">
      <c r="A165" s="382"/>
      <c r="B165" s="300"/>
      <c r="C165" s="174" t="s">
        <v>415</v>
      </c>
      <c r="D165" s="177" t="s">
        <v>33</v>
      </c>
      <c r="E165" s="181" t="s">
        <v>10</v>
      </c>
      <c r="F165" s="177" t="s">
        <v>359</v>
      </c>
      <c r="G165" s="143">
        <v>-2.4373580000000001</v>
      </c>
      <c r="H165" s="293"/>
      <c r="I165" s="293"/>
      <c r="J165" s="293"/>
      <c r="K165" s="293"/>
      <c r="L165" s="293"/>
      <c r="M165" s="297"/>
      <c r="N165" s="380"/>
      <c r="O165" s="352"/>
      <c r="P165" s="370"/>
      <c r="Q165" s="348"/>
    </row>
    <row r="166" spans="1:17" s="54" customFormat="1" x14ac:dyDescent="0.25">
      <c r="A166" s="382"/>
      <c r="B166" s="300"/>
      <c r="C166" s="174" t="s">
        <v>415</v>
      </c>
      <c r="D166" s="177" t="s">
        <v>33</v>
      </c>
      <c r="E166" s="181" t="s">
        <v>16</v>
      </c>
      <c r="F166" s="177" t="s">
        <v>111</v>
      </c>
      <c r="G166" s="143">
        <v>2.4373580000000001</v>
      </c>
      <c r="H166" s="294"/>
      <c r="I166" s="294"/>
      <c r="J166" s="294"/>
      <c r="K166" s="294"/>
      <c r="L166" s="294"/>
      <c r="M166" s="298"/>
      <c r="N166" s="381"/>
      <c r="O166" s="352"/>
      <c r="P166" s="371"/>
      <c r="Q166" s="348"/>
    </row>
    <row r="167" spans="1:17" ht="60" x14ac:dyDescent="0.25">
      <c r="A167" s="382"/>
      <c r="B167" s="300"/>
      <c r="C167" s="174" t="s">
        <v>26</v>
      </c>
      <c r="D167" s="177" t="s">
        <v>17</v>
      </c>
      <c r="E167" s="181" t="s">
        <v>10</v>
      </c>
      <c r="F167" s="177" t="s">
        <v>359</v>
      </c>
      <c r="G167" s="143">
        <v>177.06880000000001</v>
      </c>
      <c r="H167" s="296" t="s">
        <v>511</v>
      </c>
      <c r="I167" s="299" t="s">
        <v>17</v>
      </c>
      <c r="J167" s="302" t="s">
        <v>16</v>
      </c>
      <c r="K167" s="299" t="s">
        <v>111</v>
      </c>
      <c r="L167" s="305">
        <v>37.200000000000003</v>
      </c>
      <c r="M167" s="396" t="s">
        <v>11</v>
      </c>
      <c r="N167" s="350" t="s">
        <v>80</v>
      </c>
      <c r="O167" s="396" t="s">
        <v>19</v>
      </c>
      <c r="P167" s="395" t="s">
        <v>504</v>
      </c>
      <c r="Q167" s="348">
        <v>44255</v>
      </c>
    </row>
    <row r="168" spans="1:17" ht="60" x14ac:dyDescent="0.25">
      <c r="A168" s="382"/>
      <c r="B168" s="300"/>
      <c r="C168" s="174" t="s">
        <v>8</v>
      </c>
      <c r="D168" s="177" t="s">
        <v>17</v>
      </c>
      <c r="E168" s="181" t="s">
        <v>10</v>
      </c>
      <c r="F168" s="177" t="s">
        <v>359</v>
      </c>
      <c r="G168" s="143">
        <v>-33.982059999999997</v>
      </c>
      <c r="H168" s="297"/>
      <c r="I168" s="300"/>
      <c r="J168" s="303"/>
      <c r="K168" s="300"/>
      <c r="L168" s="306"/>
      <c r="M168" s="396"/>
      <c r="N168" s="350"/>
      <c r="O168" s="396"/>
      <c r="P168" s="395"/>
      <c r="Q168" s="348"/>
    </row>
    <row r="169" spans="1:17" x14ac:dyDescent="0.25">
      <c r="A169" s="382"/>
      <c r="B169" s="300"/>
      <c r="C169" s="181" t="s">
        <v>8</v>
      </c>
      <c r="D169" s="177" t="s">
        <v>17</v>
      </c>
      <c r="E169" s="181" t="s">
        <v>16</v>
      </c>
      <c r="F169" s="108" t="s">
        <v>111</v>
      </c>
      <c r="G169" s="143">
        <v>33.982059999999997</v>
      </c>
      <c r="H169" s="298"/>
      <c r="I169" s="301"/>
      <c r="J169" s="304"/>
      <c r="K169" s="301"/>
      <c r="L169" s="307"/>
      <c r="M169" s="396"/>
      <c r="N169" s="350"/>
      <c r="O169" s="396"/>
      <c r="P169" s="395"/>
      <c r="Q169" s="348"/>
    </row>
    <row r="170" spans="1:17" s="54" customFormat="1" ht="60" x14ac:dyDescent="0.25">
      <c r="A170" s="319" t="s">
        <v>406</v>
      </c>
      <c r="B170" s="299">
        <v>88</v>
      </c>
      <c r="C170" s="174" t="s">
        <v>26</v>
      </c>
      <c r="D170" s="177" t="s">
        <v>20</v>
      </c>
      <c r="E170" s="181" t="s">
        <v>10</v>
      </c>
      <c r="F170" s="177" t="s">
        <v>359</v>
      </c>
      <c r="G170" s="143">
        <v>9.2881850000000004</v>
      </c>
      <c r="H170" s="217"/>
      <c r="I170" s="216"/>
      <c r="J170" s="215"/>
      <c r="K170" s="216"/>
      <c r="L170" s="143"/>
      <c r="M170" s="196" t="s">
        <v>11</v>
      </c>
      <c r="N170" s="179" t="s">
        <v>21</v>
      </c>
      <c r="O170" s="240" t="s">
        <v>475</v>
      </c>
      <c r="P170" s="199" t="s">
        <v>560</v>
      </c>
      <c r="Q170" s="190">
        <v>44255</v>
      </c>
    </row>
    <row r="171" spans="1:17" s="54" customFormat="1" ht="60" x14ac:dyDescent="0.25">
      <c r="A171" s="320"/>
      <c r="B171" s="300"/>
      <c r="C171" s="174" t="s">
        <v>26</v>
      </c>
      <c r="D171" s="177" t="s">
        <v>17</v>
      </c>
      <c r="E171" s="181" t="s">
        <v>10</v>
      </c>
      <c r="F171" s="177" t="s">
        <v>359</v>
      </c>
      <c r="G171" s="143">
        <v>74.7</v>
      </c>
      <c r="H171" s="292"/>
      <c r="I171" s="292"/>
      <c r="J171" s="292"/>
      <c r="K171" s="292"/>
      <c r="L171" s="292"/>
      <c r="M171" s="396" t="s">
        <v>11</v>
      </c>
      <c r="N171" s="350" t="s">
        <v>80</v>
      </c>
      <c r="O171" s="396" t="s">
        <v>19</v>
      </c>
      <c r="P171" s="369" t="s">
        <v>505</v>
      </c>
      <c r="Q171" s="348">
        <v>44255</v>
      </c>
    </row>
    <row r="172" spans="1:17" s="54" customFormat="1" ht="60" x14ac:dyDescent="0.25">
      <c r="A172" s="320"/>
      <c r="B172" s="300"/>
      <c r="C172" s="174" t="s">
        <v>8</v>
      </c>
      <c r="D172" s="177" t="s">
        <v>17</v>
      </c>
      <c r="E172" s="181" t="s">
        <v>10</v>
      </c>
      <c r="F172" s="177" t="s">
        <v>359</v>
      </c>
      <c r="G172" s="143">
        <v>-16.7</v>
      </c>
      <c r="H172" s="293"/>
      <c r="I172" s="293"/>
      <c r="J172" s="293"/>
      <c r="K172" s="293"/>
      <c r="L172" s="293"/>
      <c r="M172" s="396"/>
      <c r="N172" s="350"/>
      <c r="O172" s="396"/>
      <c r="P172" s="370"/>
      <c r="Q172" s="348"/>
    </row>
    <row r="173" spans="1:17" s="54" customFormat="1" x14ac:dyDescent="0.25">
      <c r="A173" s="321"/>
      <c r="B173" s="301"/>
      <c r="C173" s="174" t="s">
        <v>8</v>
      </c>
      <c r="D173" s="177" t="s">
        <v>17</v>
      </c>
      <c r="E173" s="181" t="s">
        <v>16</v>
      </c>
      <c r="F173" s="177" t="s">
        <v>111</v>
      </c>
      <c r="G173" s="143">
        <v>16.7</v>
      </c>
      <c r="H173" s="294"/>
      <c r="I173" s="294"/>
      <c r="J173" s="294"/>
      <c r="K173" s="294"/>
      <c r="L173" s="294"/>
      <c r="M173" s="396"/>
      <c r="N173" s="350"/>
      <c r="O173" s="396"/>
      <c r="P173" s="371"/>
      <c r="Q173" s="348"/>
    </row>
    <row r="174" spans="1:17" ht="45" x14ac:dyDescent="0.25">
      <c r="A174" s="189" t="s">
        <v>116</v>
      </c>
      <c r="B174" s="81">
        <v>194</v>
      </c>
      <c r="C174" s="174" t="s">
        <v>42</v>
      </c>
      <c r="D174" s="176" t="s">
        <v>117</v>
      </c>
      <c r="E174" s="174" t="s">
        <v>111</v>
      </c>
      <c r="F174" s="207" t="s">
        <v>370</v>
      </c>
      <c r="G174" s="143" t="s">
        <v>111</v>
      </c>
      <c r="H174" s="217"/>
      <c r="I174" s="220"/>
      <c r="J174" s="217"/>
      <c r="K174" s="214"/>
      <c r="L174" s="143"/>
      <c r="M174" s="174" t="s">
        <v>11</v>
      </c>
      <c r="N174" s="207" t="s">
        <v>118</v>
      </c>
      <c r="O174" s="174" t="s">
        <v>19</v>
      </c>
      <c r="P174" s="208" t="s">
        <v>379</v>
      </c>
      <c r="Q174" s="190">
        <v>44158</v>
      </c>
    </row>
    <row r="175" spans="1:17" ht="60" x14ac:dyDescent="0.25">
      <c r="A175" s="382" t="s">
        <v>119</v>
      </c>
      <c r="B175" s="299">
        <v>64</v>
      </c>
      <c r="C175" s="174" t="s">
        <v>26</v>
      </c>
      <c r="D175" s="176" t="s">
        <v>110</v>
      </c>
      <c r="E175" s="181" t="s">
        <v>10</v>
      </c>
      <c r="F175" s="141" t="s">
        <v>359</v>
      </c>
      <c r="G175" s="143">
        <v>41</v>
      </c>
      <c r="H175" s="292"/>
      <c r="I175" s="292"/>
      <c r="J175" s="292"/>
      <c r="K175" s="292"/>
      <c r="L175" s="292"/>
      <c r="M175" s="392" t="s">
        <v>11</v>
      </c>
      <c r="N175" s="350" t="s">
        <v>120</v>
      </c>
      <c r="O175" s="352" t="s">
        <v>475</v>
      </c>
      <c r="P175" s="384" t="s">
        <v>555</v>
      </c>
      <c r="Q175" s="316">
        <v>44255</v>
      </c>
    </row>
    <row r="176" spans="1:17" ht="30" x14ac:dyDescent="0.25">
      <c r="A176" s="382"/>
      <c r="B176" s="300"/>
      <c r="C176" s="174" t="s">
        <v>8</v>
      </c>
      <c r="D176" s="176" t="s">
        <v>110</v>
      </c>
      <c r="E176" s="181" t="s">
        <v>16</v>
      </c>
      <c r="F176" s="108" t="s">
        <v>111</v>
      </c>
      <c r="G176" s="143">
        <v>3.25</v>
      </c>
      <c r="H176" s="293"/>
      <c r="I176" s="293"/>
      <c r="J176" s="293"/>
      <c r="K176" s="293"/>
      <c r="L176" s="293"/>
      <c r="M176" s="392"/>
      <c r="N176" s="350"/>
      <c r="O176" s="352"/>
      <c r="P176" s="384"/>
      <c r="Q176" s="335"/>
    </row>
    <row r="177" spans="1:17" ht="60.75" thickBot="1" x14ac:dyDescent="0.3">
      <c r="A177" s="391"/>
      <c r="B177" s="383"/>
      <c r="C177" s="24" t="s">
        <v>8</v>
      </c>
      <c r="D177" s="195" t="s">
        <v>110</v>
      </c>
      <c r="E177" s="98" t="s">
        <v>10</v>
      </c>
      <c r="F177" s="141" t="s">
        <v>359</v>
      </c>
      <c r="G177" s="143">
        <v>18.05</v>
      </c>
      <c r="H177" s="295"/>
      <c r="I177" s="295"/>
      <c r="J177" s="295"/>
      <c r="K177" s="295"/>
      <c r="L177" s="295"/>
      <c r="M177" s="393"/>
      <c r="N177" s="394"/>
      <c r="O177" s="352"/>
      <c r="P177" s="385"/>
      <c r="Q177" s="390"/>
    </row>
    <row r="178" spans="1:17" ht="15.75" thickBot="1" x14ac:dyDescent="0.3">
      <c r="A178" s="63" t="s">
        <v>121</v>
      </c>
      <c r="B178" s="86">
        <f>SUM(B4:B177)</f>
        <v>33675</v>
      </c>
      <c r="C178" s="64"/>
      <c r="D178" s="64"/>
      <c r="E178" s="64"/>
      <c r="F178" s="64"/>
      <c r="G178" s="65">
        <f>SUM(G4:G177)</f>
        <v>44213.446990999997</v>
      </c>
      <c r="H178" s="64"/>
      <c r="I178" s="64"/>
      <c r="J178" s="64"/>
      <c r="K178" s="64"/>
      <c r="L178" s="65">
        <f>SUM(L4:L177)</f>
        <v>9741.5127630000043</v>
      </c>
      <c r="M178" s="64"/>
      <c r="N178" s="64"/>
      <c r="O178" s="64"/>
      <c r="P178" s="64"/>
      <c r="Q178" s="66"/>
    </row>
    <row r="179" spans="1:17" s="54" customFormat="1" ht="15.75" thickBot="1" x14ac:dyDescent="0.3">
      <c r="A179" s="25" t="s">
        <v>521</v>
      </c>
      <c r="B179" s="76"/>
      <c r="C179" s="22"/>
      <c r="D179" s="22"/>
      <c r="E179" s="22"/>
      <c r="F179" s="22"/>
      <c r="G179" s="38">
        <f>SUMIF(C4:C177,"*Supps A*",G4:G177)</f>
        <v>4992.159369</v>
      </c>
      <c r="H179" s="22"/>
      <c r="I179" s="22"/>
      <c r="J179" s="22"/>
      <c r="K179" s="22"/>
      <c r="L179" s="38"/>
      <c r="M179" s="22"/>
      <c r="N179" s="22"/>
      <c r="O179" s="22"/>
      <c r="P179" s="22"/>
      <c r="Q179" s="23"/>
    </row>
    <row r="180" spans="1:17" s="54" customFormat="1" ht="15.75" thickBot="1" x14ac:dyDescent="0.3">
      <c r="A180" s="25" t="s">
        <v>522</v>
      </c>
      <c r="B180" s="76"/>
      <c r="C180" s="22"/>
      <c r="D180" s="22"/>
      <c r="E180" s="22"/>
      <c r="F180" s="22"/>
      <c r="G180" s="38">
        <f>SUMIF(C4:C177,"*Supps B*",G4:G177)</f>
        <v>36195.198455999998</v>
      </c>
      <c r="H180" s="22"/>
      <c r="I180" s="22"/>
      <c r="J180" s="22"/>
      <c r="K180" s="22"/>
      <c r="L180" s="38"/>
      <c r="M180" s="22"/>
      <c r="N180" s="22"/>
      <c r="O180" s="22"/>
      <c r="P180" s="22"/>
      <c r="Q180" s="23"/>
    </row>
    <row r="181" spans="1:17" s="54" customFormat="1" ht="15.75" thickBot="1" x14ac:dyDescent="0.3">
      <c r="A181" s="63" t="s">
        <v>523</v>
      </c>
      <c r="B181" s="245"/>
      <c r="C181" s="64"/>
      <c r="D181" s="64"/>
      <c r="E181" s="64"/>
      <c r="F181" s="64"/>
      <c r="G181" s="65">
        <f>SUMIF(C4:C177,"*Supps C*",G4:G177)</f>
        <v>3026.0891659999993</v>
      </c>
      <c r="H181" s="64"/>
      <c r="I181" s="64"/>
      <c r="J181" s="64"/>
      <c r="K181" s="64"/>
      <c r="L181" s="65"/>
      <c r="M181" s="64"/>
      <c r="N181" s="64"/>
      <c r="O181" s="64"/>
      <c r="P181" s="64"/>
      <c r="Q181" s="66"/>
    </row>
    <row r="182" spans="1:17" s="54" customFormat="1" ht="15.75" thickBot="1" x14ac:dyDescent="0.3">
      <c r="A182" s="25" t="s">
        <v>524</v>
      </c>
      <c r="B182" s="37"/>
      <c r="C182" s="22"/>
      <c r="D182" s="22"/>
      <c r="E182" s="22"/>
      <c r="F182" s="22"/>
      <c r="G182" s="38"/>
      <c r="H182" s="22"/>
      <c r="I182" s="22"/>
      <c r="J182" s="22"/>
      <c r="K182" s="22"/>
      <c r="L182" s="38">
        <f>SUMIF(H4:H177,"*Mains*",L4:L177)</f>
        <v>9741.5127630000043</v>
      </c>
      <c r="M182" s="22"/>
      <c r="N182" s="22"/>
      <c r="O182" s="22"/>
      <c r="P182" s="22"/>
      <c r="Q182" s="23"/>
    </row>
    <row r="183" spans="1:17" s="54" customFormat="1" x14ac:dyDescent="0.25">
      <c r="A183" s="89"/>
      <c r="B183" s="89"/>
      <c r="C183" s="90"/>
      <c r="D183" s="90"/>
      <c r="E183" s="90"/>
      <c r="F183" s="90"/>
      <c r="G183" s="91"/>
      <c r="H183" s="90"/>
      <c r="I183" s="90"/>
      <c r="J183" s="90"/>
      <c r="K183" s="90"/>
      <c r="L183" s="91"/>
      <c r="M183" s="90"/>
      <c r="N183" s="90"/>
      <c r="O183" s="90"/>
      <c r="P183" s="90"/>
      <c r="Q183" s="90"/>
    </row>
    <row r="184" spans="1:17" ht="17.25" x14ac:dyDescent="0.25">
      <c r="A184" s="88" t="s">
        <v>383</v>
      </c>
    </row>
    <row r="185" spans="1:17" s="251" customFormat="1" x14ac:dyDescent="0.25">
      <c r="A185" s="88" t="s">
        <v>624</v>
      </c>
    </row>
    <row r="186" spans="1:17" x14ac:dyDescent="0.25">
      <c r="A186" t="s">
        <v>408</v>
      </c>
    </row>
    <row r="187" spans="1:17" x14ac:dyDescent="0.25">
      <c r="A187" s="88" t="s">
        <v>453</v>
      </c>
      <c r="L187" s="133"/>
    </row>
    <row r="190" spans="1:17" x14ac:dyDescent="0.25">
      <c r="A190" s="131"/>
    </row>
    <row r="191" spans="1:17" s="54" customFormat="1" x14ac:dyDescent="0.25">
      <c r="A191" s="131"/>
    </row>
    <row r="192" spans="1:17" x14ac:dyDescent="0.25">
      <c r="A192" s="131"/>
    </row>
    <row r="193" spans="1:2" x14ac:dyDescent="0.25">
      <c r="A193" s="132"/>
      <c r="B193" s="133"/>
    </row>
    <row r="196" spans="1:2" x14ac:dyDescent="0.25">
      <c r="A196" s="133"/>
    </row>
    <row r="200" spans="1:2" x14ac:dyDescent="0.25">
      <c r="A200" s="133"/>
    </row>
  </sheetData>
  <mergeCells count="566">
    <mergeCell ref="C152:C153"/>
    <mergeCell ref="D152:D153"/>
    <mergeCell ref="E152:E153"/>
    <mergeCell ref="F152:F153"/>
    <mergeCell ref="G152:G153"/>
    <mergeCell ref="M152:M153"/>
    <mergeCell ref="N152:N153"/>
    <mergeCell ref="O152:O153"/>
    <mergeCell ref="P152:P153"/>
    <mergeCell ref="C134:C135"/>
    <mergeCell ref="D134:D135"/>
    <mergeCell ref="E134:E135"/>
    <mergeCell ref="F134:F135"/>
    <mergeCell ref="G134:G135"/>
    <mergeCell ref="M134:M135"/>
    <mergeCell ref="N134:N135"/>
    <mergeCell ref="O134:O135"/>
    <mergeCell ref="P134:P135"/>
    <mergeCell ref="H60:H63"/>
    <mergeCell ref="I60:I63"/>
    <mergeCell ref="H64:H66"/>
    <mergeCell ref="I64:I66"/>
    <mergeCell ref="J60:J63"/>
    <mergeCell ref="K60:K63"/>
    <mergeCell ref="M33:M34"/>
    <mergeCell ref="N33:N34"/>
    <mergeCell ref="O33:O34"/>
    <mergeCell ref="M52:M53"/>
    <mergeCell ref="N52:N53"/>
    <mergeCell ref="O52:O53"/>
    <mergeCell ref="M46:M49"/>
    <mergeCell ref="N46:N49"/>
    <mergeCell ref="N35:N39"/>
    <mergeCell ref="L35:L39"/>
    <mergeCell ref="H35:H39"/>
    <mergeCell ref="I35:I39"/>
    <mergeCell ref="J35:J39"/>
    <mergeCell ref="K35:K39"/>
    <mergeCell ref="J40:J41"/>
    <mergeCell ref="L60:L63"/>
    <mergeCell ref="J64:J66"/>
    <mergeCell ref="K64:K66"/>
    <mergeCell ref="A33:A34"/>
    <mergeCell ref="B33:B34"/>
    <mergeCell ref="C33:C34"/>
    <mergeCell ref="D33:D34"/>
    <mergeCell ref="E33:E34"/>
    <mergeCell ref="F33:F34"/>
    <mergeCell ref="G33:G34"/>
    <mergeCell ref="C55:C56"/>
    <mergeCell ref="D55:D56"/>
    <mergeCell ref="E55:E56"/>
    <mergeCell ref="F55:F56"/>
    <mergeCell ref="G55:G56"/>
    <mergeCell ref="C52:C53"/>
    <mergeCell ref="D52:D53"/>
    <mergeCell ref="E52:E53"/>
    <mergeCell ref="F52:F53"/>
    <mergeCell ref="G52:G53"/>
    <mergeCell ref="A40:A50"/>
    <mergeCell ref="Q90:Q91"/>
    <mergeCell ref="H108:H109"/>
    <mergeCell ref="I108:I109"/>
    <mergeCell ref="J108:J109"/>
    <mergeCell ref="K108:K109"/>
    <mergeCell ref="M92:M93"/>
    <mergeCell ref="N92:N93"/>
    <mergeCell ref="O92:O93"/>
    <mergeCell ref="P92:P93"/>
    <mergeCell ref="Q92:Q93"/>
    <mergeCell ref="M94:M95"/>
    <mergeCell ref="N94:N95"/>
    <mergeCell ref="O94:O95"/>
    <mergeCell ref="P94:P95"/>
    <mergeCell ref="Q94:Q95"/>
    <mergeCell ref="L100:L101"/>
    <mergeCell ref="H100:H101"/>
    <mergeCell ref="I100:I101"/>
    <mergeCell ref="J100:J101"/>
    <mergeCell ref="K100:K101"/>
    <mergeCell ref="M108:M111"/>
    <mergeCell ref="L106:L107"/>
    <mergeCell ref="H106:H107"/>
    <mergeCell ref="I106:I107"/>
    <mergeCell ref="H142:H143"/>
    <mergeCell ref="I142:I143"/>
    <mergeCell ref="J142:J143"/>
    <mergeCell ref="K142:K143"/>
    <mergeCell ref="L142:L143"/>
    <mergeCell ref="H144:H145"/>
    <mergeCell ref="I144:I145"/>
    <mergeCell ref="J144:J145"/>
    <mergeCell ref="K144:K145"/>
    <mergeCell ref="L144:L145"/>
    <mergeCell ref="A96:A97"/>
    <mergeCell ref="B96:B97"/>
    <mergeCell ref="C96:C97"/>
    <mergeCell ref="D96:D97"/>
    <mergeCell ref="E96:E97"/>
    <mergeCell ref="F96:F97"/>
    <mergeCell ref="G96:G97"/>
    <mergeCell ref="H85:H86"/>
    <mergeCell ref="H87:H88"/>
    <mergeCell ref="C90:C91"/>
    <mergeCell ref="D90:D91"/>
    <mergeCell ref="E90:E91"/>
    <mergeCell ref="F90:F91"/>
    <mergeCell ref="G90:G91"/>
    <mergeCell ref="C92:C93"/>
    <mergeCell ref="D92:D93"/>
    <mergeCell ref="E92:E93"/>
    <mergeCell ref="F92:F93"/>
    <mergeCell ref="G92:G93"/>
    <mergeCell ref="C94:C95"/>
    <mergeCell ref="D94:D95"/>
    <mergeCell ref="E94:E95"/>
    <mergeCell ref="F94:F95"/>
    <mergeCell ref="G94:G95"/>
    <mergeCell ref="D102:D103"/>
    <mergeCell ref="E102:E103"/>
    <mergeCell ref="F102:F103"/>
    <mergeCell ref="G102:G103"/>
    <mergeCell ref="M102:M103"/>
    <mergeCell ref="N102:N103"/>
    <mergeCell ref="O102:O103"/>
    <mergeCell ref="P102:P103"/>
    <mergeCell ref="K85:K86"/>
    <mergeCell ref="K87:K88"/>
    <mergeCell ref="L85:L86"/>
    <mergeCell ref="L87:L88"/>
    <mergeCell ref="I85:I86"/>
    <mergeCell ref="I87:I88"/>
    <mergeCell ref="J85:J86"/>
    <mergeCell ref="J87:J88"/>
    <mergeCell ref="M90:M91"/>
    <mergeCell ref="N90:N91"/>
    <mergeCell ref="O90:O91"/>
    <mergeCell ref="P90:P91"/>
    <mergeCell ref="M4:M6"/>
    <mergeCell ref="N4:N6"/>
    <mergeCell ref="O4:O6"/>
    <mergeCell ref="P4:P6"/>
    <mergeCell ref="P57:P59"/>
    <mergeCell ref="M85:M88"/>
    <mergeCell ref="N85:N88"/>
    <mergeCell ref="O46:O49"/>
    <mergeCell ref="P46:P49"/>
    <mergeCell ref="M72:M75"/>
    <mergeCell ref="N72:N75"/>
    <mergeCell ref="O72:O75"/>
    <mergeCell ref="M17:M20"/>
    <mergeCell ref="N17:N20"/>
    <mergeCell ref="O77:O80"/>
    <mergeCell ref="P77:P80"/>
    <mergeCell ref="M81:M84"/>
    <mergeCell ref="N7:N8"/>
    <mergeCell ref="O7:O8"/>
    <mergeCell ref="P7:P8"/>
    <mergeCell ref="M77:M80"/>
    <mergeCell ref="N77:N80"/>
    <mergeCell ref="N42:N45"/>
    <mergeCell ref="O42:O45"/>
    <mergeCell ref="Q124:Q125"/>
    <mergeCell ref="O149:O151"/>
    <mergeCell ref="P149:P151"/>
    <mergeCell ref="Q149:Q151"/>
    <mergeCell ref="M126:M131"/>
    <mergeCell ref="Q134:Q135"/>
    <mergeCell ref="N126:N131"/>
    <mergeCell ref="Q142:Q145"/>
    <mergeCell ref="M154:M156"/>
    <mergeCell ref="Q126:Q131"/>
    <mergeCell ref="M136:M140"/>
    <mergeCell ref="N136:N140"/>
    <mergeCell ref="O136:O140"/>
    <mergeCell ref="P136:P140"/>
    <mergeCell ref="Q136:Q140"/>
    <mergeCell ref="O154:O156"/>
    <mergeCell ref="A27:A28"/>
    <mergeCell ref="B158:B169"/>
    <mergeCell ref="B98:B99"/>
    <mergeCell ref="B122:B123"/>
    <mergeCell ref="B108:B111"/>
    <mergeCell ref="B132:B133"/>
    <mergeCell ref="B124:B125"/>
    <mergeCell ref="B149:B151"/>
    <mergeCell ref="B117:B120"/>
    <mergeCell ref="B154:B156"/>
    <mergeCell ref="B126:B131"/>
    <mergeCell ref="B142:B148"/>
    <mergeCell ref="B85:B88"/>
    <mergeCell ref="A132:A133"/>
    <mergeCell ref="A124:A125"/>
    <mergeCell ref="A154:A156"/>
    <mergeCell ref="A102:A103"/>
    <mergeCell ref="B102:B103"/>
    <mergeCell ref="A89:A91"/>
    <mergeCell ref="B89:B91"/>
    <mergeCell ref="A92:A95"/>
    <mergeCell ref="B92:B95"/>
    <mergeCell ref="A85:A88"/>
    <mergeCell ref="B40:B50"/>
    <mergeCell ref="B170:B173"/>
    <mergeCell ref="A98:A99"/>
    <mergeCell ref="A142:A148"/>
    <mergeCell ref="A106:A107"/>
    <mergeCell ref="A108:A111"/>
    <mergeCell ref="A112:A115"/>
    <mergeCell ref="A117:A120"/>
    <mergeCell ref="A149:A151"/>
    <mergeCell ref="A136:A140"/>
    <mergeCell ref="A122:A123"/>
    <mergeCell ref="A126:A131"/>
    <mergeCell ref="B106:B107"/>
    <mergeCell ref="B136:B140"/>
    <mergeCell ref="B112:B115"/>
    <mergeCell ref="A134:A135"/>
    <mergeCell ref="B134:B135"/>
    <mergeCell ref="A152:A153"/>
    <mergeCell ref="B152:B153"/>
    <mergeCell ref="Q7:Q8"/>
    <mergeCell ref="M68:M71"/>
    <mergeCell ref="N68:N71"/>
    <mergeCell ref="O68:O71"/>
    <mergeCell ref="P68:P71"/>
    <mergeCell ref="Q21:Q24"/>
    <mergeCell ref="M9:M16"/>
    <mergeCell ref="N9:N16"/>
    <mergeCell ref="O9:O16"/>
    <mergeCell ref="Q9:Q16"/>
    <mergeCell ref="O17:O20"/>
    <mergeCell ref="P17:P20"/>
    <mergeCell ref="Q17:Q20"/>
    <mergeCell ref="P9:P16"/>
    <mergeCell ref="M21:M24"/>
    <mergeCell ref="Q60:Q66"/>
    <mergeCell ref="Q57:Q59"/>
    <mergeCell ref="M29:M32"/>
    <mergeCell ref="N29:N32"/>
    <mergeCell ref="Q40:Q41"/>
    <mergeCell ref="Q68:Q71"/>
    <mergeCell ref="P29:P32"/>
    <mergeCell ref="M7:M8"/>
    <mergeCell ref="M42:M45"/>
    <mergeCell ref="P40:P41"/>
    <mergeCell ref="O40:O41"/>
    <mergeCell ref="M57:M59"/>
    <mergeCell ref="N57:N59"/>
    <mergeCell ref="M60:M66"/>
    <mergeCell ref="N60:N66"/>
    <mergeCell ref="O60:O66"/>
    <mergeCell ref="P60:P66"/>
    <mergeCell ref="M40:M41"/>
    <mergeCell ref="N40:N41"/>
    <mergeCell ref="M55:M56"/>
    <mergeCell ref="N55:N56"/>
    <mergeCell ref="O55:O56"/>
    <mergeCell ref="P55:P56"/>
    <mergeCell ref="L64:L66"/>
    <mergeCell ref="A52:A67"/>
    <mergeCell ref="B52:B67"/>
    <mergeCell ref="L40:L41"/>
    <mergeCell ref="H40:H41"/>
    <mergeCell ref="I40:I41"/>
    <mergeCell ref="Q175:Q177"/>
    <mergeCell ref="A175:A177"/>
    <mergeCell ref="M175:M177"/>
    <mergeCell ref="N175:N177"/>
    <mergeCell ref="O175:O177"/>
    <mergeCell ref="P162:P163"/>
    <mergeCell ref="Q162:Q163"/>
    <mergeCell ref="M167:M169"/>
    <mergeCell ref="N167:N169"/>
    <mergeCell ref="O167:O169"/>
    <mergeCell ref="P167:P169"/>
    <mergeCell ref="Q167:Q169"/>
    <mergeCell ref="M162:M163"/>
    <mergeCell ref="N162:N163"/>
    <mergeCell ref="O162:O163"/>
    <mergeCell ref="M171:M173"/>
    <mergeCell ref="N171:N173"/>
    <mergeCell ref="O171:O173"/>
    <mergeCell ref="P171:P173"/>
    <mergeCell ref="Q171:Q173"/>
    <mergeCell ref="A158:A169"/>
    <mergeCell ref="M164:M166"/>
    <mergeCell ref="B175:B177"/>
    <mergeCell ref="A170:A173"/>
    <mergeCell ref="M117:M118"/>
    <mergeCell ref="N81:N84"/>
    <mergeCell ref="O81:O84"/>
    <mergeCell ref="P81:P84"/>
    <mergeCell ref="O106:O107"/>
    <mergeCell ref="P106:P107"/>
    <mergeCell ref="M100:M101"/>
    <mergeCell ref="N100:N101"/>
    <mergeCell ref="P175:P177"/>
    <mergeCell ref="N164:N166"/>
    <mergeCell ref="N154:N156"/>
    <mergeCell ref="M106:M107"/>
    <mergeCell ref="N106:N107"/>
    <mergeCell ref="M149:M151"/>
    <mergeCell ref="N149:N151"/>
    <mergeCell ref="M96:M97"/>
    <mergeCell ref="N96:N97"/>
    <mergeCell ref="O96:O97"/>
    <mergeCell ref="A68:A84"/>
    <mergeCell ref="B68:B84"/>
    <mergeCell ref="A100:A101"/>
    <mergeCell ref="B100:B101"/>
    <mergeCell ref="M142:M145"/>
    <mergeCell ref="N142:N145"/>
    <mergeCell ref="O142:O145"/>
    <mergeCell ref="P142:P145"/>
    <mergeCell ref="O85:O88"/>
    <mergeCell ref="P85:P88"/>
    <mergeCell ref="M122:M123"/>
    <mergeCell ref="P122:P123"/>
    <mergeCell ref="L79:L80"/>
    <mergeCell ref="H68:H71"/>
    <mergeCell ref="I68:I71"/>
    <mergeCell ref="J68:J71"/>
    <mergeCell ref="K68:K71"/>
    <mergeCell ref="L68:L71"/>
    <mergeCell ref="M124:M125"/>
    <mergeCell ref="N124:N125"/>
    <mergeCell ref="O124:O125"/>
    <mergeCell ref="P124:P125"/>
    <mergeCell ref="C102:C103"/>
    <mergeCell ref="M119:M120"/>
    <mergeCell ref="N119:N120"/>
    <mergeCell ref="O119:O120"/>
    <mergeCell ref="P119:P120"/>
    <mergeCell ref="N98:N99"/>
    <mergeCell ref="O98:O99"/>
    <mergeCell ref="Q112:Q114"/>
    <mergeCell ref="O117:O118"/>
    <mergeCell ref="P117:P118"/>
    <mergeCell ref="O108:O111"/>
    <mergeCell ref="N117:N118"/>
    <mergeCell ref="N108:N111"/>
    <mergeCell ref="O29:O32"/>
    <mergeCell ref="O100:O101"/>
    <mergeCell ref="P100:P101"/>
    <mergeCell ref="Q100:Q101"/>
    <mergeCell ref="Q77:Q80"/>
    <mergeCell ref="O164:O166"/>
    <mergeCell ref="P164:P166"/>
    <mergeCell ref="Q164:Q166"/>
    <mergeCell ref="Q102:Q103"/>
    <mergeCell ref="Q96:Q97"/>
    <mergeCell ref="P42:P45"/>
    <mergeCell ref="P154:P156"/>
    <mergeCell ref="Q154:Q156"/>
    <mergeCell ref="O126:O131"/>
    <mergeCell ref="P126:P131"/>
    <mergeCell ref="Q55:Q56"/>
    <mergeCell ref="Q152:Q153"/>
    <mergeCell ref="P33:P34"/>
    <mergeCell ref="Q33:Q34"/>
    <mergeCell ref="P52:P53"/>
    <mergeCell ref="Q52:Q53"/>
    <mergeCell ref="Q85:Q88"/>
    <mergeCell ref="Q117:Q118"/>
    <mergeCell ref="P96:P97"/>
    <mergeCell ref="O21:O24"/>
    <mergeCell ref="P21:P24"/>
    <mergeCell ref="N122:N123"/>
    <mergeCell ref="Q122:Q123"/>
    <mergeCell ref="Q119:Q120"/>
    <mergeCell ref="O122:O123"/>
    <mergeCell ref="B29:B32"/>
    <mergeCell ref="M112:M114"/>
    <mergeCell ref="N112:N114"/>
    <mergeCell ref="O112:O114"/>
    <mergeCell ref="P112:P114"/>
    <mergeCell ref="O57:O59"/>
    <mergeCell ref="P98:P99"/>
    <mergeCell ref="Q108:Q111"/>
    <mergeCell ref="P108:P111"/>
    <mergeCell ref="Q106:Q107"/>
    <mergeCell ref="M98:M99"/>
    <mergeCell ref="Q42:Q45"/>
    <mergeCell ref="Q98:Q99"/>
    <mergeCell ref="Q46:Q49"/>
    <mergeCell ref="P72:P75"/>
    <mergeCell ref="Q72:Q75"/>
    <mergeCell ref="B35:B39"/>
    <mergeCell ref="M35:M39"/>
    <mergeCell ref="C2:G2"/>
    <mergeCell ref="H2:L2"/>
    <mergeCell ref="Q81:Q84"/>
    <mergeCell ref="A4:A26"/>
    <mergeCell ref="B4:B26"/>
    <mergeCell ref="M25:M26"/>
    <mergeCell ref="N25:N26"/>
    <mergeCell ref="O25:O26"/>
    <mergeCell ref="P25:P26"/>
    <mergeCell ref="Q25:Q26"/>
    <mergeCell ref="Q29:Q32"/>
    <mergeCell ref="Q35:Q39"/>
    <mergeCell ref="M27:M28"/>
    <mergeCell ref="N27:N28"/>
    <mergeCell ref="O27:O28"/>
    <mergeCell ref="P27:P28"/>
    <mergeCell ref="A35:A39"/>
    <mergeCell ref="O35:O39"/>
    <mergeCell ref="P35:P39"/>
    <mergeCell ref="A29:A32"/>
    <mergeCell ref="Q4:Q6"/>
    <mergeCell ref="Q27:Q28"/>
    <mergeCell ref="B27:B28"/>
    <mergeCell ref="N21:N24"/>
    <mergeCell ref="H72:H73"/>
    <mergeCell ref="H74:H75"/>
    <mergeCell ref="I72:I73"/>
    <mergeCell ref="I74:I75"/>
    <mergeCell ref="J72:J73"/>
    <mergeCell ref="J74:J75"/>
    <mergeCell ref="K72:K73"/>
    <mergeCell ref="K74:K75"/>
    <mergeCell ref="L72:L73"/>
    <mergeCell ref="L74:L75"/>
    <mergeCell ref="H4:H6"/>
    <mergeCell ref="I4:I6"/>
    <mergeCell ref="J4:J6"/>
    <mergeCell ref="K4:K6"/>
    <mergeCell ref="L4:L6"/>
    <mergeCell ref="H7:H8"/>
    <mergeCell ref="I7:I8"/>
    <mergeCell ref="J7:J8"/>
    <mergeCell ref="K7:K8"/>
    <mergeCell ref="L7:L8"/>
    <mergeCell ref="H9:H16"/>
    <mergeCell ref="I9:I16"/>
    <mergeCell ref="J9:J16"/>
    <mergeCell ref="K9:K16"/>
    <mergeCell ref="L9:L16"/>
    <mergeCell ref="L17:L20"/>
    <mergeCell ref="H17:H20"/>
    <mergeCell ref="I17:I20"/>
    <mergeCell ref="J17:J20"/>
    <mergeCell ref="K17:K20"/>
    <mergeCell ref="L21:L24"/>
    <mergeCell ref="H21:H24"/>
    <mergeCell ref="I21:I24"/>
    <mergeCell ref="J21:J24"/>
    <mergeCell ref="K21:K24"/>
    <mergeCell ref="L25:L26"/>
    <mergeCell ref="H25:H26"/>
    <mergeCell ref="I25:I26"/>
    <mergeCell ref="J25:J26"/>
    <mergeCell ref="K25:K26"/>
    <mergeCell ref="L27:L28"/>
    <mergeCell ref="H27:H28"/>
    <mergeCell ref="I27:I28"/>
    <mergeCell ref="J27:J28"/>
    <mergeCell ref="K27:K28"/>
    <mergeCell ref="L29:L32"/>
    <mergeCell ref="H29:H32"/>
    <mergeCell ref="I29:I32"/>
    <mergeCell ref="J29:J32"/>
    <mergeCell ref="K29:K32"/>
    <mergeCell ref="K40:K41"/>
    <mergeCell ref="L42:L45"/>
    <mergeCell ref="H42:H45"/>
    <mergeCell ref="I42:I45"/>
    <mergeCell ref="J42:J45"/>
    <mergeCell ref="K42:K45"/>
    <mergeCell ref="L46:L49"/>
    <mergeCell ref="H46:H49"/>
    <mergeCell ref="I46:I49"/>
    <mergeCell ref="J46:J49"/>
    <mergeCell ref="K46:K49"/>
    <mergeCell ref="L57:L59"/>
    <mergeCell ref="H57:H59"/>
    <mergeCell ref="I57:I59"/>
    <mergeCell ref="J57:J59"/>
    <mergeCell ref="K57:K59"/>
    <mergeCell ref="L98:L99"/>
    <mergeCell ref="H98:H99"/>
    <mergeCell ref="I98:I99"/>
    <mergeCell ref="J98:J99"/>
    <mergeCell ref="K98:K99"/>
    <mergeCell ref="H81:H84"/>
    <mergeCell ref="I81:I84"/>
    <mergeCell ref="J81:J84"/>
    <mergeCell ref="K81:K84"/>
    <mergeCell ref="L81:L84"/>
    <mergeCell ref="H77:H78"/>
    <mergeCell ref="H79:H80"/>
    <mergeCell ref="I77:I78"/>
    <mergeCell ref="I79:I80"/>
    <mergeCell ref="J77:J78"/>
    <mergeCell ref="J79:J80"/>
    <mergeCell ref="K77:K78"/>
    <mergeCell ref="K79:K80"/>
    <mergeCell ref="L77:L78"/>
    <mergeCell ref="J106:J107"/>
    <mergeCell ref="K106:K107"/>
    <mergeCell ref="L112:L114"/>
    <mergeCell ref="H112:H114"/>
    <mergeCell ref="I112:I114"/>
    <mergeCell ref="J112:J114"/>
    <mergeCell ref="K112:K114"/>
    <mergeCell ref="H110:H111"/>
    <mergeCell ref="I110:I111"/>
    <mergeCell ref="J110:J111"/>
    <mergeCell ref="K110:K111"/>
    <mergeCell ref="L110:L111"/>
    <mergeCell ref="L108:L109"/>
    <mergeCell ref="L117:L118"/>
    <mergeCell ref="H117:H118"/>
    <mergeCell ref="I117:I118"/>
    <mergeCell ref="J117:J118"/>
    <mergeCell ref="K117:K118"/>
    <mergeCell ref="L119:L120"/>
    <mergeCell ref="H119:H120"/>
    <mergeCell ref="I119:I120"/>
    <mergeCell ref="J119:J120"/>
    <mergeCell ref="K119:K120"/>
    <mergeCell ref="L126:L131"/>
    <mergeCell ref="H126:H131"/>
    <mergeCell ref="I126:I131"/>
    <mergeCell ref="J126:J131"/>
    <mergeCell ref="K126:K131"/>
    <mergeCell ref="L136:L140"/>
    <mergeCell ref="H136:H140"/>
    <mergeCell ref="I136:I140"/>
    <mergeCell ref="J136:J140"/>
    <mergeCell ref="K136:K140"/>
    <mergeCell ref="L149:L151"/>
    <mergeCell ref="H149:H151"/>
    <mergeCell ref="I149:I151"/>
    <mergeCell ref="J149:J151"/>
    <mergeCell ref="K149:K151"/>
    <mergeCell ref="L154:L156"/>
    <mergeCell ref="H154:H156"/>
    <mergeCell ref="I154:I156"/>
    <mergeCell ref="J154:J156"/>
    <mergeCell ref="K154:K156"/>
    <mergeCell ref="L162:L163"/>
    <mergeCell ref="H162:H163"/>
    <mergeCell ref="I162:I163"/>
    <mergeCell ref="J162:J163"/>
    <mergeCell ref="K162:K163"/>
    <mergeCell ref="H167:H169"/>
    <mergeCell ref="I167:I169"/>
    <mergeCell ref="J167:J169"/>
    <mergeCell ref="K167:K169"/>
    <mergeCell ref="L167:L169"/>
    <mergeCell ref="L164:L166"/>
    <mergeCell ref="H164:H166"/>
    <mergeCell ref="I164:I166"/>
    <mergeCell ref="J164:J166"/>
    <mergeCell ref="K164:K166"/>
    <mergeCell ref="L171:L173"/>
    <mergeCell ref="H171:H173"/>
    <mergeCell ref="I171:I173"/>
    <mergeCell ref="J171:J173"/>
    <mergeCell ref="K171:K173"/>
    <mergeCell ref="L175:L177"/>
    <mergeCell ref="H175:H177"/>
    <mergeCell ref="I175:I177"/>
    <mergeCell ref="J175:J177"/>
    <mergeCell ref="K175:K177"/>
  </mergeCells>
  <hyperlinks>
    <hyperlink ref="N9" r:id="rId1" display="https://www.pbo-dpb.gc.ca/web/default/files/Documents/Info%20Requests/2020/IR0528_PHAC_COVID19_update_request_e.pdf" xr:uid="{5E1AF3C0-608B-484F-8F1A-F8EF363B1388}"/>
    <hyperlink ref="N9:N16" r:id="rId2" display="IR0528" xr:uid="{9F697695-9EF8-4513-836E-235754965479}"/>
    <hyperlink ref="N4" r:id="rId3" xr:uid="{98A3D79B-89F0-4EBE-B2EB-A8AA8D1AF938}"/>
    <hyperlink ref="N17:N18" r:id="rId4" display="IR0551" xr:uid="{B2E5726E-6EDF-47B6-BF06-A62099AFE345}"/>
    <hyperlink ref="N7:N8" r:id="rId5" display="IR0550" xr:uid="{E8467A6B-359F-40D7-A396-C0A74B563F2C}"/>
    <hyperlink ref="N21:N24" r:id="rId6" display="IR0559" xr:uid="{6A7D4DB4-A292-4738-9D4C-14377B44FB2A}"/>
    <hyperlink ref="N27:N28" r:id="rId7" display="IR0550" xr:uid="{C3E69B43-942B-4FD5-8719-6ED10EB11C8B}"/>
    <hyperlink ref="N29" r:id="rId8" display="https://www.pbo-dpb.gc.ca/web/default/files/Documents/Info%20Requests/2020/IR0462_CIRNAC_COVID-19_Measures_request_e_signed.pdf" xr:uid="{CD0CB7C4-C4BD-4E83-B557-DEB8495691F2}"/>
    <hyperlink ref="N29:N31" r:id="rId9" display="IR0462" xr:uid="{9F6F9DF6-3869-4C73-B45A-3A4B08E1388D}"/>
    <hyperlink ref="N33" r:id="rId10" xr:uid="{37D8571E-C0DA-4440-8E0A-A1D79F07E845}"/>
    <hyperlink ref="N35" r:id="rId11" display="https://www.pbo-dpb.gc.ca/web/default/files/Documents/Info%20Requests/2020/IR0470_ISC_COVID-19_Measures_request_e_signed.pdf" xr:uid="{3E6F8919-AF9C-4CB1-90EF-FB4802546C17}"/>
    <hyperlink ref="N35:N36" r:id="rId12" display="IR0470" xr:uid="{91259797-5B94-48C1-9CF2-A7CA43F19F35}"/>
    <hyperlink ref="N42" r:id="rId13" xr:uid="{CAD7B032-2805-4C40-8FEF-B25B6C5C93E8}"/>
    <hyperlink ref="N46" r:id="rId14" xr:uid="{1EC43AF1-4BA5-4F16-9059-D2BA0D2CDEC4}"/>
    <hyperlink ref="N40" r:id="rId15" xr:uid="{C57B1A1F-DDC2-470C-A93F-DFFEE3F7232F}"/>
    <hyperlink ref="N55" r:id="rId16" xr:uid="{88E5E475-EB12-4C20-8039-92C2C344C228}"/>
    <hyperlink ref="N57" r:id="rId17" display="https://www.pbo-dpb.gc.ca/web/default/files/Documents/Info%20Requests/2020/IR0478_CIHR_COVID-19_ltr_e.pdf" xr:uid="{7AC59A19-A165-4C86-AD0D-230CB38467D9}"/>
    <hyperlink ref="N57:N59" r:id="rId18" display="IR0478" xr:uid="{615A14A4-65D4-4C93-994A-BEE159D0B59E}"/>
    <hyperlink ref="N60" r:id="rId19" display="https://www.pbo-dpb.gc.ca/web/default/files/Documents/Info%20Requests/2020/IR0528_PHAC_COVID19_update_request_e.pdf" xr:uid="{AD7CF7CF-621F-46AF-AB79-2EE3EEF6079F}"/>
    <hyperlink ref="N52" r:id="rId20" xr:uid="{C3759209-5DB8-4081-AFE7-1D3716A53FB8}"/>
    <hyperlink ref="N54" r:id="rId21" xr:uid="{6B9A4E81-F5C6-4EC1-8DF0-27637AB5E32B}"/>
    <hyperlink ref="N85" r:id="rId22" xr:uid="{DAF5CEF6-6D14-47FB-A37A-6E17BA8A98C7}"/>
    <hyperlink ref="N98" r:id="rId23" xr:uid="{3D56289E-D585-4763-ABFA-BB309361F700}"/>
    <hyperlink ref="N100" r:id="rId24" xr:uid="{CFA8FD06-B76A-4C6C-A641-0A12D521C0B2}"/>
    <hyperlink ref="N107" r:id="rId25" display="IR0475" xr:uid="{BD1D4B67-A68A-437E-90E7-8F3C5FF0EE6F}"/>
    <hyperlink ref="N112" r:id="rId26" xr:uid="{74E78B6C-301F-48B1-8AD6-4C26CBECB477}"/>
    <hyperlink ref="N117" r:id="rId27" display="https://www.pbo-dpb.gc.ca/web/default/files/Documents/Info%20Requests/2020/IR0456_AAFC_COVID-19_Allocations_request_e_signed.pdf" xr:uid="{0F56A4BB-4FC1-4C3C-9FE3-D564916E436B}"/>
    <hyperlink ref="N117:N118" r:id="rId28" display="IR0456" xr:uid="{8E9E598D-2694-442E-9FD6-5C0F611922C1}"/>
    <hyperlink ref="N119:N120" r:id="rId29" display="IR0549" xr:uid="{5668EE98-1A94-4BF9-9188-2DABEEBE8EDF}"/>
    <hyperlink ref="N122:N123" r:id="rId30" display="IR0549" xr:uid="{599AA572-55BD-4997-B604-37CA434DA5D0}"/>
    <hyperlink ref="N126" r:id="rId31" xr:uid="{37900696-DA95-4B66-B9D1-E9A430B089DC}"/>
    <hyperlink ref="N136" r:id="rId32" display="https://www.pbo-dpb.gc.ca/web/default/files/Documents/Info%20Requests/2020/IR0529_PSEP_COVID19_update_request_e.pdf" xr:uid="{F6BE9027-F26C-43E3-A412-854ABC69557E}"/>
    <hyperlink ref="N136:N140" r:id="rId33" display="IR0529" xr:uid="{1F09D47B-B149-4EB1-B42F-4066027C1AE2}"/>
    <hyperlink ref="N142" r:id="rId34" xr:uid="{8A800D6D-0430-48AC-948E-143A153CE891}"/>
    <hyperlink ref="N146" r:id="rId35" xr:uid="{31655FC9-F83E-4102-B579-40D5DFDCD437}"/>
    <hyperlink ref="N149" r:id="rId36" xr:uid="{A60C6F04-4BF0-4805-9C24-8A3532DB94D5}"/>
    <hyperlink ref="N154" r:id="rId37" xr:uid="{DFF3EC50-F409-4965-A881-76F6E2BCC5DA}"/>
    <hyperlink ref="N157" r:id="rId38" xr:uid="{64B662C7-AFE2-42A3-8FF0-7A2A45BF588F}"/>
    <hyperlink ref="N167" r:id="rId39" xr:uid="{ABA7F3FD-2896-48B8-82FD-C286E9A4239C}"/>
    <hyperlink ref="N161" r:id="rId40" xr:uid="{1B5E6ACE-458F-45AD-AF23-4183496BC6BA}"/>
    <hyperlink ref="N159" r:id="rId41" xr:uid="{5915D695-AC74-4B82-9A2C-1B438E100DEF}"/>
    <hyperlink ref="N158" r:id="rId42" xr:uid="{F3AC792C-EE5D-4220-A79A-3B611D6C65D6}"/>
    <hyperlink ref="N164" r:id="rId43" xr:uid="{B694104C-5824-4AF8-B350-BAE20A926D87}"/>
    <hyperlink ref="N160" r:id="rId44" xr:uid="{E7A4A0BE-966F-4397-8724-4CD4BCBEEA89}"/>
    <hyperlink ref="N174" r:id="rId45" xr:uid="{CFFD0A30-A463-4651-9C39-3E1055E04D8F}"/>
    <hyperlink ref="N175:N177" r:id="rId46" display="IR0467" xr:uid="{1B5A0DD9-A937-46B4-AFA1-B746A4B995C6}"/>
    <hyperlink ref="N175" r:id="rId47" display="IR0477" xr:uid="{91EF7E35-6555-41C2-BACD-CE47DEB82BB3}"/>
    <hyperlink ref="N77" r:id="rId48" display="https://www.pbo-dpb.gc.ca/web/default/files/Documents/Info%20Requests/2020/IR0528_PHAC_COVID19_update_request_e.pdf" xr:uid="{24FD82CB-C5E4-4B1B-80C8-EB29B4970903}"/>
    <hyperlink ref="N77:N80" r:id="rId49" display="IR0528" xr:uid="{786BBC3B-177F-483B-8196-7DBF0BEEB9DF}"/>
    <hyperlink ref="N108" r:id="rId50" display="https://www.pbo-dpb.gc.ca/web/default/files/Documents/Info%20Requests/2020/IR0528_PHAC_COVID19_update_request_e.pdf" xr:uid="{34FDD6E9-FCE3-43A8-BE58-68D2B2EC844C}"/>
    <hyperlink ref="N108:N111" r:id="rId51" display="IR0528" xr:uid="{37B5F041-A841-421A-AF29-DF3D6CEC481A}"/>
    <hyperlink ref="N68" r:id="rId52" xr:uid="{C04EB2B7-F791-4485-961F-757DECD4DD5E}"/>
    <hyperlink ref="N76" r:id="rId53" xr:uid="{BABCF34B-4DAE-404B-8E75-C4FE45CFBD49}"/>
    <hyperlink ref="F174" r:id="rId54" xr:uid="{9A795CD9-C7AB-48A0-882E-12856C727026}"/>
    <hyperlink ref="N92" r:id="rId55" display="https://www.pbo-dpb.gc.ca/web/default/files/Documents/Info%20Requests/2020/IR0528_PHAC_COVID19_update_request_e.pdf" xr:uid="{A3BC3CE5-A122-4CDC-8A15-F9A4DF5B6C83}"/>
    <hyperlink ref="N72:N73" r:id="rId56" display="IR0551" xr:uid="{CAFFF4D2-728D-4D1E-83DF-310D725813A3}"/>
    <hyperlink ref="N116" r:id="rId57" xr:uid="{0F73F9F6-EB20-4399-ADF7-7660DBB045B7}"/>
    <hyperlink ref="N152" r:id="rId58" xr:uid="{3E411D73-5EFC-49A2-88BB-C60B10E7FD01}"/>
    <hyperlink ref="N90" r:id="rId59" display="https://www.pbo-dpb.gc.ca/web/default/files/Documents/Info%20Requests/2020/IR0528_PHAC_COVID19_update_request_e.pdf" xr:uid="{C5CFDF4F-1304-4307-9AF7-55397DB40CF2}"/>
    <hyperlink ref="N96" r:id="rId60" display="IR05484" xr:uid="{88494409-7F0F-4339-A972-792B90964480}"/>
    <hyperlink ref="N104:N105" r:id="rId61" display="IR0550" xr:uid="{AE291354-101B-49C0-A357-F07DB89E82B1}"/>
    <hyperlink ref="N102" r:id="rId62" display="https://www.pbo-dpb.gc.ca/web/default/files/Documents/Info%20Requests/2020/IR0528_PHAC_COVID19_update_request_e.pdf" xr:uid="{A3E237D4-7945-482F-B90D-B6AE8559CFBA}"/>
    <hyperlink ref="N115" r:id="rId63" xr:uid="{E7CD0A81-D900-44F8-AFD2-83C257B160DA}"/>
    <hyperlink ref="N171" r:id="rId64" xr:uid="{0007A19B-1A02-4132-8EF6-0750737B0A34}"/>
    <hyperlink ref="N133" r:id="rId65" display="https://www.pbo-dpb.gc.ca/web/default/files/Documents/Info%20Requests/2020/IR0528_PHAC_COVID19_update_request_e.pdf" xr:uid="{3C7DA16A-85C4-4B22-BFFC-B56C9776BCE5}"/>
    <hyperlink ref="N105" r:id="rId66" xr:uid="{C730BD94-1CB9-4A67-8C1D-5C97FBB57573}"/>
    <hyperlink ref="N81" r:id="rId67" xr:uid="{43FA455F-0123-4B51-A9AE-27DB505B0474}"/>
    <hyperlink ref="N147" r:id="rId68" display="https://www.pbo-dpb.gc.ca/web/default/files/Documents/Info%20Requests/2020/IR0528_PHAC_COVID19_update_request_e.pdf" xr:uid="{03EC6693-D872-4808-A3FD-106571C4F819}"/>
    <hyperlink ref="O7:O8" r:id="rId69" display="TBS Data: COVID-19 Economic Response Plan - Estimated Expenditures" xr:uid="{8AB294E8-88FD-4356-9FF9-ED6F11BC1978}"/>
    <hyperlink ref="O25:O26" r:id="rId70" display="TBS Data: COVID-19 Economic Response Plan - Estimated Expenditures" xr:uid="{23F9C9EC-D9C2-43D6-81FD-AD8617EF0733}"/>
    <hyperlink ref="O40:O41" r:id="rId71" display="TBS Data: COVID-19 Economic Response Plan - Estimated Expenditures" xr:uid="{F1BA277C-F8E3-4736-AF71-A922FF706B09}"/>
    <hyperlink ref="O17:O20" r:id="rId72" display="TBS Data: COVID-19 Economic Response Plan - Estimated Expenditures" xr:uid="{0D65EF19-B325-4F46-8454-72CAED5F4B08}"/>
    <hyperlink ref="O21:O24" r:id="rId73" display="TBS Data: COVID-19 Economic Response Plan - Estimated Expenditures" xr:uid="{D6AF3E6B-54B6-456A-8DB1-C17A610EE90E}"/>
    <hyperlink ref="O29:O32" r:id="rId74" display="TBS Data: COVID-19 Economic Response Plan - Estimated Expenditures" xr:uid="{5DA9EE2B-69D8-445A-A69E-77BDED752562}"/>
    <hyperlink ref="O35:O39" r:id="rId75" display="TBS Data: COVID-19 Economic Response Plan - Estimated Expenditures" xr:uid="{3B779C0D-4BAF-4EFA-ACBA-C2AFB6C1F478}"/>
    <hyperlink ref="O42:O45" r:id="rId76" display="TBS Data: COVID-19 Economic Response Plan - Estimated Expenditures" xr:uid="{CB50B70E-7132-41B8-804B-F95DAAF00B31}"/>
    <hyperlink ref="O52" r:id="rId77" xr:uid="{FC2EFE5C-9618-4E89-9010-42FE2E90CB6C}"/>
    <hyperlink ref="O55" r:id="rId78" xr:uid="{2EDE3A38-8782-4D24-A7FA-5071139E133C}"/>
    <hyperlink ref="O72:O75" r:id="rId79" display="TBS Data: COVID-19 Economic Response Plan - Estimated Expenditures" xr:uid="{FD6B69DA-3684-4D4F-8C35-5446970869ED}"/>
    <hyperlink ref="O81:O84" r:id="rId80" display="TBS Data: COVID-19 Economic Response Plan - Estimated Expenditures" xr:uid="{D61D0C7D-1FB5-4D19-9300-06548D27AF84}"/>
    <hyperlink ref="O85:O88" r:id="rId81" display="TBS Data: COVID-19 Economic Response Plan - Estimated Expenditures" xr:uid="{A7A93819-C254-4FCE-BF1C-2BA2F479A52B}"/>
    <hyperlink ref="O100:O101" r:id="rId82" display="TBS Data: COVID-19 Economic Response Plan - Estimated Expenditures" xr:uid="{7F4405E5-E7D6-4CB8-BD08-992C6CB7D97D}"/>
    <hyperlink ref="O106:O107" r:id="rId83" display="TBS Data: COVID-19 Economic Response Plan - Estimated Expenditures" xr:uid="{4494E6DA-48F5-497C-973B-6F6E110B075F}"/>
    <hyperlink ref="O115" r:id="rId84" xr:uid="{F71EE480-6E30-40DC-87CA-A995B41FCF87}"/>
    <hyperlink ref="O119:O120" r:id="rId85" display="TBS Data: COVID-19 Economic Response Plan - Estimated Expenditures" xr:uid="{CA59FCF7-3E41-4876-87FA-B0BDDE3320F2}"/>
    <hyperlink ref="O122:O123" r:id="rId86" display="TBS Data: COVID-19 Economic Response Plan - Estimated Expenditures" xr:uid="{5761D00F-7074-442B-8B68-9972029D8C7F}"/>
    <hyperlink ref="O126:O131" r:id="rId87" display="TBS Data: COVID-19 Economic Response Plan - Estimated Expenditures" xr:uid="{F6DF886B-D726-45CD-AB14-E20BFB566495}"/>
    <hyperlink ref="O136:O140" r:id="rId88" display="TBS Data: COVID-19 Economic Response Plan - Estimated Expenditures" xr:uid="{130966C2-995B-46F5-9EC0-C808DA22C80A}"/>
    <hyperlink ref="O142:O145" r:id="rId89" display="TBS Data: COVID-19 Economic Response Plan - Estimated Expenditures" xr:uid="{BC183B8E-C672-49DB-A242-2009E8D5DCB9}"/>
    <hyperlink ref="O149:O151" r:id="rId90" display="TBS Data: COVID-19 Economic Response Plan - Estimated Expenditures" xr:uid="{EA9DAC8D-9771-45FB-B567-BAEA26BA56B3}"/>
    <hyperlink ref="O160" r:id="rId91" xr:uid="{419646FD-E666-41A2-9157-58322DEA3C8B}"/>
    <hyperlink ref="O164:O166" r:id="rId92" display="TBS Data: COVID-19 Economic Response Plan - Estimated Expenditures" xr:uid="{CD836F34-24C3-46EB-B035-B624267BA7D3}"/>
    <hyperlink ref="O175:O177" r:id="rId93" display="TBS Data: COVID-19 Economic Response Plan - Estimated Expenditures" xr:uid="{474C0B95-87F0-41EC-92F3-A7FB50796F04}"/>
    <hyperlink ref="O68:O71" r:id="rId94" display="TBS Data: COVID-19 Economic Response Plan - Estimated Expenditures" xr:uid="{B75B4BF7-2CDA-4C84-AA72-5C991624A10E}"/>
    <hyperlink ref="O170" r:id="rId95" xr:uid="{6330BF3A-7D24-4618-A2D9-9D3A4906EA8D}"/>
    <hyperlink ref="O161" r:id="rId96" xr:uid="{EE3ADE61-4725-44DD-87C8-78CD73D97B38}"/>
    <hyperlink ref="O162:O163" r:id="rId97" display="TBS Data: COVID-19 Economic Response Plan - Estimated Expenditures" xr:uid="{5AA356C2-7BDC-43CE-91FA-3C90CD73D92E}"/>
    <hyperlink ref="N67" r:id="rId98" xr:uid="{14B46112-22A0-4B73-9517-7910DECFA09A}"/>
    <hyperlink ref="O52:O53" r:id="rId99" display="TBS Data: COVID-19 Economic Response Plan - Estimated Expenditures" xr:uid="{A0CC93BB-6590-45FD-86D9-D3912D3AA198}"/>
    <hyperlink ref="O55:O56" r:id="rId100" display="TBS Data: COVID-19 Economic Response Plan - Estimated Expenditures" xr:uid="{C48864B4-E5AF-417B-9248-BFDF1F4A6EBF}"/>
    <hyperlink ref="O117:O118" r:id="rId101" display="TBS Data: COVID-19 Economic Response Plan - Estimated Expenditures" xr:uid="{1EC2B79D-D4EC-40EC-839C-011DD394C816}"/>
    <hyperlink ref="O112:O114" r:id="rId102" display="TBS Data: COVID-19 Economic Response Plan - Estimated Expenditures" xr:uid="{0A35BC11-BFDD-481D-921B-157F34832B58}"/>
    <hyperlink ref="O27:O28" r:id="rId103" display="TBS Data: COVID-19 Economic Response Plan - Estimated Expenditures" xr:uid="{9C5FA65C-4B4F-409C-BF4A-418DCED63991}"/>
    <hyperlink ref="O132" r:id="rId104" xr:uid="{57C4FA2E-DF0D-4C1E-BBFD-50425E215D8B}"/>
    <hyperlink ref="O94:O95" r:id="rId105" display="TBS Data: COVID-19 Economic Response Plan - Estimated Expenditures" xr:uid="{4D67D417-141F-440B-87B5-5E515DE76EBF}"/>
    <hyperlink ref="O159" r:id="rId106" xr:uid="{CF7B50BF-C331-4F78-B40C-0D29219C6EAA}"/>
    <hyperlink ref="O33:O34" r:id="rId107" display="TBS Data: COVID-19 Economic Response Plan - Estimated Expenditures" xr:uid="{15F93B5D-0554-47E6-BD6B-470DB6DF0B83}"/>
    <hyperlink ref="O54" r:id="rId108" xr:uid="{3B8A5E0F-B628-4202-90C0-0E2429CCC855}"/>
    <hyperlink ref="O96:O97" r:id="rId109" display="TBS Data: COVID-19 Economic Response Plan - Estimated Expenditures" xr:uid="{F918A52E-CFB8-4B5B-914A-62177508FD36}"/>
    <hyperlink ref="O121" r:id="rId110" xr:uid="{3EF913C8-FDBE-462A-A219-73C36E9F861C}"/>
  </hyperlinks>
  <pageMargins left="0.7" right="0.7" top="0.75" bottom="0.75" header="0.3" footer="0.3"/>
  <pageSetup orientation="portrait" r:id="rId1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S314"/>
  <sheetViews>
    <sheetView showGridLines="0" zoomScale="70" zoomScaleNormal="70" workbookViewId="0"/>
  </sheetViews>
  <sheetFormatPr defaultRowHeight="15" x14ac:dyDescent="0.25"/>
  <cols>
    <col min="1" max="1" width="72.5703125" customWidth="1"/>
    <col min="2" max="2" width="42" style="54" bestFit="1" customWidth="1"/>
    <col min="3" max="3" width="24.42578125" bestFit="1" customWidth="1"/>
    <col min="4" max="4" width="42.140625" customWidth="1"/>
    <col min="5" max="5" width="23.7109375" bestFit="1" customWidth="1"/>
    <col min="6" max="6" width="52.85546875" style="54" customWidth="1"/>
    <col min="7" max="7" width="34.7109375" bestFit="1" customWidth="1"/>
    <col min="8" max="8" width="24.42578125" style="54" bestFit="1" customWidth="1"/>
    <col min="9" max="9" width="42.140625" style="54" customWidth="1"/>
    <col min="10" max="10" width="23.7109375" style="54" bestFit="1" customWidth="1"/>
    <col min="11" max="11" width="52.85546875" style="54" customWidth="1"/>
    <col min="12" max="12" width="34.7109375" style="54" bestFit="1" customWidth="1"/>
    <col min="13" max="13" width="25" customWidth="1"/>
    <col min="14" max="14" width="13.7109375" bestFit="1" customWidth="1"/>
    <col min="15" max="15" width="24.5703125" customWidth="1"/>
    <col min="16" max="16" width="49.28515625" customWidth="1"/>
    <col min="17" max="17" width="26.85546875" customWidth="1"/>
    <col min="19" max="19" width="14" bestFit="1" customWidth="1"/>
  </cols>
  <sheetData>
    <row r="1" spans="1:17" ht="15.75" thickBot="1" x14ac:dyDescent="0.3">
      <c r="A1" s="2" t="s">
        <v>49</v>
      </c>
      <c r="B1" s="2"/>
    </row>
    <row r="2" spans="1:17" ht="15.75" thickBot="1" x14ac:dyDescent="0.3">
      <c r="A2" s="1"/>
      <c r="B2" s="1"/>
      <c r="C2" s="431" t="s">
        <v>507</v>
      </c>
      <c r="D2" s="432"/>
      <c r="E2" s="432"/>
      <c r="F2" s="432"/>
      <c r="G2" s="432"/>
      <c r="H2" s="432" t="s">
        <v>508</v>
      </c>
      <c r="I2" s="432"/>
      <c r="J2" s="432"/>
      <c r="K2" s="432"/>
      <c r="L2" s="433"/>
    </row>
    <row r="3" spans="1:17" ht="17.25" x14ac:dyDescent="0.25">
      <c r="A3" s="27" t="s">
        <v>49</v>
      </c>
      <c r="B3" s="75" t="s">
        <v>381</v>
      </c>
      <c r="C3" s="290" t="s">
        <v>509</v>
      </c>
      <c r="D3" s="290" t="s">
        <v>1</v>
      </c>
      <c r="E3" s="290" t="s">
        <v>515</v>
      </c>
      <c r="F3" s="28" t="s">
        <v>344</v>
      </c>
      <c r="G3" s="290" t="s">
        <v>512</v>
      </c>
      <c r="H3" s="290" t="s">
        <v>510</v>
      </c>
      <c r="I3" s="290" t="s">
        <v>1</v>
      </c>
      <c r="J3" s="290" t="s">
        <v>515</v>
      </c>
      <c r="K3" s="28" t="s">
        <v>344</v>
      </c>
      <c r="L3" s="290" t="s">
        <v>513</v>
      </c>
      <c r="M3" s="29" t="s">
        <v>2</v>
      </c>
      <c r="N3" s="29" t="s">
        <v>3</v>
      </c>
      <c r="O3" s="29" t="s">
        <v>4</v>
      </c>
      <c r="P3" s="29" t="s">
        <v>5</v>
      </c>
      <c r="Q3" s="30" t="s">
        <v>6</v>
      </c>
    </row>
    <row r="4" spans="1:17" ht="107.25" customHeight="1" x14ac:dyDescent="0.25">
      <c r="A4" s="279" t="s">
        <v>140</v>
      </c>
      <c r="B4" s="92">
        <f>82305-13550</f>
        <v>68755</v>
      </c>
      <c r="C4" s="261" t="s">
        <v>42</v>
      </c>
      <c r="D4" s="261" t="s">
        <v>141</v>
      </c>
      <c r="E4" s="261" t="s">
        <v>111</v>
      </c>
      <c r="F4" s="262" t="s">
        <v>366</v>
      </c>
      <c r="G4" s="143" t="s">
        <v>111</v>
      </c>
      <c r="H4" s="292"/>
      <c r="I4" s="292"/>
      <c r="J4" s="292"/>
      <c r="K4" s="292"/>
      <c r="L4" s="292"/>
      <c r="M4" s="302" t="s">
        <v>11</v>
      </c>
      <c r="N4" s="353" t="s">
        <v>142</v>
      </c>
      <c r="O4" s="342" t="s">
        <v>143</v>
      </c>
      <c r="P4" s="345" t="s">
        <v>611</v>
      </c>
      <c r="Q4" s="316">
        <v>44297</v>
      </c>
    </row>
    <row r="5" spans="1:17" ht="105" x14ac:dyDescent="0.25">
      <c r="A5" s="279" t="s">
        <v>144</v>
      </c>
      <c r="B5" s="92">
        <v>14790</v>
      </c>
      <c r="C5" s="261" t="s">
        <v>42</v>
      </c>
      <c r="D5" s="261" t="s">
        <v>141</v>
      </c>
      <c r="E5" s="261" t="s">
        <v>111</v>
      </c>
      <c r="F5" s="262" t="s">
        <v>366</v>
      </c>
      <c r="G5" s="143" t="s">
        <v>111</v>
      </c>
      <c r="H5" s="294"/>
      <c r="I5" s="294"/>
      <c r="J5" s="294"/>
      <c r="K5" s="294"/>
      <c r="L5" s="294"/>
      <c r="M5" s="304"/>
      <c r="N5" s="355"/>
      <c r="O5" s="344"/>
      <c r="P5" s="347"/>
      <c r="Q5" s="336"/>
    </row>
    <row r="6" spans="1:17" ht="120" x14ac:dyDescent="0.25">
      <c r="A6" s="279" t="s">
        <v>342</v>
      </c>
      <c r="B6" s="81">
        <v>0</v>
      </c>
      <c r="C6" s="261" t="s">
        <v>42</v>
      </c>
      <c r="D6" s="261" t="s">
        <v>141</v>
      </c>
      <c r="E6" s="261" t="s">
        <v>111</v>
      </c>
      <c r="F6" s="262" t="s">
        <v>366</v>
      </c>
      <c r="G6" s="143" t="s">
        <v>111</v>
      </c>
      <c r="H6" s="261"/>
      <c r="I6" s="261"/>
      <c r="J6" s="261"/>
      <c r="K6" s="262"/>
      <c r="L6" s="143"/>
      <c r="M6" s="261" t="s">
        <v>85</v>
      </c>
      <c r="N6" s="261"/>
      <c r="O6" s="261"/>
      <c r="P6" s="278"/>
      <c r="Q6" s="272"/>
    </row>
    <row r="7" spans="1:17" s="32" customFormat="1" ht="30" x14ac:dyDescent="0.25">
      <c r="A7" s="61" t="s">
        <v>145</v>
      </c>
      <c r="B7" s="83">
        <f>1997+775+353+32</f>
        <v>3157</v>
      </c>
      <c r="C7" s="285" t="s">
        <v>42</v>
      </c>
      <c r="D7" s="262" t="s">
        <v>35</v>
      </c>
      <c r="E7" s="261" t="s">
        <v>111</v>
      </c>
      <c r="F7" s="264"/>
      <c r="G7" s="143" t="s">
        <v>111</v>
      </c>
      <c r="H7" s="285"/>
      <c r="I7" s="262"/>
      <c r="J7" s="261"/>
      <c r="K7" s="264"/>
      <c r="L7" s="143"/>
      <c r="M7" s="261" t="s">
        <v>11</v>
      </c>
      <c r="N7" s="268" t="s">
        <v>399</v>
      </c>
      <c r="O7" s="264" t="s">
        <v>219</v>
      </c>
      <c r="P7" s="100"/>
      <c r="Q7" s="286"/>
    </row>
    <row r="8" spans="1:17" s="32" customFormat="1" ht="45" customHeight="1" x14ac:dyDescent="0.25">
      <c r="A8" s="279" t="s">
        <v>279</v>
      </c>
      <c r="B8" s="81">
        <v>5</v>
      </c>
      <c r="C8" s="261" t="s">
        <v>42</v>
      </c>
      <c r="D8" s="262" t="s">
        <v>35</v>
      </c>
      <c r="E8" s="261" t="s">
        <v>111</v>
      </c>
      <c r="F8" s="274" t="s">
        <v>368</v>
      </c>
      <c r="G8" s="143" t="s">
        <v>111</v>
      </c>
      <c r="H8" s="261"/>
      <c r="I8" s="262"/>
      <c r="J8" s="261"/>
      <c r="K8" s="274"/>
      <c r="L8" s="143"/>
      <c r="M8" s="261" t="s">
        <v>11</v>
      </c>
      <c r="N8" s="268" t="s">
        <v>36</v>
      </c>
      <c r="O8" s="262" t="s">
        <v>19</v>
      </c>
      <c r="P8" s="278" t="s">
        <v>39</v>
      </c>
      <c r="Q8" s="198">
        <v>44166</v>
      </c>
    </row>
    <row r="9" spans="1:17" s="32" customFormat="1" ht="90" x14ac:dyDescent="0.25">
      <c r="A9" s="61" t="s">
        <v>146</v>
      </c>
      <c r="B9" s="83">
        <f>3974+2674-353</f>
        <v>6295</v>
      </c>
      <c r="C9" s="261" t="s">
        <v>415</v>
      </c>
      <c r="D9" s="262" t="s">
        <v>35</v>
      </c>
      <c r="E9" s="261" t="s">
        <v>10</v>
      </c>
      <c r="F9" s="262" t="s">
        <v>494</v>
      </c>
      <c r="G9" s="143">
        <v>10095</v>
      </c>
      <c r="H9" s="261" t="s">
        <v>511</v>
      </c>
      <c r="I9" s="262" t="s">
        <v>35</v>
      </c>
      <c r="J9" s="261" t="s">
        <v>10</v>
      </c>
      <c r="K9" s="262" t="s">
        <v>621</v>
      </c>
      <c r="L9" s="143">
        <v>3430</v>
      </c>
      <c r="M9" s="262" t="s">
        <v>443</v>
      </c>
      <c r="N9" s="261" t="s">
        <v>111</v>
      </c>
      <c r="O9" s="268" t="s">
        <v>147</v>
      </c>
      <c r="P9" s="269" t="s">
        <v>612</v>
      </c>
      <c r="Q9" s="271">
        <v>44297</v>
      </c>
    </row>
    <row r="10" spans="1:17" ht="90" x14ac:dyDescent="0.25">
      <c r="A10" s="279" t="s">
        <v>148</v>
      </c>
      <c r="B10" s="92">
        <f>1477+1103</f>
        <v>2580</v>
      </c>
      <c r="C10" s="261" t="s">
        <v>415</v>
      </c>
      <c r="D10" s="262" t="s">
        <v>35</v>
      </c>
      <c r="E10" s="261" t="s">
        <v>10</v>
      </c>
      <c r="F10" s="262" t="s">
        <v>494</v>
      </c>
      <c r="G10" s="143">
        <v>780</v>
      </c>
      <c r="H10" s="261" t="s">
        <v>511</v>
      </c>
      <c r="I10" s="262" t="s">
        <v>35</v>
      </c>
      <c r="J10" s="261" t="s">
        <v>10</v>
      </c>
      <c r="K10" s="262" t="s">
        <v>621</v>
      </c>
      <c r="L10" s="143">
        <v>2380</v>
      </c>
      <c r="M10" s="262" t="s">
        <v>443</v>
      </c>
      <c r="N10" s="261" t="s">
        <v>111</v>
      </c>
      <c r="O10" s="268" t="s">
        <v>150</v>
      </c>
      <c r="P10" s="269" t="s">
        <v>613</v>
      </c>
      <c r="Q10" s="271">
        <v>44297</v>
      </c>
    </row>
    <row r="11" spans="1:17" ht="90" x14ac:dyDescent="0.25">
      <c r="A11" s="279" t="s">
        <v>151</v>
      </c>
      <c r="B11" s="92">
        <f>5470-573</f>
        <v>4897</v>
      </c>
      <c r="C11" s="261" t="s">
        <v>415</v>
      </c>
      <c r="D11" s="262" t="s">
        <v>35</v>
      </c>
      <c r="E11" s="261" t="s">
        <v>10</v>
      </c>
      <c r="F11" s="262" t="s">
        <v>494</v>
      </c>
      <c r="G11" s="143">
        <v>2897</v>
      </c>
      <c r="H11" s="261" t="s">
        <v>511</v>
      </c>
      <c r="I11" s="262" t="s">
        <v>35</v>
      </c>
      <c r="J11" s="261" t="s">
        <v>10</v>
      </c>
      <c r="K11" s="262" t="s">
        <v>621</v>
      </c>
      <c r="L11" s="143">
        <v>4525</v>
      </c>
      <c r="M11" s="262" t="s">
        <v>443</v>
      </c>
      <c r="N11" s="261" t="s">
        <v>111</v>
      </c>
      <c r="O11" s="268" t="s">
        <v>149</v>
      </c>
      <c r="P11" s="269" t="s">
        <v>614</v>
      </c>
      <c r="Q11" s="271">
        <v>44297</v>
      </c>
    </row>
    <row r="12" spans="1:17" ht="45" x14ac:dyDescent="0.25">
      <c r="A12" s="279" t="s">
        <v>152</v>
      </c>
      <c r="B12" s="92">
        <v>2180</v>
      </c>
      <c r="C12" s="261" t="s">
        <v>42</v>
      </c>
      <c r="D12" s="262" t="s">
        <v>153</v>
      </c>
      <c r="E12" s="261" t="s">
        <v>111</v>
      </c>
      <c r="F12" s="262" t="s">
        <v>364</v>
      </c>
      <c r="G12" s="143" t="s">
        <v>111</v>
      </c>
      <c r="H12" s="292"/>
      <c r="I12" s="292"/>
      <c r="J12" s="292"/>
      <c r="K12" s="292"/>
      <c r="L12" s="292"/>
      <c r="M12" s="302" t="s">
        <v>443</v>
      </c>
      <c r="N12" s="429" t="s">
        <v>111</v>
      </c>
      <c r="O12" s="342" t="s">
        <v>438</v>
      </c>
      <c r="P12" s="345" t="s">
        <v>615</v>
      </c>
      <c r="Q12" s="316">
        <v>44297</v>
      </c>
    </row>
    <row r="13" spans="1:17" ht="45" x14ac:dyDescent="0.25">
      <c r="A13" s="279" t="s">
        <v>154</v>
      </c>
      <c r="B13" s="92">
        <v>2180</v>
      </c>
      <c r="C13" s="261" t="s">
        <v>42</v>
      </c>
      <c r="D13" s="261" t="s">
        <v>141</v>
      </c>
      <c r="E13" s="261" t="s">
        <v>111</v>
      </c>
      <c r="F13" s="262" t="s">
        <v>364</v>
      </c>
      <c r="G13" s="143" t="s">
        <v>111</v>
      </c>
      <c r="H13" s="294"/>
      <c r="I13" s="294"/>
      <c r="J13" s="294"/>
      <c r="K13" s="294"/>
      <c r="L13" s="294"/>
      <c r="M13" s="304"/>
      <c r="N13" s="430"/>
      <c r="O13" s="344"/>
      <c r="P13" s="347"/>
      <c r="Q13" s="336"/>
    </row>
    <row r="14" spans="1:17" ht="45" x14ac:dyDescent="0.25">
      <c r="A14" s="279" t="s">
        <v>155</v>
      </c>
      <c r="B14" s="92">
        <v>14558</v>
      </c>
      <c r="C14" s="261" t="s">
        <v>42</v>
      </c>
      <c r="D14" s="262" t="s">
        <v>315</v>
      </c>
      <c r="E14" s="261" t="s">
        <v>111</v>
      </c>
      <c r="F14" s="262" t="s">
        <v>357</v>
      </c>
      <c r="G14" s="143" t="s">
        <v>111</v>
      </c>
      <c r="H14" s="261"/>
      <c r="I14" s="262"/>
      <c r="J14" s="261"/>
      <c r="K14" s="262"/>
      <c r="L14" s="143"/>
      <c r="M14" s="261" t="s">
        <v>11</v>
      </c>
      <c r="N14" s="268" t="s">
        <v>316</v>
      </c>
      <c r="O14" s="268" t="s">
        <v>318</v>
      </c>
      <c r="P14" s="269" t="s">
        <v>616</v>
      </c>
      <c r="Q14" s="271">
        <v>44301</v>
      </c>
    </row>
    <row r="15" spans="1:17" ht="30" customHeight="1" x14ac:dyDescent="0.25">
      <c r="A15" s="319" t="s">
        <v>436</v>
      </c>
      <c r="B15" s="322">
        <f>666+455.7+287+144.3+165</f>
        <v>1718</v>
      </c>
      <c r="C15" s="261" t="s">
        <v>26</v>
      </c>
      <c r="D15" s="262" t="s">
        <v>156</v>
      </c>
      <c r="E15" s="261" t="s">
        <v>10</v>
      </c>
      <c r="F15" s="262" t="s">
        <v>357</v>
      </c>
      <c r="G15" s="143">
        <v>31</v>
      </c>
      <c r="H15" s="292"/>
      <c r="I15" s="292"/>
      <c r="J15" s="292"/>
      <c r="K15" s="292"/>
      <c r="L15" s="292"/>
      <c r="M15" s="302" t="s">
        <v>11</v>
      </c>
      <c r="N15" s="353" t="s">
        <v>114</v>
      </c>
      <c r="O15" s="342" t="s">
        <v>475</v>
      </c>
      <c r="P15" s="378" t="s">
        <v>529</v>
      </c>
      <c r="Q15" s="348">
        <v>44255</v>
      </c>
    </row>
    <row r="16" spans="1:17" x14ac:dyDescent="0.25">
      <c r="A16" s="320"/>
      <c r="B16" s="323"/>
      <c r="C16" s="261" t="s">
        <v>26</v>
      </c>
      <c r="D16" s="262" t="s">
        <v>156</v>
      </c>
      <c r="E16" s="261" t="s">
        <v>16</v>
      </c>
      <c r="F16" s="262" t="s">
        <v>111</v>
      </c>
      <c r="G16" s="143">
        <v>35.580812000000002</v>
      </c>
      <c r="H16" s="293"/>
      <c r="I16" s="293"/>
      <c r="J16" s="293"/>
      <c r="K16" s="293"/>
      <c r="L16" s="293"/>
      <c r="M16" s="303"/>
      <c r="N16" s="354"/>
      <c r="O16" s="343"/>
      <c r="P16" s="378"/>
      <c r="Q16" s="348"/>
    </row>
    <row r="17" spans="1:17" s="54" customFormat="1" x14ac:dyDescent="0.25">
      <c r="A17" s="320"/>
      <c r="B17" s="323"/>
      <c r="C17" s="261" t="s">
        <v>8</v>
      </c>
      <c r="D17" s="261" t="s">
        <v>156</v>
      </c>
      <c r="E17" s="261" t="s">
        <v>16</v>
      </c>
      <c r="F17" s="262" t="s">
        <v>111</v>
      </c>
      <c r="G17" s="143">
        <f>0.354884+41.778</f>
        <v>42.132883999999997</v>
      </c>
      <c r="H17" s="293"/>
      <c r="I17" s="293"/>
      <c r="J17" s="293"/>
      <c r="K17" s="293"/>
      <c r="L17" s="293"/>
      <c r="M17" s="303"/>
      <c r="N17" s="354"/>
      <c r="O17" s="343"/>
      <c r="P17" s="378"/>
      <c r="Q17" s="348"/>
    </row>
    <row r="18" spans="1:17" s="54" customFormat="1" ht="30" customHeight="1" x14ac:dyDescent="0.25">
      <c r="A18" s="320"/>
      <c r="B18" s="323"/>
      <c r="C18" s="261" t="s">
        <v>415</v>
      </c>
      <c r="D18" s="262" t="s">
        <v>156</v>
      </c>
      <c r="E18" s="261" t="s">
        <v>10</v>
      </c>
      <c r="F18" s="262" t="s">
        <v>623</v>
      </c>
      <c r="G18" s="143">
        <v>10.5</v>
      </c>
      <c r="H18" s="293"/>
      <c r="I18" s="293"/>
      <c r="J18" s="293"/>
      <c r="K18" s="293"/>
      <c r="L18" s="293"/>
      <c r="M18" s="303"/>
      <c r="N18" s="354"/>
      <c r="O18" s="343"/>
      <c r="P18" s="378"/>
      <c r="Q18" s="348"/>
    </row>
    <row r="19" spans="1:17" s="54" customFormat="1" ht="30" x14ac:dyDescent="0.25">
      <c r="A19" s="320"/>
      <c r="B19" s="323"/>
      <c r="C19" s="261" t="s">
        <v>26</v>
      </c>
      <c r="D19" s="262" t="s">
        <v>156</v>
      </c>
      <c r="E19" s="261" t="s">
        <v>10</v>
      </c>
      <c r="F19" s="262" t="s">
        <v>357</v>
      </c>
      <c r="G19" s="143">
        <v>9</v>
      </c>
      <c r="H19" s="293"/>
      <c r="I19" s="293"/>
      <c r="J19" s="293"/>
      <c r="K19" s="293"/>
      <c r="L19" s="293"/>
      <c r="M19" s="303"/>
      <c r="N19" s="354"/>
      <c r="O19" s="343"/>
      <c r="P19" s="378"/>
      <c r="Q19" s="348"/>
    </row>
    <row r="20" spans="1:17" s="54" customFormat="1" x14ac:dyDescent="0.25">
      <c r="A20" s="320"/>
      <c r="B20" s="323"/>
      <c r="C20" s="261" t="s">
        <v>26</v>
      </c>
      <c r="D20" s="262" t="s">
        <v>156</v>
      </c>
      <c r="E20" s="261" t="s">
        <v>16</v>
      </c>
      <c r="F20" s="262" t="s">
        <v>111</v>
      </c>
      <c r="G20" s="143">
        <v>34.299999999999997</v>
      </c>
      <c r="H20" s="293"/>
      <c r="I20" s="293"/>
      <c r="J20" s="293"/>
      <c r="K20" s="293"/>
      <c r="L20" s="293"/>
      <c r="M20" s="303"/>
      <c r="N20" s="354"/>
      <c r="O20" s="343"/>
      <c r="P20" s="378"/>
      <c r="Q20" s="348"/>
    </row>
    <row r="21" spans="1:17" s="54" customFormat="1" ht="15" customHeight="1" x14ac:dyDescent="0.25">
      <c r="A21" s="320"/>
      <c r="B21" s="323"/>
      <c r="C21" s="261" t="s">
        <v>8</v>
      </c>
      <c r="D21" s="261" t="s">
        <v>156</v>
      </c>
      <c r="E21" s="261" t="s">
        <v>16</v>
      </c>
      <c r="F21" s="262" t="s">
        <v>111</v>
      </c>
      <c r="G21" s="143">
        <v>18</v>
      </c>
      <c r="H21" s="293"/>
      <c r="I21" s="293"/>
      <c r="J21" s="293"/>
      <c r="K21" s="293"/>
      <c r="L21" s="293"/>
      <c r="M21" s="303"/>
      <c r="N21" s="354"/>
      <c r="O21" s="343"/>
      <c r="P21" s="378"/>
      <c r="Q21" s="348"/>
    </row>
    <row r="22" spans="1:17" s="54" customFormat="1" ht="30" x14ac:dyDescent="0.25">
      <c r="A22" s="320"/>
      <c r="B22" s="323"/>
      <c r="C22" s="261" t="s">
        <v>415</v>
      </c>
      <c r="D22" s="261" t="s">
        <v>156</v>
      </c>
      <c r="E22" s="261" t="s">
        <v>10</v>
      </c>
      <c r="F22" s="262" t="s">
        <v>623</v>
      </c>
      <c r="G22" s="143">
        <v>20.3</v>
      </c>
      <c r="H22" s="294"/>
      <c r="I22" s="294"/>
      <c r="J22" s="294"/>
      <c r="K22" s="294"/>
      <c r="L22" s="294"/>
      <c r="M22" s="303"/>
      <c r="N22" s="354"/>
      <c r="O22" s="343"/>
      <c r="P22" s="378"/>
      <c r="Q22" s="348"/>
    </row>
    <row r="23" spans="1:17" ht="30" x14ac:dyDescent="0.25">
      <c r="A23" s="320"/>
      <c r="B23" s="323"/>
      <c r="C23" s="261" t="s">
        <v>26</v>
      </c>
      <c r="D23" s="262" t="s">
        <v>157</v>
      </c>
      <c r="E23" s="261" t="s">
        <v>10</v>
      </c>
      <c r="F23" s="262" t="s">
        <v>357</v>
      </c>
      <c r="G23" s="143">
        <v>2.5</v>
      </c>
      <c r="H23" s="292"/>
      <c r="I23" s="292"/>
      <c r="J23" s="292"/>
      <c r="K23" s="292"/>
      <c r="L23" s="292"/>
      <c r="M23" s="303"/>
      <c r="N23" s="354"/>
      <c r="O23" s="343"/>
      <c r="P23" s="378" t="s">
        <v>537</v>
      </c>
      <c r="Q23" s="348">
        <v>44255</v>
      </c>
    </row>
    <row r="24" spans="1:17" ht="30" customHeight="1" x14ac:dyDescent="0.25">
      <c r="A24" s="320"/>
      <c r="B24" s="323"/>
      <c r="C24" s="261" t="s">
        <v>26</v>
      </c>
      <c r="D24" s="262" t="s">
        <v>157</v>
      </c>
      <c r="E24" s="261" t="s">
        <v>16</v>
      </c>
      <c r="F24" s="262" t="s">
        <v>111</v>
      </c>
      <c r="G24" s="143">
        <v>20</v>
      </c>
      <c r="H24" s="293"/>
      <c r="I24" s="293"/>
      <c r="J24" s="293"/>
      <c r="K24" s="293"/>
      <c r="L24" s="293"/>
      <c r="M24" s="303"/>
      <c r="N24" s="354"/>
      <c r="O24" s="343"/>
      <c r="P24" s="378"/>
      <c r="Q24" s="349"/>
    </row>
    <row r="25" spans="1:17" s="54" customFormat="1" ht="30" x14ac:dyDescent="0.25">
      <c r="A25" s="320"/>
      <c r="B25" s="323"/>
      <c r="C25" s="261" t="s">
        <v>26</v>
      </c>
      <c r="D25" s="262" t="s">
        <v>157</v>
      </c>
      <c r="E25" s="261" t="s">
        <v>10</v>
      </c>
      <c r="F25" s="262" t="s">
        <v>357</v>
      </c>
      <c r="G25" s="143">
        <v>2.5</v>
      </c>
      <c r="H25" s="293"/>
      <c r="I25" s="293"/>
      <c r="J25" s="293"/>
      <c r="K25" s="293"/>
      <c r="L25" s="293"/>
      <c r="M25" s="303"/>
      <c r="N25" s="354"/>
      <c r="O25" s="343"/>
      <c r="P25" s="378"/>
      <c r="Q25" s="349"/>
    </row>
    <row r="26" spans="1:17" s="54" customFormat="1" ht="30" x14ac:dyDescent="0.25">
      <c r="A26" s="320"/>
      <c r="B26" s="323"/>
      <c r="C26" s="261" t="s">
        <v>26</v>
      </c>
      <c r="D26" s="262" t="s">
        <v>157</v>
      </c>
      <c r="E26" s="261" t="s">
        <v>16</v>
      </c>
      <c r="F26" s="262" t="s">
        <v>111</v>
      </c>
      <c r="G26" s="143">
        <v>9.3000000000000007</v>
      </c>
      <c r="H26" s="294"/>
      <c r="I26" s="294"/>
      <c r="J26" s="294"/>
      <c r="K26" s="294"/>
      <c r="L26" s="294"/>
      <c r="M26" s="303"/>
      <c r="N26" s="354"/>
      <c r="O26" s="343"/>
      <c r="P26" s="378"/>
      <c r="Q26" s="349"/>
    </row>
    <row r="27" spans="1:17" ht="15" customHeight="1" x14ac:dyDescent="0.25">
      <c r="A27" s="320"/>
      <c r="B27" s="323"/>
      <c r="C27" s="261" t="s">
        <v>26</v>
      </c>
      <c r="D27" s="262" t="s">
        <v>66</v>
      </c>
      <c r="E27" s="261" t="s">
        <v>16</v>
      </c>
      <c r="F27" s="262" t="s">
        <v>111</v>
      </c>
      <c r="G27" s="143">
        <v>23.826981</v>
      </c>
      <c r="H27" s="292"/>
      <c r="I27" s="292"/>
      <c r="J27" s="292"/>
      <c r="K27" s="292"/>
      <c r="L27" s="292"/>
      <c r="M27" s="303"/>
      <c r="N27" s="354"/>
      <c r="O27" s="343"/>
      <c r="P27" s="378" t="s">
        <v>577</v>
      </c>
      <c r="Q27" s="348">
        <v>44255</v>
      </c>
    </row>
    <row r="28" spans="1:17" s="54" customFormat="1" ht="60" x14ac:dyDescent="0.25">
      <c r="A28" s="320"/>
      <c r="B28" s="323"/>
      <c r="C28" s="261" t="s">
        <v>8</v>
      </c>
      <c r="D28" s="261" t="s">
        <v>66</v>
      </c>
      <c r="E28" s="261" t="s">
        <v>10</v>
      </c>
      <c r="F28" s="262" t="s">
        <v>359</v>
      </c>
      <c r="G28" s="143">
        <v>8</v>
      </c>
      <c r="H28" s="293"/>
      <c r="I28" s="293"/>
      <c r="J28" s="293"/>
      <c r="K28" s="293"/>
      <c r="L28" s="293"/>
      <c r="M28" s="303"/>
      <c r="N28" s="354"/>
      <c r="O28" s="343"/>
      <c r="P28" s="378"/>
      <c r="Q28" s="349"/>
    </row>
    <row r="29" spans="1:17" s="54" customFormat="1" x14ac:dyDescent="0.25">
      <c r="A29" s="320"/>
      <c r="B29" s="323"/>
      <c r="C29" s="261" t="s">
        <v>8</v>
      </c>
      <c r="D29" s="261" t="s">
        <v>66</v>
      </c>
      <c r="E29" s="261" t="s">
        <v>16</v>
      </c>
      <c r="F29" s="262" t="s">
        <v>111</v>
      </c>
      <c r="G29" s="143">
        <v>8.3000000000000007</v>
      </c>
      <c r="H29" s="293"/>
      <c r="I29" s="293"/>
      <c r="J29" s="293"/>
      <c r="K29" s="293"/>
      <c r="L29" s="293"/>
      <c r="M29" s="303"/>
      <c r="N29" s="354"/>
      <c r="O29" s="343"/>
      <c r="P29" s="378"/>
      <c r="Q29" s="349"/>
    </row>
    <row r="30" spans="1:17" s="54" customFormat="1" ht="30" customHeight="1" x14ac:dyDescent="0.25">
      <c r="A30" s="320"/>
      <c r="B30" s="323"/>
      <c r="C30" s="261" t="s">
        <v>415</v>
      </c>
      <c r="D30" s="261" t="s">
        <v>66</v>
      </c>
      <c r="E30" s="261" t="s">
        <v>10</v>
      </c>
      <c r="F30" s="262" t="s">
        <v>623</v>
      </c>
      <c r="G30" s="143">
        <v>8.4600000000000009</v>
      </c>
      <c r="H30" s="293"/>
      <c r="I30" s="293"/>
      <c r="J30" s="293"/>
      <c r="K30" s="293"/>
      <c r="L30" s="293"/>
      <c r="M30" s="303"/>
      <c r="N30" s="354"/>
      <c r="O30" s="343"/>
      <c r="P30" s="378"/>
      <c r="Q30" s="349"/>
    </row>
    <row r="31" spans="1:17" s="54" customFormat="1" ht="60" x14ac:dyDescent="0.25">
      <c r="A31" s="320"/>
      <c r="B31" s="323"/>
      <c r="C31" s="261" t="s">
        <v>415</v>
      </c>
      <c r="D31" s="261" t="s">
        <v>66</v>
      </c>
      <c r="E31" s="261" t="s">
        <v>10</v>
      </c>
      <c r="F31" s="262" t="s">
        <v>359</v>
      </c>
      <c r="G31" s="143">
        <v>-5.3229490000000004</v>
      </c>
      <c r="H31" s="293"/>
      <c r="I31" s="293"/>
      <c r="J31" s="293"/>
      <c r="K31" s="293"/>
      <c r="L31" s="293"/>
      <c r="M31" s="303"/>
      <c r="N31" s="354"/>
      <c r="O31" s="343"/>
      <c r="P31" s="378"/>
      <c r="Q31" s="349"/>
    </row>
    <row r="32" spans="1:17" s="54" customFormat="1" x14ac:dyDescent="0.25">
      <c r="A32" s="320"/>
      <c r="B32" s="323"/>
      <c r="C32" s="261" t="s">
        <v>415</v>
      </c>
      <c r="D32" s="261" t="s">
        <v>66</v>
      </c>
      <c r="E32" s="261" t="s">
        <v>16</v>
      </c>
      <c r="F32" s="262" t="s">
        <v>111</v>
      </c>
      <c r="G32" s="147">
        <v>5.3229490000000004</v>
      </c>
      <c r="H32" s="293"/>
      <c r="I32" s="293"/>
      <c r="J32" s="293"/>
      <c r="K32" s="293"/>
      <c r="L32" s="293"/>
      <c r="M32" s="303"/>
      <c r="N32" s="354"/>
      <c r="O32" s="343"/>
      <c r="P32" s="378"/>
      <c r="Q32" s="349"/>
    </row>
    <row r="33" spans="1:17" s="54" customFormat="1" ht="15" customHeight="1" x14ac:dyDescent="0.25">
      <c r="A33" s="320"/>
      <c r="B33" s="323"/>
      <c r="C33" s="261" t="s">
        <v>26</v>
      </c>
      <c r="D33" s="262" t="s">
        <v>66</v>
      </c>
      <c r="E33" s="261" t="s">
        <v>16</v>
      </c>
      <c r="F33" s="262" t="s">
        <v>111</v>
      </c>
      <c r="G33" s="143">
        <v>25.5</v>
      </c>
      <c r="H33" s="293"/>
      <c r="I33" s="293"/>
      <c r="J33" s="293"/>
      <c r="K33" s="293"/>
      <c r="L33" s="293"/>
      <c r="M33" s="303"/>
      <c r="N33" s="354"/>
      <c r="O33" s="343"/>
      <c r="P33" s="378"/>
      <c r="Q33" s="349"/>
    </row>
    <row r="34" spans="1:17" s="54" customFormat="1" ht="60" x14ac:dyDescent="0.25">
      <c r="A34" s="320"/>
      <c r="B34" s="323"/>
      <c r="C34" s="261" t="s">
        <v>8</v>
      </c>
      <c r="D34" s="262" t="s">
        <v>66</v>
      </c>
      <c r="E34" s="261" t="s">
        <v>10</v>
      </c>
      <c r="F34" s="262" t="s">
        <v>359</v>
      </c>
      <c r="G34" s="143">
        <v>6</v>
      </c>
      <c r="H34" s="293"/>
      <c r="I34" s="293"/>
      <c r="J34" s="293"/>
      <c r="K34" s="293"/>
      <c r="L34" s="293"/>
      <c r="M34" s="303"/>
      <c r="N34" s="354"/>
      <c r="O34" s="343"/>
      <c r="P34" s="378"/>
      <c r="Q34" s="349"/>
    </row>
    <row r="35" spans="1:17" s="54" customFormat="1" x14ac:dyDescent="0.25">
      <c r="A35" s="320"/>
      <c r="B35" s="323"/>
      <c r="C35" s="261" t="s">
        <v>415</v>
      </c>
      <c r="D35" s="262" t="s">
        <v>66</v>
      </c>
      <c r="E35" s="261" t="s">
        <v>16</v>
      </c>
      <c r="F35" s="262" t="s">
        <v>111</v>
      </c>
      <c r="G35" s="143">
        <v>6</v>
      </c>
      <c r="H35" s="293"/>
      <c r="I35" s="293"/>
      <c r="J35" s="293"/>
      <c r="K35" s="293"/>
      <c r="L35" s="293"/>
      <c r="M35" s="303"/>
      <c r="N35" s="354"/>
      <c r="O35" s="343"/>
      <c r="P35" s="378"/>
      <c r="Q35" s="349"/>
    </row>
    <row r="36" spans="1:17" s="54" customFormat="1" ht="60" x14ac:dyDescent="0.25">
      <c r="A36" s="320"/>
      <c r="B36" s="323"/>
      <c r="C36" s="261" t="s">
        <v>415</v>
      </c>
      <c r="D36" s="262" t="s">
        <v>66</v>
      </c>
      <c r="E36" s="261" t="s">
        <v>10</v>
      </c>
      <c r="F36" s="262" t="s">
        <v>359</v>
      </c>
      <c r="G36" s="143">
        <v>-6</v>
      </c>
      <c r="H36" s="293"/>
      <c r="I36" s="293"/>
      <c r="J36" s="293"/>
      <c r="K36" s="293"/>
      <c r="L36" s="293"/>
      <c r="M36" s="303"/>
      <c r="N36" s="354"/>
      <c r="O36" s="343"/>
      <c r="P36" s="378"/>
      <c r="Q36" s="349"/>
    </row>
    <row r="37" spans="1:17" s="54" customFormat="1" ht="30" x14ac:dyDescent="0.25">
      <c r="A37" s="320"/>
      <c r="B37" s="323"/>
      <c r="C37" s="261" t="s">
        <v>415</v>
      </c>
      <c r="D37" s="262" t="s">
        <v>66</v>
      </c>
      <c r="E37" s="261" t="s">
        <v>10</v>
      </c>
      <c r="F37" s="262" t="s">
        <v>623</v>
      </c>
      <c r="G37" s="143">
        <v>17.899999999999999</v>
      </c>
      <c r="H37" s="294"/>
      <c r="I37" s="294"/>
      <c r="J37" s="294"/>
      <c r="K37" s="294"/>
      <c r="L37" s="294"/>
      <c r="M37" s="303"/>
      <c r="N37" s="354"/>
      <c r="O37" s="343"/>
      <c r="P37" s="378"/>
      <c r="Q37" s="349"/>
    </row>
    <row r="38" spans="1:17" ht="30" x14ac:dyDescent="0.25">
      <c r="A38" s="320"/>
      <c r="B38" s="323"/>
      <c r="C38" s="261" t="s">
        <v>26</v>
      </c>
      <c r="D38" s="262" t="s">
        <v>68</v>
      </c>
      <c r="E38" s="261" t="s">
        <v>10</v>
      </c>
      <c r="F38" s="262" t="s">
        <v>357</v>
      </c>
      <c r="G38" s="143">
        <v>202.755</v>
      </c>
      <c r="H38" s="292"/>
      <c r="I38" s="292"/>
      <c r="J38" s="292"/>
      <c r="K38" s="292"/>
      <c r="L38" s="292"/>
      <c r="M38" s="303"/>
      <c r="N38" s="354"/>
      <c r="O38" s="343"/>
      <c r="P38" s="378" t="s">
        <v>588</v>
      </c>
      <c r="Q38" s="348">
        <v>44255</v>
      </c>
    </row>
    <row r="39" spans="1:17" ht="30" customHeight="1" x14ac:dyDescent="0.25">
      <c r="A39" s="320"/>
      <c r="B39" s="323"/>
      <c r="C39" s="261" t="s">
        <v>26</v>
      </c>
      <c r="D39" s="262" t="s">
        <v>68</v>
      </c>
      <c r="E39" s="261" t="s">
        <v>16</v>
      </c>
      <c r="F39" s="262" t="s">
        <v>111</v>
      </c>
      <c r="G39" s="143">
        <v>5.1315189999999999</v>
      </c>
      <c r="H39" s="293"/>
      <c r="I39" s="293"/>
      <c r="J39" s="293"/>
      <c r="K39" s="293"/>
      <c r="L39" s="293"/>
      <c r="M39" s="303"/>
      <c r="N39" s="354"/>
      <c r="O39" s="343"/>
      <c r="P39" s="378"/>
      <c r="Q39" s="349"/>
    </row>
    <row r="40" spans="1:17" s="54" customFormat="1" ht="60" x14ac:dyDescent="0.25">
      <c r="A40" s="320"/>
      <c r="B40" s="323"/>
      <c r="C40" s="261" t="s">
        <v>8</v>
      </c>
      <c r="D40" s="262" t="s">
        <v>68</v>
      </c>
      <c r="E40" s="261" t="s">
        <v>10</v>
      </c>
      <c r="F40" s="262" t="s">
        <v>359</v>
      </c>
      <c r="G40" s="143">
        <v>131.19999999999999</v>
      </c>
      <c r="H40" s="293"/>
      <c r="I40" s="293"/>
      <c r="J40" s="293"/>
      <c r="K40" s="293"/>
      <c r="L40" s="293"/>
      <c r="M40" s="303"/>
      <c r="N40" s="354"/>
      <c r="O40" s="343"/>
      <c r="P40" s="378"/>
      <c r="Q40" s="349"/>
    </row>
    <row r="41" spans="1:17" s="54" customFormat="1" ht="30" x14ac:dyDescent="0.25">
      <c r="A41" s="320"/>
      <c r="B41" s="323"/>
      <c r="C41" s="261" t="s">
        <v>8</v>
      </c>
      <c r="D41" s="262" t="s">
        <v>68</v>
      </c>
      <c r="E41" s="261" t="s">
        <v>16</v>
      </c>
      <c r="F41" s="262" t="s">
        <v>111</v>
      </c>
      <c r="G41" s="143">
        <f>3.594906+61.566</f>
        <v>65.160905999999997</v>
      </c>
      <c r="H41" s="293"/>
      <c r="I41" s="293"/>
      <c r="J41" s="293"/>
      <c r="K41" s="293"/>
      <c r="L41" s="293"/>
      <c r="M41" s="303"/>
      <c r="N41" s="354"/>
      <c r="O41" s="343"/>
      <c r="P41" s="378"/>
      <c r="Q41" s="349"/>
    </row>
    <row r="42" spans="1:17" s="54" customFormat="1" ht="60" x14ac:dyDescent="0.25">
      <c r="A42" s="320"/>
      <c r="B42" s="323"/>
      <c r="C42" s="261" t="s">
        <v>415</v>
      </c>
      <c r="D42" s="262" t="s">
        <v>68</v>
      </c>
      <c r="E42" s="261" t="s">
        <v>10</v>
      </c>
      <c r="F42" s="262" t="s">
        <v>359</v>
      </c>
      <c r="G42" s="143">
        <v>-125</v>
      </c>
      <c r="H42" s="293"/>
      <c r="I42" s="293"/>
      <c r="J42" s="293"/>
      <c r="K42" s="293"/>
      <c r="L42" s="293"/>
      <c r="M42" s="303"/>
      <c r="N42" s="354"/>
      <c r="O42" s="343"/>
      <c r="P42" s="378"/>
      <c r="Q42" s="349"/>
    </row>
    <row r="43" spans="1:17" s="54" customFormat="1" ht="30" x14ac:dyDescent="0.25">
      <c r="A43" s="320"/>
      <c r="B43" s="323"/>
      <c r="C43" s="261" t="s">
        <v>415</v>
      </c>
      <c r="D43" s="262" t="s">
        <v>68</v>
      </c>
      <c r="E43" s="261" t="s">
        <v>16</v>
      </c>
      <c r="F43" s="262" t="s">
        <v>111</v>
      </c>
      <c r="G43" s="143">
        <v>125</v>
      </c>
      <c r="H43" s="293"/>
      <c r="I43" s="293"/>
      <c r="J43" s="293"/>
      <c r="K43" s="293"/>
      <c r="L43" s="293"/>
      <c r="M43" s="303"/>
      <c r="N43" s="354"/>
      <c r="O43" s="343"/>
      <c r="P43" s="378"/>
      <c r="Q43" s="349"/>
    </row>
    <row r="44" spans="1:17" s="54" customFormat="1" ht="30" x14ac:dyDescent="0.25">
      <c r="A44" s="320"/>
      <c r="B44" s="323"/>
      <c r="C44" s="261" t="s">
        <v>415</v>
      </c>
      <c r="D44" s="262" t="s">
        <v>68</v>
      </c>
      <c r="E44" s="261" t="s">
        <v>10</v>
      </c>
      <c r="F44" s="262" t="s">
        <v>623</v>
      </c>
      <c r="G44" s="143">
        <v>85.7</v>
      </c>
      <c r="H44" s="293"/>
      <c r="I44" s="293"/>
      <c r="J44" s="293"/>
      <c r="K44" s="293"/>
      <c r="L44" s="293"/>
      <c r="M44" s="303"/>
      <c r="N44" s="354"/>
      <c r="O44" s="343"/>
      <c r="P44" s="378"/>
      <c r="Q44" s="349"/>
    </row>
    <row r="45" spans="1:17" s="54" customFormat="1" ht="30" customHeight="1" x14ac:dyDescent="0.25">
      <c r="A45" s="320"/>
      <c r="B45" s="323"/>
      <c r="C45" s="261" t="s">
        <v>26</v>
      </c>
      <c r="D45" s="262" t="s">
        <v>68</v>
      </c>
      <c r="E45" s="261" t="s">
        <v>10</v>
      </c>
      <c r="F45" s="262" t="s">
        <v>357</v>
      </c>
      <c r="G45" s="143">
        <v>95.7</v>
      </c>
      <c r="H45" s="293"/>
      <c r="I45" s="293"/>
      <c r="J45" s="293"/>
      <c r="K45" s="293"/>
      <c r="L45" s="293"/>
      <c r="M45" s="303"/>
      <c r="N45" s="354"/>
      <c r="O45" s="343"/>
      <c r="P45" s="378"/>
      <c r="Q45" s="349"/>
    </row>
    <row r="46" spans="1:17" s="54" customFormat="1" ht="60" x14ac:dyDescent="0.25">
      <c r="A46" s="320"/>
      <c r="B46" s="323"/>
      <c r="C46" s="261" t="s">
        <v>8</v>
      </c>
      <c r="D46" s="262" t="s">
        <v>68</v>
      </c>
      <c r="E46" s="261" t="s">
        <v>10</v>
      </c>
      <c r="F46" s="262" t="s">
        <v>359</v>
      </c>
      <c r="G46" s="143">
        <v>67</v>
      </c>
      <c r="H46" s="293"/>
      <c r="I46" s="293"/>
      <c r="J46" s="293"/>
      <c r="K46" s="293"/>
      <c r="L46" s="293"/>
      <c r="M46" s="303"/>
      <c r="N46" s="354"/>
      <c r="O46" s="343"/>
      <c r="P46" s="378"/>
      <c r="Q46" s="349"/>
    </row>
    <row r="47" spans="1:17" s="54" customFormat="1" ht="30" x14ac:dyDescent="0.25">
      <c r="A47" s="320"/>
      <c r="B47" s="323"/>
      <c r="C47" s="261" t="s">
        <v>415</v>
      </c>
      <c r="D47" s="262" t="s">
        <v>68</v>
      </c>
      <c r="E47" s="261" t="s">
        <v>10</v>
      </c>
      <c r="F47" s="262" t="s">
        <v>623</v>
      </c>
      <c r="G47" s="260">
        <v>63.8</v>
      </c>
      <c r="H47" s="294"/>
      <c r="I47" s="294"/>
      <c r="J47" s="294"/>
      <c r="K47" s="294"/>
      <c r="L47" s="294"/>
      <c r="M47" s="303"/>
      <c r="N47" s="354"/>
      <c r="O47" s="343"/>
      <c r="P47" s="378"/>
      <c r="Q47" s="349"/>
    </row>
    <row r="48" spans="1:17" ht="30" customHeight="1" x14ac:dyDescent="0.25">
      <c r="A48" s="320"/>
      <c r="B48" s="323"/>
      <c r="C48" s="261" t="s">
        <v>26</v>
      </c>
      <c r="D48" s="262" t="s">
        <v>158</v>
      </c>
      <c r="E48" s="261" t="s">
        <v>10</v>
      </c>
      <c r="F48" s="262" t="s">
        <v>357</v>
      </c>
      <c r="G48" s="143">
        <v>25</v>
      </c>
      <c r="H48" s="292"/>
      <c r="I48" s="292"/>
      <c r="J48" s="292"/>
      <c r="K48" s="292"/>
      <c r="L48" s="292"/>
      <c r="M48" s="303"/>
      <c r="N48" s="354"/>
      <c r="O48" s="343"/>
      <c r="P48" s="378" t="s">
        <v>590</v>
      </c>
      <c r="Q48" s="348">
        <v>44255</v>
      </c>
    </row>
    <row r="49" spans="1:17" ht="30" x14ac:dyDescent="0.25">
      <c r="A49" s="320"/>
      <c r="B49" s="323"/>
      <c r="C49" s="261" t="s">
        <v>26</v>
      </c>
      <c r="D49" s="262" t="s">
        <v>158</v>
      </c>
      <c r="E49" s="261" t="s">
        <v>16</v>
      </c>
      <c r="F49" s="262" t="s">
        <v>111</v>
      </c>
      <c r="G49" s="143">
        <v>114.82145800000001</v>
      </c>
      <c r="H49" s="293"/>
      <c r="I49" s="293"/>
      <c r="J49" s="293"/>
      <c r="K49" s="293"/>
      <c r="L49" s="293"/>
      <c r="M49" s="303"/>
      <c r="N49" s="354"/>
      <c r="O49" s="343"/>
      <c r="P49" s="378"/>
      <c r="Q49" s="349"/>
    </row>
    <row r="50" spans="1:17" ht="30" x14ac:dyDescent="0.25">
      <c r="A50" s="320"/>
      <c r="B50" s="323"/>
      <c r="C50" s="261" t="s">
        <v>8</v>
      </c>
      <c r="D50" s="262" t="s">
        <v>158</v>
      </c>
      <c r="E50" s="261" t="s">
        <v>16</v>
      </c>
      <c r="F50" s="262" t="s">
        <v>111</v>
      </c>
      <c r="G50" s="143">
        <v>46.5</v>
      </c>
      <c r="H50" s="293"/>
      <c r="I50" s="293"/>
      <c r="J50" s="293"/>
      <c r="K50" s="293"/>
      <c r="L50" s="293"/>
      <c r="M50" s="303"/>
      <c r="N50" s="354"/>
      <c r="O50" s="343"/>
      <c r="P50" s="378"/>
      <c r="Q50" s="349"/>
    </row>
    <row r="51" spans="1:17" ht="30" customHeight="1" x14ac:dyDescent="0.25">
      <c r="A51" s="320"/>
      <c r="B51" s="323"/>
      <c r="C51" s="261" t="s">
        <v>26</v>
      </c>
      <c r="D51" s="262" t="s">
        <v>158</v>
      </c>
      <c r="E51" s="261" t="s">
        <v>10</v>
      </c>
      <c r="F51" s="262" t="s">
        <v>357</v>
      </c>
      <c r="G51" s="143">
        <v>53</v>
      </c>
      <c r="H51" s="293"/>
      <c r="I51" s="293"/>
      <c r="J51" s="293"/>
      <c r="K51" s="293"/>
      <c r="L51" s="293"/>
      <c r="M51" s="303"/>
      <c r="N51" s="354"/>
      <c r="O51" s="343"/>
      <c r="P51" s="378"/>
      <c r="Q51" s="349"/>
    </row>
    <row r="52" spans="1:17" ht="30" x14ac:dyDescent="0.25">
      <c r="A52" s="320"/>
      <c r="B52" s="323"/>
      <c r="C52" s="261" t="s">
        <v>26</v>
      </c>
      <c r="D52" s="262" t="s">
        <v>158</v>
      </c>
      <c r="E52" s="261" t="s">
        <v>16</v>
      </c>
      <c r="F52" s="262" t="s">
        <v>111</v>
      </c>
      <c r="G52" s="143">
        <v>18.3</v>
      </c>
      <c r="H52" s="293"/>
      <c r="I52" s="293"/>
      <c r="J52" s="293"/>
      <c r="K52" s="293"/>
      <c r="L52" s="293"/>
      <c r="M52" s="303"/>
      <c r="N52" s="354"/>
      <c r="O52" s="343"/>
      <c r="P52" s="378"/>
      <c r="Q52" s="349"/>
    </row>
    <row r="53" spans="1:17" ht="60" x14ac:dyDescent="0.25">
      <c r="A53" s="320"/>
      <c r="B53" s="323"/>
      <c r="C53" s="261" t="s">
        <v>8</v>
      </c>
      <c r="D53" s="262" t="s">
        <v>158</v>
      </c>
      <c r="E53" s="261" t="s">
        <v>10</v>
      </c>
      <c r="F53" s="262" t="s">
        <v>359</v>
      </c>
      <c r="G53" s="143">
        <v>12</v>
      </c>
      <c r="H53" s="293"/>
      <c r="I53" s="293"/>
      <c r="J53" s="293"/>
      <c r="K53" s="293"/>
      <c r="L53" s="293"/>
      <c r="M53" s="303"/>
      <c r="N53" s="354"/>
      <c r="O53" s="343"/>
      <c r="P53" s="378"/>
      <c r="Q53" s="349"/>
    </row>
    <row r="54" spans="1:17" ht="30" customHeight="1" x14ac:dyDescent="0.25">
      <c r="A54" s="320"/>
      <c r="B54" s="323"/>
      <c r="C54" s="261" t="s">
        <v>8</v>
      </c>
      <c r="D54" s="262" t="s">
        <v>158</v>
      </c>
      <c r="E54" s="261" t="s">
        <v>16</v>
      </c>
      <c r="F54" s="262" t="s">
        <v>111</v>
      </c>
      <c r="G54" s="143">
        <v>11.3</v>
      </c>
      <c r="H54" s="294"/>
      <c r="I54" s="294"/>
      <c r="J54" s="294"/>
      <c r="K54" s="294"/>
      <c r="L54" s="294"/>
      <c r="M54" s="303"/>
      <c r="N54" s="354"/>
      <c r="O54" s="343"/>
      <c r="P54" s="378"/>
      <c r="Q54" s="349"/>
    </row>
    <row r="55" spans="1:17" ht="30" x14ac:dyDescent="0.25">
      <c r="A55" s="320"/>
      <c r="B55" s="323"/>
      <c r="C55" s="261" t="s">
        <v>26</v>
      </c>
      <c r="D55" s="262" t="s">
        <v>159</v>
      </c>
      <c r="E55" s="261" t="s">
        <v>10</v>
      </c>
      <c r="F55" s="262" t="s">
        <v>357</v>
      </c>
      <c r="G55" s="143">
        <v>109.37899899999999</v>
      </c>
      <c r="H55" s="292"/>
      <c r="I55" s="292"/>
      <c r="J55" s="292"/>
      <c r="K55" s="292"/>
      <c r="L55" s="292"/>
      <c r="M55" s="303"/>
      <c r="N55" s="354"/>
      <c r="O55" s="343"/>
      <c r="P55" s="378" t="s">
        <v>591</v>
      </c>
      <c r="Q55" s="348">
        <v>44255</v>
      </c>
    </row>
    <row r="56" spans="1:17" ht="30" x14ac:dyDescent="0.25">
      <c r="A56" s="320"/>
      <c r="B56" s="323"/>
      <c r="C56" s="261" t="s">
        <v>26</v>
      </c>
      <c r="D56" s="262" t="s">
        <v>159</v>
      </c>
      <c r="E56" s="261" t="s">
        <v>16</v>
      </c>
      <c r="F56" s="262" t="s">
        <v>111</v>
      </c>
      <c r="G56" s="143">
        <v>103.03525</v>
      </c>
      <c r="H56" s="293"/>
      <c r="I56" s="293"/>
      <c r="J56" s="293"/>
      <c r="K56" s="293"/>
      <c r="L56" s="293"/>
      <c r="M56" s="303"/>
      <c r="N56" s="354"/>
      <c r="O56" s="343"/>
      <c r="P56" s="378"/>
      <c r="Q56" s="349"/>
    </row>
    <row r="57" spans="1:17" ht="60" x14ac:dyDescent="0.25">
      <c r="A57" s="320"/>
      <c r="B57" s="323"/>
      <c r="C57" s="261" t="s">
        <v>8</v>
      </c>
      <c r="D57" s="262" t="s">
        <v>159</v>
      </c>
      <c r="E57" s="261" t="s">
        <v>10</v>
      </c>
      <c r="F57" s="262" t="s">
        <v>359</v>
      </c>
      <c r="G57" s="143">
        <v>88.2</v>
      </c>
      <c r="H57" s="293"/>
      <c r="I57" s="293"/>
      <c r="J57" s="293"/>
      <c r="K57" s="293"/>
      <c r="L57" s="293"/>
      <c r="M57" s="303"/>
      <c r="N57" s="354"/>
      <c r="O57" s="343"/>
      <c r="P57" s="378"/>
      <c r="Q57" s="349"/>
    </row>
    <row r="58" spans="1:17" s="54" customFormat="1" ht="30" x14ac:dyDescent="0.25">
      <c r="A58" s="320"/>
      <c r="B58" s="323"/>
      <c r="C58" s="261" t="s">
        <v>8</v>
      </c>
      <c r="D58" s="262" t="s">
        <v>159</v>
      </c>
      <c r="E58" s="261" t="s">
        <v>16</v>
      </c>
      <c r="F58" s="262" t="s">
        <v>111</v>
      </c>
      <c r="G58" s="143">
        <f>1.943603+63.631</f>
        <v>65.574602999999996</v>
      </c>
      <c r="H58" s="293"/>
      <c r="I58" s="293"/>
      <c r="J58" s="293"/>
      <c r="K58" s="293"/>
      <c r="L58" s="293"/>
      <c r="M58" s="303"/>
      <c r="N58" s="354"/>
      <c r="O58" s="343"/>
      <c r="P58" s="378"/>
      <c r="Q58" s="349"/>
    </row>
    <row r="59" spans="1:17" s="54" customFormat="1" ht="60" x14ac:dyDescent="0.25">
      <c r="A59" s="320"/>
      <c r="B59" s="323"/>
      <c r="C59" s="69" t="s">
        <v>415</v>
      </c>
      <c r="D59" s="262" t="s">
        <v>159</v>
      </c>
      <c r="E59" s="261" t="s">
        <v>10</v>
      </c>
      <c r="F59" s="262" t="s">
        <v>359</v>
      </c>
      <c r="G59" s="143">
        <v>-13.706882999999999</v>
      </c>
      <c r="H59" s="293"/>
      <c r="I59" s="293"/>
      <c r="J59" s="293"/>
      <c r="K59" s="293"/>
      <c r="L59" s="293"/>
      <c r="M59" s="303"/>
      <c r="N59" s="354"/>
      <c r="O59" s="343"/>
      <c r="P59" s="378"/>
      <c r="Q59" s="349"/>
    </row>
    <row r="60" spans="1:17" s="54" customFormat="1" ht="30" customHeight="1" x14ac:dyDescent="0.25">
      <c r="A60" s="320"/>
      <c r="B60" s="323"/>
      <c r="C60" s="69" t="s">
        <v>415</v>
      </c>
      <c r="D60" s="262" t="s">
        <v>159</v>
      </c>
      <c r="E60" s="69" t="s">
        <v>16</v>
      </c>
      <c r="F60" s="69" t="s">
        <v>111</v>
      </c>
      <c r="G60" s="147">
        <v>13.706882999999999</v>
      </c>
      <c r="H60" s="293"/>
      <c r="I60" s="293"/>
      <c r="J60" s="293"/>
      <c r="K60" s="293"/>
      <c r="L60" s="293"/>
      <c r="M60" s="303"/>
      <c r="N60" s="354"/>
      <c r="O60" s="343"/>
      <c r="P60" s="378"/>
      <c r="Q60" s="349"/>
    </row>
    <row r="61" spans="1:17" ht="30" x14ac:dyDescent="0.25">
      <c r="A61" s="320"/>
      <c r="B61" s="323"/>
      <c r="C61" s="261" t="s">
        <v>26</v>
      </c>
      <c r="D61" s="262" t="s">
        <v>159</v>
      </c>
      <c r="E61" s="261" t="s">
        <v>10</v>
      </c>
      <c r="F61" s="262" t="s">
        <v>357</v>
      </c>
      <c r="G61" s="143">
        <v>39.4</v>
      </c>
      <c r="H61" s="293"/>
      <c r="I61" s="293"/>
      <c r="J61" s="293"/>
      <c r="K61" s="293"/>
      <c r="L61" s="293"/>
      <c r="M61" s="303"/>
      <c r="N61" s="354"/>
      <c r="O61" s="343"/>
      <c r="P61" s="378"/>
      <c r="Q61" s="349"/>
    </row>
    <row r="62" spans="1:17" ht="60" x14ac:dyDescent="0.25">
      <c r="A62" s="320"/>
      <c r="B62" s="323"/>
      <c r="C62" s="261" t="s">
        <v>8</v>
      </c>
      <c r="D62" s="262" t="s">
        <v>159</v>
      </c>
      <c r="E62" s="261" t="s">
        <v>10</v>
      </c>
      <c r="F62" s="262" t="s">
        <v>359</v>
      </c>
      <c r="G62" s="143">
        <v>15</v>
      </c>
      <c r="H62" s="293"/>
      <c r="I62" s="293"/>
      <c r="J62" s="293"/>
      <c r="K62" s="293"/>
      <c r="L62" s="293"/>
      <c r="M62" s="303"/>
      <c r="N62" s="354"/>
      <c r="O62" s="343"/>
      <c r="P62" s="378"/>
      <c r="Q62" s="349"/>
    </row>
    <row r="63" spans="1:17" ht="30" customHeight="1" x14ac:dyDescent="0.25">
      <c r="A63" s="320"/>
      <c r="B63" s="323"/>
      <c r="C63" s="261" t="s">
        <v>8</v>
      </c>
      <c r="D63" s="262" t="s">
        <v>159</v>
      </c>
      <c r="E63" s="261" t="s">
        <v>16</v>
      </c>
      <c r="F63" s="262" t="s">
        <v>111</v>
      </c>
      <c r="G63" s="143">
        <v>15</v>
      </c>
      <c r="H63" s="293"/>
      <c r="I63" s="293"/>
      <c r="J63" s="293"/>
      <c r="K63" s="293"/>
      <c r="L63" s="293"/>
      <c r="M63" s="303"/>
      <c r="N63" s="354"/>
      <c r="O63" s="343"/>
      <c r="P63" s="378"/>
      <c r="Q63" s="349"/>
    </row>
    <row r="64" spans="1:17" s="54" customFormat="1" ht="30" x14ac:dyDescent="0.25">
      <c r="A64" s="320"/>
      <c r="B64" s="323"/>
      <c r="C64" s="261" t="s">
        <v>415</v>
      </c>
      <c r="D64" s="262" t="s">
        <v>159</v>
      </c>
      <c r="E64" s="261" t="s">
        <v>16</v>
      </c>
      <c r="F64" s="262" t="s">
        <v>111</v>
      </c>
      <c r="G64" s="143">
        <v>0.75226300000000001</v>
      </c>
      <c r="H64" s="293"/>
      <c r="I64" s="293"/>
      <c r="J64" s="293"/>
      <c r="K64" s="293"/>
      <c r="L64" s="293"/>
      <c r="M64" s="303"/>
      <c r="N64" s="354"/>
      <c r="O64" s="343"/>
      <c r="P64" s="378"/>
      <c r="Q64" s="349"/>
    </row>
    <row r="65" spans="1:17" s="54" customFormat="1" ht="60" x14ac:dyDescent="0.25">
      <c r="A65" s="320"/>
      <c r="B65" s="323"/>
      <c r="C65" s="261" t="s">
        <v>415</v>
      </c>
      <c r="D65" s="262" t="s">
        <v>159</v>
      </c>
      <c r="E65" s="261" t="s">
        <v>10</v>
      </c>
      <c r="F65" s="262" t="s">
        <v>359</v>
      </c>
      <c r="G65" s="143">
        <v>-0.75226300000000001</v>
      </c>
      <c r="H65" s="294"/>
      <c r="I65" s="294"/>
      <c r="J65" s="294"/>
      <c r="K65" s="294"/>
      <c r="L65" s="294"/>
      <c r="M65" s="303"/>
      <c r="N65" s="354"/>
      <c r="O65" s="344"/>
      <c r="P65" s="378"/>
      <c r="Q65" s="349"/>
    </row>
    <row r="66" spans="1:17" ht="35.25" customHeight="1" x14ac:dyDescent="0.25">
      <c r="A66" s="279" t="s">
        <v>161</v>
      </c>
      <c r="B66" s="81">
        <v>3</v>
      </c>
      <c r="C66" s="261" t="s">
        <v>415</v>
      </c>
      <c r="D66" s="262" t="s">
        <v>157</v>
      </c>
      <c r="E66" s="261" t="s">
        <v>16</v>
      </c>
      <c r="F66" s="69" t="s">
        <v>111</v>
      </c>
      <c r="G66" s="260">
        <v>3</v>
      </c>
      <c r="H66" s="261"/>
      <c r="I66" s="262"/>
      <c r="J66" s="261"/>
      <c r="K66" s="69"/>
      <c r="L66" s="260"/>
      <c r="M66" s="261" t="s">
        <v>11</v>
      </c>
      <c r="N66" s="268" t="s">
        <v>160</v>
      </c>
      <c r="O66" s="261" t="s">
        <v>13</v>
      </c>
      <c r="P66" s="278"/>
      <c r="Q66" s="272"/>
    </row>
    <row r="67" spans="1:17" x14ac:dyDescent="0.25">
      <c r="A67" s="319" t="s">
        <v>122</v>
      </c>
      <c r="B67" s="299">
        <v>0</v>
      </c>
      <c r="C67" s="311" t="s">
        <v>42</v>
      </c>
      <c r="D67" s="261" t="s">
        <v>197</v>
      </c>
      <c r="E67" s="261" t="s">
        <v>111</v>
      </c>
      <c r="F67" s="262" t="s">
        <v>111</v>
      </c>
      <c r="G67" s="143" t="s">
        <v>111</v>
      </c>
      <c r="H67" s="288"/>
      <c r="I67" s="261"/>
      <c r="J67" s="261"/>
      <c r="K67" s="262"/>
      <c r="L67" s="143"/>
      <c r="M67" s="261" t="s">
        <v>377</v>
      </c>
      <c r="N67" s="261"/>
      <c r="O67" s="261"/>
      <c r="P67" s="278"/>
      <c r="Q67" s="272"/>
    </row>
    <row r="68" spans="1:17" s="54" customFormat="1" x14ac:dyDescent="0.25">
      <c r="A68" s="321"/>
      <c r="B68" s="301"/>
      <c r="C68" s="311"/>
      <c r="D68" s="261" t="s">
        <v>195</v>
      </c>
      <c r="E68" s="261" t="s">
        <v>111</v>
      </c>
      <c r="F68" s="262" t="s">
        <v>111</v>
      </c>
      <c r="G68" s="143" t="s">
        <v>111</v>
      </c>
      <c r="H68" s="288"/>
      <c r="I68" s="261"/>
      <c r="J68" s="261"/>
      <c r="K68" s="262"/>
      <c r="L68" s="143"/>
      <c r="M68" s="261" t="s">
        <v>377</v>
      </c>
      <c r="N68" s="261"/>
      <c r="O68" s="261"/>
      <c r="P68" s="278"/>
      <c r="Q68" s="272"/>
    </row>
    <row r="69" spans="1:17" ht="30" x14ac:dyDescent="0.25">
      <c r="A69" s="319" t="s">
        <v>123</v>
      </c>
      <c r="B69" s="299">
        <f>30+5+50</f>
        <v>85</v>
      </c>
      <c r="C69" s="261" t="s">
        <v>26</v>
      </c>
      <c r="D69" s="262" t="s">
        <v>124</v>
      </c>
      <c r="E69" s="261" t="s">
        <v>16</v>
      </c>
      <c r="F69" s="262" t="s">
        <v>111</v>
      </c>
      <c r="G69" s="143">
        <v>22.2</v>
      </c>
      <c r="H69" s="292"/>
      <c r="I69" s="292"/>
      <c r="J69" s="292"/>
      <c r="K69" s="292"/>
      <c r="L69" s="292"/>
      <c r="M69" s="302" t="s">
        <v>11</v>
      </c>
      <c r="N69" s="353" t="s">
        <v>125</v>
      </c>
      <c r="O69" s="352" t="s">
        <v>475</v>
      </c>
      <c r="P69" s="357" t="s">
        <v>539</v>
      </c>
      <c r="Q69" s="316">
        <v>44255</v>
      </c>
    </row>
    <row r="70" spans="1:17" s="54" customFormat="1" ht="30" x14ac:dyDescent="0.25">
      <c r="A70" s="321"/>
      <c r="B70" s="301"/>
      <c r="C70" s="261" t="s">
        <v>415</v>
      </c>
      <c r="D70" s="262" t="s">
        <v>124</v>
      </c>
      <c r="E70" s="261" t="s">
        <v>16</v>
      </c>
      <c r="F70" s="262" t="s">
        <v>111</v>
      </c>
      <c r="G70" s="143">
        <v>50</v>
      </c>
      <c r="H70" s="294"/>
      <c r="I70" s="294"/>
      <c r="J70" s="294"/>
      <c r="K70" s="294"/>
      <c r="L70" s="294"/>
      <c r="M70" s="304"/>
      <c r="N70" s="355"/>
      <c r="O70" s="352"/>
      <c r="P70" s="359"/>
      <c r="Q70" s="318"/>
    </row>
    <row r="71" spans="1:17" x14ac:dyDescent="0.25">
      <c r="A71" s="279" t="s">
        <v>127</v>
      </c>
      <c r="B71" s="81">
        <v>5</v>
      </c>
      <c r="C71" s="261" t="s">
        <v>415</v>
      </c>
      <c r="D71" s="261" t="s">
        <v>397</v>
      </c>
      <c r="E71" s="261" t="s">
        <v>16</v>
      </c>
      <c r="F71" s="262" t="s">
        <v>111</v>
      </c>
      <c r="G71" s="148">
        <v>4.74</v>
      </c>
      <c r="H71" s="261"/>
      <c r="I71" s="261"/>
      <c r="J71" s="261"/>
      <c r="K71" s="262"/>
      <c r="L71" s="148"/>
      <c r="M71" s="261" t="s">
        <v>377</v>
      </c>
      <c r="N71" s="261"/>
      <c r="O71" s="261"/>
      <c r="P71" s="278"/>
      <c r="Q71" s="272"/>
    </row>
    <row r="72" spans="1:17" ht="30" x14ac:dyDescent="0.25">
      <c r="A72" s="319" t="s">
        <v>128</v>
      </c>
      <c r="B72" s="299">
        <v>50</v>
      </c>
      <c r="C72" s="261" t="s">
        <v>8</v>
      </c>
      <c r="D72" s="262" t="s">
        <v>129</v>
      </c>
      <c r="E72" s="261" t="s">
        <v>10</v>
      </c>
      <c r="F72" s="262" t="s">
        <v>357</v>
      </c>
      <c r="G72" s="143">
        <v>50</v>
      </c>
      <c r="H72" s="292"/>
      <c r="I72" s="292"/>
      <c r="J72" s="292"/>
      <c r="K72" s="408"/>
      <c r="L72" s="292"/>
      <c r="M72" s="302" t="s">
        <v>11</v>
      </c>
      <c r="N72" s="353" t="s">
        <v>130</v>
      </c>
      <c r="O72" s="352" t="s">
        <v>475</v>
      </c>
      <c r="P72" s="357" t="s">
        <v>467</v>
      </c>
      <c r="Q72" s="316">
        <v>44255</v>
      </c>
    </row>
    <row r="73" spans="1:17" s="54" customFormat="1" ht="30" x14ac:dyDescent="0.25">
      <c r="A73" s="320"/>
      <c r="B73" s="300"/>
      <c r="C73" s="261" t="s">
        <v>415</v>
      </c>
      <c r="D73" s="262" t="s">
        <v>129</v>
      </c>
      <c r="E73" s="261" t="s">
        <v>10</v>
      </c>
      <c r="F73" s="262" t="s">
        <v>357</v>
      </c>
      <c r="G73" s="143">
        <v>-49.654000000000003</v>
      </c>
      <c r="H73" s="293"/>
      <c r="I73" s="293"/>
      <c r="J73" s="293"/>
      <c r="K73" s="409"/>
      <c r="L73" s="293"/>
      <c r="M73" s="303"/>
      <c r="N73" s="354"/>
      <c r="O73" s="352"/>
      <c r="P73" s="358"/>
      <c r="Q73" s="335"/>
    </row>
    <row r="74" spans="1:17" s="54" customFormat="1" x14ac:dyDescent="0.25">
      <c r="A74" s="321"/>
      <c r="B74" s="301"/>
      <c r="C74" s="261" t="s">
        <v>415</v>
      </c>
      <c r="D74" s="262" t="s">
        <v>129</v>
      </c>
      <c r="E74" s="261" t="s">
        <v>16</v>
      </c>
      <c r="F74" s="262" t="s">
        <v>111</v>
      </c>
      <c r="G74" s="143">
        <v>49.654000000000003</v>
      </c>
      <c r="H74" s="294"/>
      <c r="I74" s="294"/>
      <c r="J74" s="294"/>
      <c r="K74" s="410"/>
      <c r="L74" s="294"/>
      <c r="M74" s="304"/>
      <c r="N74" s="355"/>
      <c r="O74" s="352"/>
      <c r="P74" s="359"/>
      <c r="Q74" s="336"/>
    </row>
    <row r="75" spans="1:17" x14ac:dyDescent="0.25">
      <c r="A75" s="319" t="s">
        <v>131</v>
      </c>
      <c r="B75" s="299">
        <v>50</v>
      </c>
      <c r="C75" s="302" t="s">
        <v>415</v>
      </c>
      <c r="D75" s="302" t="s">
        <v>156</v>
      </c>
      <c r="E75" s="302" t="s">
        <v>16</v>
      </c>
      <c r="F75" s="299" t="s">
        <v>111</v>
      </c>
      <c r="G75" s="434">
        <v>10</v>
      </c>
      <c r="H75" s="261" t="s">
        <v>511</v>
      </c>
      <c r="I75" s="261" t="s">
        <v>156</v>
      </c>
      <c r="J75" s="261" t="s">
        <v>16</v>
      </c>
      <c r="K75" s="262" t="s">
        <v>111</v>
      </c>
      <c r="L75" s="148">
        <v>30.888862</v>
      </c>
      <c r="M75" s="302" t="s">
        <v>11</v>
      </c>
      <c r="N75" s="353" t="s">
        <v>160</v>
      </c>
      <c r="O75" s="302" t="s">
        <v>13</v>
      </c>
      <c r="P75" s="302"/>
      <c r="Q75" s="375"/>
    </row>
    <row r="76" spans="1:17" s="54" customFormat="1" x14ac:dyDescent="0.25">
      <c r="A76" s="320"/>
      <c r="B76" s="300"/>
      <c r="C76" s="304"/>
      <c r="D76" s="304"/>
      <c r="E76" s="304"/>
      <c r="F76" s="301"/>
      <c r="G76" s="435"/>
      <c r="H76" s="261" t="s">
        <v>511</v>
      </c>
      <c r="I76" s="261" t="s">
        <v>156</v>
      </c>
      <c r="J76" s="261" t="s">
        <v>10</v>
      </c>
      <c r="K76" s="262"/>
      <c r="L76" s="236">
        <v>0.19092600000000001</v>
      </c>
      <c r="M76" s="303"/>
      <c r="N76" s="354"/>
      <c r="O76" s="303"/>
      <c r="P76" s="303"/>
      <c r="Q76" s="317"/>
    </row>
    <row r="77" spans="1:17" s="54" customFormat="1" ht="30" x14ac:dyDescent="0.25">
      <c r="A77" s="320"/>
      <c r="B77" s="300"/>
      <c r="C77" s="302" t="s">
        <v>415</v>
      </c>
      <c r="D77" s="299" t="s">
        <v>157</v>
      </c>
      <c r="E77" s="302" t="s">
        <v>16</v>
      </c>
      <c r="F77" s="299" t="s">
        <v>111</v>
      </c>
      <c r="G77" s="292">
        <v>0.625</v>
      </c>
      <c r="H77" s="261" t="s">
        <v>511</v>
      </c>
      <c r="I77" s="262" t="s">
        <v>157</v>
      </c>
      <c r="J77" s="261" t="s">
        <v>16</v>
      </c>
      <c r="K77" s="262" t="s">
        <v>111</v>
      </c>
      <c r="L77" s="148">
        <v>1.9279999999999999</v>
      </c>
      <c r="M77" s="303"/>
      <c r="N77" s="354"/>
      <c r="O77" s="303"/>
      <c r="P77" s="303"/>
      <c r="Q77" s="317"/>
    </row>
    <row r="78" spans="1:17" s="54" customFormat="1" ht="30" x14ac:dyDescent="0.25">
      <c r="A78" s="320"/>
      <c r="B78" s="300"/>
      <c r="C78" s="304"/>
      <c r="D78" s="301"/>
      <c r="E78" s="304"/>
      <c r="F78" s="301"/>
      <c r="G78" s="294"/>
      <c r="H78" s="261" t="s">
        <v>511</v>
      </c>
      <c r="I78" s="262" t="s">
        <v>157</v>
      </c>
      <c r="J78" s="261" t="s">
        <v>10</v>
      </c>
      <c r="K78" s="262"/>
      <c r="L78" s="237">
        <v>1.35E-2</v>
      </c>
      <c r="M78" s="303"/>
      <c r="N78" s="354"/>
      <c r="O78" s="303"/>
      <c r="P78" s="303"/>
      <c r="Q78" s="317"/>
    </row>
    <row r="79" spans="1:17" s="54" customFormat="1" x14ac:dyDescent="0.25">
      <c r="A79" s="320"/>
      <c r="B79" s="300"/>
      <c r="C79" s="302" t="s">
        <v>415</v>
      </c>
      <c r="D79" s="302" t="s">
        <v>66</v>
      </c>
      <c r="E79" s="302" t="s">
        <v>16</v>
      </c>
      <c r="F79" s="299" t="s">
        <v>111</v>
      </c>
      <c r="G79" s="292">
        <v>5.875</v>
      </c>
      <c r="H79" s="261" t="s">
        <v>511</v>
      </c>
      <c r="I79" s="261" t="s">
        <v>66</v>
      </c>
      <c r="J79" s="261" t="s">
        <v>16</v>
      </c>
      <c r="K79" s="262" t="s">
        <v>111</v>
      </c>
      <c r="L79" s="148">
        <v>18.128205000000001</v>
      </c>
      <c r="M79" s="303"/>
      <c r="N79" s="354"/>
      <c r="O79" s="303"/>
      <c r="P79" s="303"/>
      <c r="Q79" s="317"/>
    </row>
    <row r="80" spans="1:17" s="54" customFormat="1" x14ac:dyDescent="0.25">
      <c r="A80" s="320"/>
      <c r="B80" s="300"/>
      <c r="C80" s="304"/>
      <c r="D80" s="304"/>
      <c r="E80" s="304"/>
      <c r="F80" s="301"/>
      <c r="G80" s="294"/>
      <c r="H80" s="261" t="s">
        <v>511</v>
      </c>
      <c r="I80" s="261" t="s">
        <v>66</v>
      </c>
      <c r="J80" s="261" t="s">
        <v>10</v>
      </c>
      <c r="K80" s="262"/>
      <c r="L80" s="236">
        <v>0.12382899999999999</v>
      </c>
      <c r="M80" s="303"/>
      <c r="N80" s="354"/>
      <c r="O80" s="303"/>
      <c r="P80" s="303"/>
      <c r="Q80" s="317"/>
    </row>
    <row r="81" spans="1:17" s="54" customFormat="1" ht="30" x14ac:dyDescent="0.25">
      <c r="A81" s="320"/>
      <c r="B81" s="300"/>
      <c r="C81" s="302" t="s">
        <v>415</v>
      </c>
      <c r="D81" s="299" t="s">
        <v>68</v>
      </c>
      <c r="E81" s="302" t="s">
        <v>16</v>
      </c>
      <c r="F81" s="299" t="s">
        <v>111</v>
      </c>
      <c r="G81" s="292">
        <v>13.25</v>
      </c>
      <c r="H81" s="261" t="s">
        <v>511</v>
      </c>
      <c r="I81" s="262" t="s">
        <v>68</v>
      </c>
      <c r="J81" s="261" t="s">
        <v>16</v>
      </c>
      <c r="K81" s="262" t="s">
        <v>111</v>
      </c>
      <c r="L81" s="148">
        <v>40.9</v>
      </c>
      <c r="M81" s="303"/>
      <c r="N81" s="354"/>
      <c r="O81" s="303"/>
      <c r="P81" s="303"/>
      <c r="Q81" s="317"/>
    </row>
    <row r="82" spans="1:17" s="54" customFormat="1" ht="30" x14ac:dyDescent="0.25">
      <c r="A82" s="320"/>
      <c r="B82" s="300"/>
      <c r="C82" s="304"/>
      <c r="D82" s="301"/>
      <c r="E82" s="304"/>
      <c r="F82" s="301"/>
      <c r="G82" s="294"/>
      <c r="H82" s="261" t="s">
        <v>511</v>
      </c>
      <c r="I82" s="262" t="s">
        <v>68</v>
      </c>
      <c r="J82" s="261" t="s">
        <v>10</v>
      </c>
      <c r="K82" s="262"/>
      <c r="L82" s="236">
        <v>0.27</v>
      </c>
      <c r="M82" s="303"/>
      <c r="N82" s="354"/>
      <c r="O82" s="303"/>
      <c r="P82" s="303"/>
      <c r="Q82" s="317"/>
    </row>
    <row r="83" spans="1:17" s="54" customFormat="1" ht="30" x14ac:dyDescent="0.25">
      <c r="A83" s="320"/>
      <c r="B83" s="300"/>
      <c r="C83" s="302" t="s">
        <v>415</v>
      </c>
      <c r="D83" s="299" t="s">
        <v>158</v>
      </c>
      <c r="E83" s="302" t="s">
        <v>16</v>
      </c>
      <c r="F83" s="299" t="s">
        <v>111</v>
      </c>
      <c r="G83" s="292">
        <v>14.375</v>
      </c>
      <c r="H83" s="261" t="s">
        <v>511</v>
      </c>
      <c r="I83" s="262" t="s">
        <v>158</v>
      </c>
      <c r="J83" s="261" t="s">
        <v>16</v>
      </c>
      <c r="K83" s="262" t="s">
        <v>111</v>
      </c>
      <c r="L83" s="149">
        <v>44.354999999999997</v>
      </c>
      <c r="M83" s="303"/>
      <c r="N83" s="354"/>
      <c r="O83" s="303"/>
      <c r="P83" s="303"/>
      <c r="Q83" s="317"/>
    </row>
    <row r="84" spans="1:17" s="54" customFormat="1" ht="30" x14ac:dyDescent="0.25">
      <c r="A84" s="320"/>
      <c r="B84" s="300"/>
      <c r="C84" s="304"/>
      <c r="D84" s="301"/>
      <c r="E84" s="304"/>
      <c r="F84" s="301"/>
      <c r="G84" s="294"/>
      <c r="H84" s="261" t="s">
        <v>511</v>
      </c>
      <c r="I84" s="262" t="s">
        <v>158</v>
      </c>
      <c r="J84" s="261" t="s">
        <v>10</v>
      </c>
      <c r="K84" s="262"/>
      <c r="L84" s="227">
        <v>0.30375000000000002</v>
      </c>
      <c r="M84" s="303"/>
      <c r="N84" s="354"/>
      <c r="O84" s="303"/>
      <c r="P84" s="303"/>
      <c r="Q84" s="317"/>
    </row>
    <row r="85" spans="1:17" s="54" customFormat="1" ht="30" x14ac:dyDescent="0.25">
      <c r="A85" s="320"/>
      <c r="B85" s="300"/>
      <c r="C85" s="302" t="s">
        <v>42</v>
      </c>
      <c r="D85" s="299" t="s">
        <v>159</v>
      </c>
      <c r="E85" s="302" t="s">
        <v>111</v>
      </c>
      <c r="F85" s="299" t="s">
        <v>111</v>
      </c>
      <c r="G85" s="305" t="s">
        <v>111</v>
      </c>
      <c r="H85" s="261" t="s">
        <v>511</v>
      </c>
      <c r="I85" s="262" t="s">
        <v>159</v>
      </c>
      <c r="J85" s="261" t="s">
        <v>16</v>
      </c>
      <c r="K85" s="262" t="s">
        <v>111</v>
      </c>
      <c r="L85" s="149">
        <v>18.132000000000001</v>
      </c>
      <c r="M85" s="303"/>
      <c r="N85" s="354"/>
      <c r="O85" s="303"/>
      <c r="P85" s="303"/>
      <c r="Q85" s="317"/>
    </row>
    <row r="86" spans="1:17" s="54" customFormat="1" ht="14.25" customHeight="1" x14ac:dyDescent="0.25">
      <c r="A86" s="321"/>
      <c r="B86" s="301"/>
      <c r="C86" s="304"/>
      <c r="D86" s="301"/>
      <c r="E86" s="304"/>
      <c r="F86" s="301"/>
      <c r="G86" s="307"/>
      <c r="H86" s="261" t="s">
        <v>511</v>
      </c>
      <c r="I86" s="262" t="s">
        <v>159</v>
      </c>
      <c r="J86" s="261" t="s">
        <v>10</v>
      </c>
      <c r="K86" s="262"/>
      <c r="L86" s="227">
        <v>0.1215</v>
      </c>
      <c r="M86" s="304"/>
      <c r="N86" s="355"/>
      <c r="O86" s="304"/>
      <c r="P86" s="304"/>
      <c r="Q86" s="318"/>
    </row>
    <row r="87" spans="1:17" x14ac:dyDescent="0.25">
      <c r="A87" s="279" t="s">
        <v>132</v>
      </c>
      <c r="B87" s="81">
        <v>0</v>
      </c>
      <c r="C87" s="261" t="s">
        <v>42</v>
      </c>
      <c r="D87" s="261" t="s">
        <v>30</v>
      </c>
      <c r="E87" s="261" t="s">
        <v>111</v>
      </c>
      <c r="F87" s="261" t="s">
        <v>111</v>
      </c>
      <c r="G87" s="143" t="s">
        <v>111</v>
      </c>
      <c r="H87" s="261"/>
      <c r="I87" s="261"/>
      <c r="J87" s="261"/>
      <c r="K87" s="262"/>
      <c r="L87" s="143"/>
      <c r="M87" s="261" t="s">
        <v>377</v>
      </c>
      <c r="N87" s="261"/>
      <c r="O87" s="261"/>
      <c r="P87" s="278"/>
      <c r="Q87" s="272"/>
    </row>
    <row r="88" spans="1:17" x14ac:dyDescent="0.25">
      <c r="A88" s="279" t="s">
        <v>133</v>
      </c>
      <c r="B88" s="81">
        <v>0</v>
      </c>
      <c r="C88" s="261" t="s">
        <v>42</v>
      </c>
      <c r="D88" s="261" t="s">
        <v>30</v>
      </c>
      <c r="E88" s="261" t="s">
        <v>111</v>
      </c>
      <c r="F88" s="261" t="s">
        <v>111</v>
      </c>
      <c r="G88" s="143" t="s">
        <v>111</v>
      </c>
      <c r="H88" s="261"/>
      <c r="I88" s="261"/>
      <c r="J88" s="261"/>
      <c r="K88" s="262"/>
      <c r="L88" s="143"/>
      <c r="M88" s="261" t="s">
        <v>377</v>
      </c>
      <c r="N88" s="261"/>
      <c r="O88" s="261"/>
      <c r="P88" s="278"/>
      <c r="Q88" s="272"/>
    </row>
    <row r="89" spans="1:17" x14ac:dyDescent="0.25">
      <c r="A89" s="279" t="s">
        <v>134</v>
      </c>
      <c r="B89" s="81">
        <v>57</v>
      </c>
      <c r="C89" s="261" t="s">
        <v>42</v>
      </c>
      <c r="D89" s="261" t="s">
        <v>30</v>
      </c>
      <c r="E89" s="261" t="s">
        <v>111</v>
      </c>
      <c r="F89" s="262" t="s">
        <v>372</v>
      </c>
      <c r="G89" s="143" t="s">
        <v>111</v>
      </c>
      <c r="H89" s="261"/>
      <c r="I89" s="261"/>
      <c r="J89" s="261"/>
      <c r="K89" s="262"/>
      <c r="L89" s="143"/>
      <c r="M89" s="261" t="s">
        <v>11</v>
      </c>
      <c r="N89" s="268" t="s">
        <v>31</v>
      </c>
      <c r="O89" s="261" t="s">
        <v>13</v>
      </c>
      <c r="P89" s="278"/>
      <c r="Q89" s="272"/>
    </row>
    <row r="90" spans="1:17" x14ac:dyDescent="0.25">
      <c r="A90" s="279" t="s">
        <v>135</v>
      </c>
      <c r="B90" s="81">
        <v>0</v>
      </c>
      <c r="C90" s="261" t="s">
        <v>42</v>
      </c>
      <c r="D90" s="261" t="s">
        <v>30</v>
      </c>
      <c r="E90" s="261" t="s">
        <v>111</v>
      </c>
      <c r="F90" s="261" t="s">
        <v>111</v>
      </c>
      <c r="G90" s="143" t="s">
        <v>111</v>
      </c>
      <c r="H90" s="261"/>
      <c r="I90" s="261"/>
      <c r="J90" s="261"/>
      <c r="K90" s="262"/>
      <c r="L90" s="143"/>
      <c r="M90" s="261" t="s">
        <v>377</v>
      </c>
      <c r="N90" s="268"/>
      <c r="O90" s="261"/>
      <c r="P90" s="278"/>
      <c r="Q90" s="272"/>
    </row>
    <row r="91" spans="1:17" ht="75" x14ac:dyDescent="0.25">
      <c r="A91" s="279" t="s">
        <v>136</v>
      </c>
      <c r="B91" s="81">
        <v>331</v>
      </c>
      <c r="C91" s="261" t="s">
        <v>42</v>
      </c>
      <c r="D91" s="261" t="s">
        <v>30</v>
      </c>
      <c r="E91" s="262" t="s">
        <v>111</v>
      </c>
      <c r="F91" s="262" t="s">
        <v>372</v>
      </c>
      <c r="G91" s="143" t="s">
        <v>111</v>
      </c>
      <c r="H91" s="261"/>
      <c r="I91" s="261"/>
      <c r="J91" s="262"/>
      <c r="K91" s="262"/>
      <c r="L91" s="143"/>
      <c r="M91" s="261" t="s">
        <v>11</v>
      </c>
      <c r="N91" s="268" t="s">
        <v>137</v>
      </c>
      <c r="O91" s="262" t="s">
        <v>19</v>
      </c>
      <c r="P91" s="269" t="s">
        <v>484</v>
      </c>
      <c r="Q91" s="271">
        <v>44245</v>
      </c>
    </row>
    <row r="92" spans="1:17" s="54" customFormat="1" x14ac:dyDescent="0.25">
      <c r="A92" s="279" t="s">
        <v>439</v>
      </c>
      <c r="B92" s="97">
        <v>0</v>
      </c>
      <c r="C92" s="261" t="s">
        <v>42</v>
      </c>
      <c r="D92" s="261" t="s">
        <v>66</v>
      </c>
      <c r="E92" s="262" t="s">
        <v>111</v>
      </c>
      <c r="F92" s="262" t="s">
        <v>111</v>
      </c>
      <c r="G92" s="143" t="s">
        <v>111</v>
      </c>
      <c r="H92" s="261"/>
      <c r="I92" s="261"/>
      <c r="J92" s="262"/>
      <c r="K92" s="262"/>
      <c r="L92" s="143"/>
      <c r="M92" s="256" t="s">
        <v>11</v>
      </c>
      <c r="N92" s="268" t="s">
        <v>160</v>
      </c>
      <c r="O92" s="253" t="s">
        <v>13</v>
      </c>
      <c r="P92" s="270"/>
      <c r="Q92" s="284"/>
    </row>
    <row r="93" spans="1:17" ht="30" x14ac:dyDescent="0.25">
      <c r="A93" s="382" t="s">
        <v>138</v>
      </c>
      <c r="B93" s="299">
        <f>250+155</f>
        <v>405</v>
      </c>
      <c r="C93" s="261" t="s">
        <v>26</v>
      </c>
      <c r="D93" s="262" t="s">
        <v>70</v>
      </c>
      <c r="E93" s="261" t="s">
        <v>10</v>
      </c>
      <c r="F93" s="262" t="s">
        <v>357</v>
      </c>
      <c r="G93" s="143">
        <v>250</v>
      </c>
      <c r="H93" s="292"/>
      <c r="I93" s="292"/>
      <c r="J93" s="292"/>
      <c r="K93" s="292"/>
      <c r="L93" s="292"/>
      <c r="M93" s="302" t="s">
        <v>11</v>
      </c>
      <c r="N93" s="353" t="s">
        <v>114</v>
      </c>
      <c r="O93" s="342" t="s">
        <v>475</v>
      </c>
      <c r="P93" s="345" t="s">
        <v>601</v>
      </c>
      <c r="Q93" s="316">
        <v>44255</v>
      </c>
    </row>
    <row r="94" spans="1:17" ht="30" x14ac:dyDescent="0.25">
      <c r="A94" s="382"/>
      <c r="B94" s="300"/>
      <c r="C94" s="261" t="s">
        <v>8</v>
      </c>
      <c r="D94" s="262" t="s">
        <v>70</v>
      </c>
      <c r="E94" s="261" t="s">
        <v>10</v>
      </c>
      <c r="F94" s="262" t="s">
        <v>361</v>
      </c>
      <c r="G94" s="143">
        <v>124.16</v>
      </c>
      <c r="H94" s="293"/>
      <c r="I94" s="293"/>
      <c r="J94" s="293"/>
      <c r="K94" s="293"/>
      <c r="L94" s="293"/>
      <c r="M94" s="303"/>
      <c r="N94" s="354"/>
      <c r="O94" s="343"/>
      <c r="P94" s="346"/>
      <c r="Q94" s="335"/>
    </row>
    <row r="95" spans="1:17" s="54" customFormat="1" x14ac:dyDescent="0.25">
      <c r="A95" s="382"/>
      <c r="B95" s="300"/>
      <c r="C95" s="261" t="s">
        <v>8</v>
      </c>
      <c r="D95" s="262" t="s">
        <v>70</v>
      </c>
      <c r="E95" s="261" t="s">
        <v>16</v>
      </c>
      <c r="F95" s="262" t="s">
        <v>111</v>
      </c>
      <c r="G95" s="143">
        <v>31.04</v>
      </c>
      <c r="H95" s="293"/>
      <c r="I95" s="293"/>
      <c r="J95" s="293"/>
      <c r="K95" s="293"/>
      <c r="L95" s="293"/>
      <c r="M95" s="303"/>
      <c r="N95" s="354"/>
      <c r="O95" s="343"/>
      <c r="P95" s="346"/>
      <c r="Q95" s="335"/>
    </row>
    <row r="96" spans="1:17" s="54" customFormat="1" ht="30" x14ac:dyDescent="0.25">
      <c r="A96" s="382"/>
      <c r="B96" s="300"/>
      <c r="C96" s="261" t="s">
        <v>415</v>
      </c>
      <c r="D96" s="262" t="s">
        <v>70</v>
      </c>
      <c r="E96" s="261" t="s">
        <v>10</v>
      </c>
      <c r="F96" s="262" t="s">
        <v>361</v>
      </c>
      <c r="G96" s="143">
        <v>-118.67460699999999</v>
      </c>
      <c r="H96" s="293"/>
      <c r="I96" s="293"/>
      <c r="J96" s="293"/>
      <c r="K96" s="293"/>
      <c r="L96" s="293"/>
      <c r="M96" s="303"/>
      <c r="N96" s="354"/>
      <c r="O96" s="343"/>
      <c r="P96" s="346"/>
      <c r="Q96" s="335"/>
    </row>
    <row r="97" spans="1:17" x14ac:dyDescent="0.25">
      <c r="A97" s="382"/>
      <c r="B97" s="301"/>
      <c r="C97" s="257" t="s">
        <v>415</v>
      </c>
      <c r="D97" s="262" t="s">
        <v>70</v>
      </c>
      <c r="E97" s="257" t="s">
        <v>16</v>
      </c>
      <c r="F97" s="254" t="s">
        <v>111</v>
      </c>
      <c r="G97" s="260">
        <v>118.67460699999999</v>
      </c>
      <c r="H97" s="294"/>
      <c r="I97" s="294"/>
      <c r="J97" s="294"/>
      <c r="K97" s="294"/>
      <c r="L97" s="294"/>
      <c r="M97" s="304"/>
      <c r="N97" s="355"/>
      <c r="O97" s="344"/>
      <c r="P97" s="347"/>
      <c r="Q97" s="336"/>
    </row>
    <row r="98" spans="1:17" x14ac:dyDescent="0.25">
      <c r="A98" s="279" t="s">
        <v>139</v>
      </c>
      <c r="B98" s="81">
        <v>20</v>
      </c>
      <c r="C98" s="261" t="s">
        <v>26</v>
      </c>
      <c r="D98" s="262" t="s">
        <v>66</v>
      </c>
      <c r="E98" s="261" t="s">
        <v>16</v>
      </c>
      <c r="F98" s="262" t="s">
        <v>111</v>
      </c>
      <c r="G98" s="143">
        <v>11.154370999999999</v>
      </c>
      <c r="H98" s="261"/>
      <c r="I98" s="262"/>
      <c r="J98" s="261"/>
      <c r="K98" s="262"/>
      <c r="L98" s="143"/>
      <c r="M98" s="261" t="s">
        <v>11</v>
      </c>
      <c r="N98" s="268" t="s">
        <v>67</v>
      </c>
      <c r="O98" s="261" t="s">
        <v>19</v>
      </c>
      <c r="P98" s="269" t="s">
        <v>385</v>
      </c>
      <c r="Q98" s="271">
        <v>44104</v>
      </c>
    </row>
    <row r="99" spans="1:17" ht="30" x14ac:dyDescent="0.25">
      <c r="A99" s="279" t="s">
        <v>162</v>
      </c>
      <c r="B99" s="92">
        <f>2080+425</f>
        <v>2505</v>
      </c>
      <c r="C99" s="261" t="s">
        <v>42</v>
      </c>
      <c r="D99" s="261" t="s">
        <v>141</v>
      </c>
      <c r="E99" s="261" t="s">
        <v>111</v>
      </c>
      <c r="F99" s="262" t="s">
        <v>357</v>
      </c>
      <c r="G99" s="143" t="s">
        <v>111</v>
      </c>
      <c r="H99" s="261"/>
      <c r="I99" s="261"/>
      <c r="J99" s="261"/>
      <c r="K99" s="262"/>
      <c r="L99" s="143"/>
      <c r="M99" s="261" t="s">
        <v>11</v>
      </c>
      <c r="N99" s="268" t="s">
        <v>163</v>
      </c>
      <c r="O99" s="262" t="s">
        <v>219</v>
      </c>
      <c r="P99" s="278"/>
      <c r="Q99" s="272"/>
    </row>
    <row r="100" spans="1:17" ht="30" x14ac:dyDescent="0.25">
      <c r="A100" s="382" t="s">
        <v>164</v>
      </c>
      <c r="B100" s="322">
        <v>3000</v>
      </c>
      <c r="C100" s="261" t="s">
        <v>8</v>
      </c>
      <c r="D100" s="261" t="s">
        <v>14</v>
      </c>
      <c r="E100" s="261" t="s">
        <v>10</v>
      </c>
      <c r="F100" s="262" t="s">
        <v>357</v>
      </c>
      <c r="G100" s="143">
        <v>2538.9999889999999</v>
      </c>
      <c r="H100" s="292"/>
      <c r="I100" s="292"/>
      <c r="J100" s="292"/>
      <c r="K100" s="292"/>
      <c r="L100" s="292"/>
      <c r="M100" s="311" t="s">
        <v>11</v>
      </c>
      <c r="N100" s="337" t="s">
        <v>15</v>
      </c>
      <c r="O100" s="312" t="s">
        <v>19</v>
      </c>
      <c r="P100" s="338" t="s">
        <v>630</v>
      </c>
      <c r="Q100" s="348">
        <v>44284</v>
      </c>
    </row>
    <row r="101" spans="1:17" x14ac:dyDescent="0.25">
      <c r="A101" s="382"/>
      <c r="B101" s="301"/>
      <c r="C101" s="261" t="s">
        <v>8</v>
      </c>
      <c r="D101" s="261" t="s">
        <v>14</v>
      </c>
      <c r="E101" s="261" t="s">
        <v>16</v>
      </c>
      <c r="F101" s="262" t="s">
        <v>111</v>
      </c>
      <c r="G101" s="143">
        <v>461.00001099999997</v>
      </c>
      <c r="H101" s="294"/>
      <c r="I101" s="294"/>
      <c r="J101" s="294"/>
      <c r="K101" s="294"/>
      <c r="L101" s="294"/>
      <c r="M101" s="311"/>
      <c r="N101" s="337"/>
      <c r="O101" s="312"/>
      <c r="P101" s="338"/>
      <c r="Q101" s="349"/>
    </row>
    <row r="102" spans="1:17" ht="30" x14ac:dyDescent="0.25">
      <c r="A102" s="319" t="s">
        <v>165</v>
      </c>
      <c r="B102" s="322">
        <f>72625+8000-4570</f>
        <v>76055</v>
      </c>
      <c r="C102" s="261" t="s">
        <v>26</v>
      </c>
      <c r="D102" s="262" t="s">
        <v>35</v>
      </c>
      <c r="E102" s="261" t="s">
        <v>10</v>
      </c>
      <c r="F102" s="262" t="s">
        <v>357</v>
      </c>
      <c r="G102" s="143">
        <v>60000</v>
      </c>
      <c r="H102" s="292"/>
      <c r="I102" s="292"/>
      <c r="J102" s="292"/>
      <c r="K102" s="292"/>
      <c r="L102" s="292"/>
      <c r="M102" s="311" t="s">
        <v>11</v>
      </c>
      <c r="N102" s="337" t="s">
        <v>166</v>
      </c>
      <c r="O102" s="342" t="s">
        <v>167</v>
      </c>
      <c r="P102" s="338" t="s">
        <v>617</v>
      </c>
      <c r="Q102" s="348">
        <v>44255</v>
      </c>
    </row>
    <row r="103" spans="1:17" s="54" customFormat="1" ht="30" x14ac:dyDescent="0.25">
      <c r="A103" s="320"/>
      <c r="B103" s="323"/>
      <c r="C103" s="261" t="s">
        <v>8</v>
      </c>
      <c r="D103" s="262" t="s">
        <v>35</v>
      </c>
      <c r="E103" s="261" t="s">
        <v>10</v>
      </c>
      <c r="F103" s="262" t="s">
        <v>357</v>
      </c>
      <c r="G103" s="143">
        <v>28467.769</v>
      </c>
      <c r="H103" s="293"/>
      <c r="I103" s="293"/>
      <c r="J103" s="293"/>
      <c r="K103" s="293"/>
      <c r="L103" s="293"/>
      <c r="M103" s="311"/>
      <c r="N103" s="337"/>
      <c r="O103" s="344"/>
      <c r="P103" s="338"/>
      <c r="Q103" s="348"/>
    </row>
    <row r="104" spans="1:17" s="54" customFormat="1" ht="30" x14ac:dyDescent="0.25">
      <c r="A104" s="320"/>
      <c r="B104" s="323"/>
      <c r="C104" s="261" t="s">
        <v>415</v>
      </c>
      <c r="D104" s="262" t="s">
        <v>35</v>
      </c>
      <c r="E104" s="261" t="s">
        <v>10</v>
      </c>
      <c r="F104" s="262" t="s">
        <v>357</v>
      </c>
      <c r="G104" s="143">
        <v>-12445</v>
      </c>
      <c r="H104" s="293"/>
      <c r="I104" s="293"/>
      <c r="J104" s="293"/>
      <c r="K104" s="293"/>
      <c r="L104" s="293"/>
      <c r="M104" s="311"/>
      <c r="N104" s="337"/>
      <c r="O104" s="352" t="s">
        <v>475</v>
      </c>
      <c r="P104" s="338"/>
      <c r="Q104" s="348"/>
    </row>
    <row r="105" spans="1:17" ht="30" x14ac:dyDescent="0.25">
      <c r="A105" s="320"/>
      <c r="B105" s="323"/>
      <c r="C105" s="261" t="s">
        <v>415</v>
      </c>
      <c r="D105" s="262" t="s">
        <v>35</v>
      </c>
      <c r="E105" s="261" t="s">
        <v>10</v>
      </c>
      <c r="F105" s="262" t="s">
        <v>623</v>
      </c>
      <c r="G105" s="147">
        <v>500</v>
      </c>
      <c r="H105" s="294"/>
      <c r="I105" s="294"/>
      <c r="J105" s="294"/>
      <c r="K105" s="294"/>
      <c r="L105" s="294"/>
      <c r="M105" s="311"/>
      <c r="N105" s="337"/>
      <c r="O105" s="352"/>
      <c r="P105" s="338"/>
      <c r="Q105" s="349"/>
    </row>
    <row r="106" spans="1:17" s="54" customFormat="1" ht="45" x14ac:dyDescent="0.25">
      <c r="A106" s="321"/>
      <c r="B106" s="324"/>
      <c r="C106" s="261" t="s">
        <v>42</v>
      </c>
      <c r="D106" s="262" t="s">
        <v>22</v>
      </c>
      <c r="E106" s="261" t="s">
        <v>111</v>
      </c>
      <c r="F106" s="262" t="s">
        <v>111</v>
      </c>
      <c r="G106" s="143" t="s">
        <v>111</v>
      </c>
      <c r="H106" s="261"/>
      <c r="I106" s="262"/>
      <c r="J106" s="261"/>
      <c r="K106" s="262"/>
      <c r="L106" s="143"/>
      <c r="M106" s="261" t="s">
        <v>443</v>
      </c>
      <c r="N106" s="173" t="s">
        <v>111</v>
      </c>
      <c r="O106" s="274" t="s">
        <v>475</v>
      </c>
      <c r="P106" s="269" t="s">
        <v>584</v>
      </c>
      <c r="Q106" s="271">
        <v>44255</v>
      </c>
    </row>
    <row r="107" spans="1:17" ht="30" x14ac:dyDescent="0.25">
      <c r="A107" s="279" t="s">
        <v>168</v>
      </c>
      <c r="B107" s="81">
        <v>473</v>
      </c>
      <c r="C107" s="261" t="s">
        <v>8</v>
      </c>
      <c r="D107" s="261" t="s">
        <v>91</v>
      </c>
      <c r="E107" s="261" t="s">
        <v>10</v>
      </c>
      <c r="F107" s="262" t="s">
        <v>357</v>
      </c>
      <c r="G107" s="143">
        <v>9.9640000000000004</v>
      </c>
      <c r="H107" s="261"/>
      <c r="I107" s="261"/>
      <c r="J107" s="261"/>
      <c r="K107" s="262"/>
      <c r="L107" s="143"/>
      <c r="M107" s="261" t="s">
        <v>11</v>
      </c>
      <c r="N107" s="268" t="s">
        <v>92</v>
      </c>
      <c r="O107" s="262" t="s">
        <v>19</v>
      </c>
      <c r="P107" s="278" t="s">
        <v>389</v>
      </c>
      <c r="Q107" s="271">
        <v>44255</v>
      </c>
    </row>
    <row r="108" spans="1:17" ht="60" x14ac:dyDescent="0.25">
      <c r="A108" s="319" t="s">
        <v>169</v>
      </c>
      <c r="B108" s="322">
        <f>5250-2240+20</f>
        <v>3030</v>
      </c>
      <c r="C108" s="261" t="s">
        <v>26</v>
      </c>
      <c r="D108" s="262" t="s">
        <v>35</v>
      </c>
      <c r="E108" s="261" t="s">
        <v>10</v>
      </c>
      <c r="F108" s="262" t="s">
        <v>359</v>
      </c>
      <c r="G108" s="143">
        <v>5250</v>
      </c>
      <c r="H108" s="302" t="s">
        <v>511</v>
      </c>
      <c r="I108" s="299" t="s">
        <v>35</v>
      </c>
      <c r="J108" s="302" t="s">
        <v>16</v>
      </c>
      <c r="K108" s="299" t="s">
        <v>111</v>
      </c>
      <c r="L108" s="292">
        <v>20.165317000000002</v>
      </c>
      <c r="M108" s="302" t="s">
        <v>443</v>
      </c>
      <c r="N108" s="302" t="s">
        <v>111</v>
      </c>
      <c r="O108" s="274" t="s">
        <v>170</v>
      </c>
      <c r="P108" s="345" t="s">
        <v>548</v>
      </c>
      <c r="Q108" s="316">
        <v>44255</v>
      </c>
    </row>
    <row r="109" spans="1:17" s="54" customFormat="1" ht="30" x14ac:dyDescent="0.25">
      <c r="A109" s="320"/>
      <c r="B109" s="323"/>
      <c r="C109" s="261" t="s">
        <v>415</v>
      </c>
      <c r="D109" s="262" t="s">
        <v>35</v>
      </c>
      <c r="E109" s="261" t="s">
        <v>16</v>
      </c>
      <c r="F109" s="262" t="s">
        <v>111</v>
      </c>
      <c r="G109" s="143">
        <v>8</v>
      </c>
      <c r="H109" s="303"/>
      <c r="I109" s="300"/>
      <c r="J109" s="303"/>
      <c r="K109" s="300"/>
      <c r="L109" s="293"/>
      <c r="M109" s="303"/>
      <c r="N109" s="303"/>
      <c r="O109" s="352" t="s">
        <v>475</v>
      </c>
      <c r="P109" s="346"/>
      <c r="Q109" s="335"/>
    </row>
    <row r="110" spans="1:17" s="54" customFormat="1" ht="60" x14ac:dyDescent="0.25">
      <c r="A110" s="321"/>
      <c r="B110" s="324"/>
      <c r="C110" s="261" t="s">
        <v>415</v>
      </c>
      <c r="D110" s="262" t="s">
        <v>35</v>
      </c>
      <c r="E110" s="261" t="s">
        <v>10</v>
      </c>
      <c r="F110" s="262" t="s">
        <v>359</v>
      </c>
      <c r="G110" s="143">
        <v>-2227.805848</v>
      </c>
      <c r="H110" s="304"/>
      <c r="I110" s="301"/>
      <c r="J110" s="304"/>
      <c r="K110" s="301"/>
      <c r="L110" s="294"/>
      <c r="M110" s="304"/>
      <c r="N110" s="304"/>
      <c r="O110" s="352"/>
      <c r="P110" s="347"/>
      <c r="Q110" s="336"/>
    </row>
    <row r="111" spans="1:17" ht="60" x14ac:dyDescent="0.25">
      <c r="A111" s="319" t="s">
        <v>171</v>
      </c>
      <c r="B111" s="322">
        <f>2974-811</f>
        <v>2163</v>
      </c>
      <c r="C111" s="261" t="s">
        <v>26</v>
      </c>
      <c r="D111" s="262" t="s">
        <v>173</v>
      </c>
      <c r="E111" s="261" t="s">
        <v>10</v>
      </c>
      <c r="F111" s="262" t="s">
        <v>359</v>
      </c>
      <c r="G111" s="143">
        <v>2972.9</v>
      </c>
      <c r="H111" s="292"/>
      <c r="I111" s="292"/>
      <c r="J111" s="292"/>
      <c r="K111" s="292"/>
      <c r="L111" s="292"/>
      <c r="M111" s="302" t="s">
        <v>11</v>
      </c>
      <c r="N111" s="353" t="s">
        <v>174</v>
      </c>
      <c r="O111" s="342" t="s">
        <v>475</v>
      </c>
      <c r="P111" s="425" t="s">
        <v>531</v>
      </c>
      <c r="Q111" s="422">
        <v>44255</v>
      </c>
    </row>
    <row r="112" spans="1:17" ht="60" x14ac:dyDescent="0.25">
      <c r="A112" s="320"/>
      <c r="B112" s="323"/>
      <c r="C112" s="261" t="s">
        <v>8</v>
      </c>
      <c r="D112" s="262" t="s">
        <v>173</v>
      </c>
      <c r="E112" s="261" t="s">
        <v>10</v>
      </c>
      <c r="F112" s="262" t="s">
        <v>359</v>
      </c>
      <c r="G112" s="143">
        <v>-5</v>
      </c>
      <c r="H112" s="293"/>
      <c r="I112" s="293"/>
      <c r="J112" s="293"/>
      <c r="K112" s="293"/>
      <c r="L112" s="293"/>
      <c r="M112" s="303"/>
      <c r="N112" s="354"/>
      <c r="O112" s="343"/>
      <c r="P112" s="426"/>
      <c r="Q112" s="423"/>
    </row>
    <row r="113" spans="1:17" x14ac:dyDescent="0.25">
      <c r="A113" s="320"/>
      <c r="B113" s="323"/>
      <c r="C113" s="261" t="s">
        <v>8</v>
      </c>
      <c r="D113" s="262" t="s">
        <v>173</v>
      </c>
      <c r="E113" s="261" t="s">
        <v>16</v>
      </c>
      <c r="F113" s="262" t="s">
        <v>111</v>
      </c>
      <c r="G113" s="143">
        <v>5</v>
      </c>
      <c r="H113" s="293"/>
      <c r="I113" s="293"/>
      <c r="J113" s="293"/>
      <c r="K113" s="293"/>
      <c r="L113" s="293"/>
      <c r="M113" s="303"/>
      <c r="N113" s="354"/>
      <c r="O113" s="343"/>
      <c r="P113" s="426"/>
      <c r="Q113" s="423"/>
    </row>
    <row r="114" spans="1:17" s="54" customFormat="1" ht="60" x14ac:dyDescent="0.25">
      <c r="A114" s="320"/>
      <c r="B114" s="323"/>
      <c r="C114" s="261" t="s">
        <v>415</v>
      </c>
      <c r="D114" s="262" t="s">
        <v>173</v>
      </c>
      <c r="E114" s="261" t="s">
        <v>10</v>
      </c>
      <c r="F114" s="262" t="s">
        <v>359</v>
      </c>
      <c r="G114" s="143">
        <v>-825.35683400000005</v>
      </c>
      <c r="H114" s="293"/>
      <c r="I114" s="293"/>
      <c r="J114" s="293"/>
      <c r="K114" s="293"/>
      <c r="L114" s="293"/>
      <c r="M114" s="303"/>
      <c r="N114" s="354"/>
      <c r="O114" s="343"/>
      <c r="P114" s="426"/>
      <c r="Q114" s="423"/>
    </row>
    <row r="115" spans="1:17" s="54" customFormat="1" x14ac:dyDescent="0.25">
      <c r="A115" s="321"/>
      <c r="B115" s="324"/>
      <c r="C115" s="261" t="s">
        <v>415</v>
      </c>
      <c r="D115" s="262" t="s">
        <v>173</v>
      </c>
      <c r="E115" s="261" t="s">
        <v>16</v>
      </c>
      <c r="F115" s="262" t="s">
        <v>111</v>
      </c>
      <c r="G115" s="143">
        <v>13.456834000000001</v>
      </c>
      <c r="H115" s="294"/>
      <c r="I115" s="294"/>
      <c r="J115" s="294"/>
      <c r="K115" s="294"/>
      <c r="L115" s="294"/>
      <c r="M115" s="304"/>
      <c r="N115" s="355"/>
      <c r="O115" s="344"/>
      <c r="P115" s="427"/>
      <c r="Q115" s="424"/>
    </row>
    <row r="116" spans="1:17" x14ac:dyDescent="0.25">
      <c r="A116" s="246" t="s">
        <v>172</v>
      </c>
      <c r="B116" s="102">
        <f>-569+62</f>
        <v>-507</v>
      </c>
      <c r="C116" s="261"/>
      <c r="D116" s="261"/>
      <c r="E116" s="261"/>
      <c r="F116" s="262"/>
      <c r="G116" s="148"/>
      <c r="H116" s="261"/>
      <c r="I116" s="261"/>
      <c r="J116" s="261"/>
      <c r="K116" s="262"/>
      <c r="L116" s="148"/>
      <c r="M116" s="261"/>
      <c r="N116" s="261"/>
      <c r="O116" s="261"/>
      <c r="P116" s="278"/>
      <c r="Q116" s="272"/>
    </row>
    <row r="117" spans="1:17" ht="45" x14ac:dyDescent="0.25">
      <c r="A117" s="279" t="s">
        <v>175</v>
      </c>
      <c r="B117" s="81">
        <v>133</v>
      </c>
      <c r="C117" s="261" t="s">
        <v>415</v>
      </c>
      <c r="D117" s="261" t="s">
        <v>37</v>
      </c>
      <c r="E117" s="261" t="s">
        <v>16</v>
      </c>
      <c r="F117" s="262" t="s">
        <v>111</v>
      </c>
      <c r="G117" s="143">
        <v>58</v>
      </c>
      <c r="H117" s="261"/>
      <c r="I117" s="261"/>
      <c r="J117" s="261"/>
      <c r="K117" s="262"/>
      <c r="L117" s="143"/>
      <c r="M117" s="261" t="s">
        <v>11</v>
      </c>
      <c r="N117" s="268" t="s">
        <v>38</v>
      </c>
      <c r="O117" s="274" t="s">
        <v>475</v>
      </c>
      <c r="P117" s="269" t="s">
        <v>571</v>
      </c>
      <c r="Q117" s="271">
        <v>44255</v>
      </c>
    </row>
    <row r="118" spans="1:17" ht="45" x14ac:dyDescent="0.25">
      <c r="A118" s="279" t="s">
        <v>176</v>
      </c>
      <c r="B118" s="81">
        <v>17</v>
      </c>
      <c r="C118" s="261" t="s">
        <v>42</v>
      </c>
      <c r="D118" s="262" t="s">
        <v>27</v>
      </c>
      <c r="E118" s="261" t="s">
        <v>111</v>
      </c>
      <c r="F118" s="262" t="s">
        <v>111</v>
      </c>
      <c r="G118" s="143" t="s">
        <v>111</v>
      </c>
      <c r="H118" s="261"/>
      <c r="I118" s="262"/>
      <c r="J118" s="261"/>
      <c r="K118" s="262"/>
      <c r="L118" s="143"/>
      <c r="M118" s="261" t="s">
        <v>11</v>
      </c>
      <c r="N118" s="268" t="s">
        <v>177</v>
      </c>
      <c r="O118" s="274" t="s">
        <v>475</v>
      </c>
      <c r="P118" s="269" t="s">
        <v>178</v>
      </c>
      <c r="Q118" s="271">
        <v>44255</v>
      </c>
    </row>
    <row r="119" spans="1:17" ht="30" x14ac:dyDescent="0.25">
      <c r="A119" s="382" t="s">
        <v>179</v>
      </c>
      <c r="B119" s="299">
        <v>307</v>
      </c>
      <c r="C119" s="261" t="s">
        <v>8</v>
      </c>
      <c r="D119" s="261" t="s">
        <v>37</v>
      </c>
      <c r="E119" s="261" t="s">
        <v>10</v>
      </c>
      <c r="F119" s="262" t="s">
        <v>357</v>
      </c>
      <c r="G119" s="143">
        <v>75</v>
      </c>
      <c r="H119" s="302" t="s">
        <v>511</v>
      </c>
      <c r="I119" s="302" t="s">
        <v>37</v>
      </c>
      <c r="J119" s="302" t="s">
        <v>16</v>
      </c>
      <c r="K119" s="299" t="s">
        <v>111</v>
      </c>
      <c r="L119" s="292">
        <v>2.125</v>
      </c>
      <c r="M119" s="311" t="s">
        <v>11</v>
      </c>
      <c r="N119" s="337" t="s">
        <v>38</v>
      </c>
      <c r="O119" s="342" t="s">
        <v>475</v>
      </c>
      <c r="P119" s="338" t="s">
        <v>570</v>
      </c>
      <c r="Q119" s="316">
        <v>44255</v>
      </c>
    </row>
    <row r="120" spans="1:17" s="54" customFormat="1" x14ac:dyDescent="0.25">
      <c r="A120" s="382"/>
      <c r="B120" s="300"/>
      <c r="C120" s="261" t="s">
        <v>8</v>
      </c>
      <c r="D120" s="261" t="s">
        <v>37</v>
      </c>
      <c r="E120" s="261" t="s">
        <v>16</v>
      </c>
      <c r="F120" s="262" t="s">
        <v>111</v>
      </c>
      <c r="G120" s="143">
        <v>298.3</v>
      </c>
      <c r="H120" s="303"/>
      <c r="I120" s="303"/>
      <c r="J120" s="303"/>
      <c r="K120" s="300"/>
      <c r="L120" s="293"/>
      <c r="M120" s="311"/>
      <c r="N120" s="337"/>
      <c r="O120" s="343"/>
      <c r="P120" s="338"/>
      <c r="Q120" s="335"/>
    </row>
    <row r="121" spans="1:17" s="54" customFormat="1" ht="30" x14ac:dyDescent="0.25">
      <c r="A121" s="382"/>
      <c r="B121" s="300"/>
      <c r="C121" s="261" t="s">
        <v>415</v>
      </c>
      <c r="D121" s="261" t="s">
        <v>37</v>
      </c>
      <c r="E121" s="261" t="s">
        <v>10</v>
      </c>
      <c r="F121" s="262" t="s">
        <v>357</v>
      </c>
      <c r="G121" s="143">
        <v>-1.8091630000000001</v>
      </c>
      <c r="H121" s="303"/>
      <c r="I121" s="303"/>
      <c r="J121" s="303"/>
      <c r="K121" s="300"/>
      <c r="L121" s="293"/>
      <c r="M121" s="311"/>
      <c r="N121" s="337"/>
      <c r="O121" s="343"/>
      <c r="P121" s="338"/>
      <c r="Q121" s="335"/>
    </row>
    <row r="122" spans="1:17" x14ac:dyDescent="0.25">
      <c r="A122" s="382"/>
      <c r="B122" s="301"/>
      <c r="C122" s="257" t="s">
        <v>415</v>
      </c>
      <c r="D122" s="261" t="s">
        <v>37</v>
      </c>
      <c r="E122" s="257" t="s">
        <v>16</v>
      </c>
      <c r="F122" s="254" t="s">
        <v>111</v>
      </c>
      <c r="G122" s="260">
        <v>1.8091630000000001</v>
      </c>
      <c r="H122" s="304"/>
      <c r="I122" s="304"/>
      <c r="J122" s="304"/>
      <c r="K122" s="301"/>
      <c r="L122" s="294"/>
      <c r="M122" s="311"/>
      <c r="N122" s="337"/>
      <c r="O122" s="344"/>
      <c r="P122" s="338"/>
      <c r="Q122" s="336"/>
    </row>
    <row r="123" spans="1:17" s="54" customFormat="1" x14ac:dyDescent="0.25">
      <c r="A123" s="319" t="s">
        <v>181</v>
      </c>
      <c r="B123" s="299">
        <v>46</v>
      </c>
      <c r="C123" s="311" t="s">
        <v>415</v>
      </c>
      <c r="D123" s="302" t="s">
        <v>66</v>
      </c>
      <c r="E123" s="311" t="s">
        <v>16</v>
      </c>
      <c r="F123" s="312" t="s">
        <v>111</v>
      </c>
      <c r="G123" s="313">
        <f>0.66123+21</f>
        <v>21.66123</v>
      </c>
      <c r="H123" s="258" t="s">
        <v>511</v>
      </c>
      <c r="I123" s="258" t="s">
        <v>66</v>
      </c>
      <c r="J123" s="258" t="s">
        <v>16</v>
      </c>
      <c r="K123" s="255" t="s">
        <v>111</v>
      </c>
      <c r="L123" s="283">
        <v>0.39824599999999999</v>
      </c>
      <c r="M123" s="302" t="s">
        <v>11</v>
      </c>
      <c r="N123" s="353" t="s">
        <v>160</v>
      </c>
      <c r="O123" s="352" t="s">
        <v>475</v>
      </c>
      <c r="P123" s="345" t="s">
        <v>579</v>
      </c>
      <c r="Q123" s="316">
        <v>44255</v>
      </c>
    </row>
    <row r="124" spans="1:17" x14ac:dyDescent="0.25">
      <c r="A124" s="321"/>
      <c r="B124" s="301"/>
      <c r="C124" s="311"/>
      <c r="D124" s="304"/>
      <c r="E124" s="311"/>
      <c r="F124" s="312"/>
      <c r="G124" s="313"/>
      <c r="H124" s="261" t="s">
        <v>511</v>
      </c>
      <c r="I124" s="261" t="s">
        <v>66</v>
      </c>
      <c r="J124" s="261" t="s">
        <v>10</v>
      </c>
      <c r="K124" s="262"/>
      <c r="L124" s="163">
        <v>9.6713999999999994E-2</v>
      </c>
      <c r="M124" s="304"/>
      <c r="N124" s="355"/>
      <c r="O124" s="352"/>
      <c r="P124" s="347"/>
      <c r="Q124" s="336"/>
    </row>
    <row r="125" spans="1:17" ht="15" customHeight="1" x14ac:dyDescent="0.25">
      <c r="A125" s="382" t="s">
        <v>182</v>
      </c>
      <c r="B125" s="299">
        <v>16</v>
      </c>
      <c r="C125" s="261" t="s">
        <v>8</v>
      </c>
      <c r="D125" s="261" t="s">
        <v>156</v>
      </c>
      <c r="E125" s="261" t="s">
        <v>16</v>
      </c>
      <c r="F125" s="262" t="s">
        <v>111</v>
      </c>
      <c r="G125" s="143">
        <v>1.1479999999999999</v>
      </c>
      <c r="H125" s="149"/>
      <c r="I125" s="149"/>
      <c r="J125" s="149"/>
      <c r="K125" s="149"/>
      <c r="L125" s="149"/>
      <c r="M125" s="311" t="s">
        <v>11</v>
      </c>
      <c r="N125" s="337" t="s">
        <v>160</v>
      </c>
      <c r="O125" s="342" t="s">
        <v>475</v>
      </c>
      <c r="P125" s="288" t="s">
        <v>469</v>
      </c>
      <c r="Q125" s="271">
        <v>44255</v>
      </c>
    </row>
    <row r="126" spans="1:17" ht="30" x14ac:dyDescent="0.25">
      <c r="A126" s="382"/>
      <c r="B126" s="300"/>
      <c r="C126" s="261" t="s">
        <v>8</v>
      </c>
      <c r="D126" s="262" t="s">
        <v>157</v>
      </c>
      <c r="E126" s="261" t="s">
        <v>16</v>
      </c>
      <c r="F126" s="262" t="s">
        <v>111</v>
      </c>
      <c r="G126" s="163">
        <f>0.008+0.143</f>
        <v>0.151</v>
      </c>
      <c r="H126" s="149"/>
      <c r="I126" s="149"/>
      <c r="J126" s="149"/>
      <c r="K126" s="149"/>
      <c r="L126" s="149"/>
      <c r="M126" s="311"/>
      <c r="N126" s="337"/>
      <c r="O126" s="343"/>
      <c r="P126" s="288" t="s">
        <v>538</v>
      </c>
      <c r="Q126" s="271">
        <v>44255</v>
      </c>
    </row>
    <row r="127" spans="1:17" x14ac:dyDescent="0.25">
      <c r="A127" s="382"/>
      <c r="B127" s="300"/>
      <c r="C127" s="261" t="s">
        <v>8</v>
      </c>
      <c r="D127" s="262" t="s">
        <v>66</v>
      </c>
      <c r="E127" s="261" t="s">
        <v>16</v>
      </c>
      <c r="F127" s="262" t="s">
        <v>111</v>
      </c>
      <c r="G127" s="143">
        <v>0.86299999999999999</v>
      </c>
      <c r="H127" s="149"/>
      <c r="I127" s="149"/>
      <c r="J127" s="149"/>
      <c r="K127" s="149"/>
      <c r="L127" s="149"/>
      <c r="M127" s="311"/>
      <c r="N127" s="337"/>
      <c r="O127" s="343"/>
      <c r="P127" s="288" t="s">
        <v>470</v>
      </c>
      <c r="Q127" s="271">
        <v>44255</v>
      </c>
    </row>
    <row r="128" spans="1:17" ht="30" x14ac:dyDescent="0.25">
      <c r="A128" s="382"/>
      <c r="B128" s="300"/>
      <c r="C128" s="261" t="s">
        <v>8</v>
      </c>
      <c r="D128" s="262" t="s">
        <v>68</v>
      </c>
      <c r="E128" s="261" t="s">
        <v>16</v>
      </c>
      <c r="F128" s="262" t="s">
        <v>111</v>
      </c>
      <c r="G128" s="143">
        <f>0.191667+5</f>
        <v>5.1916669999999998</v>
      </c>
      <c r="H128" s="149"/>
      <c r="I128" s="149"/>
      <c r="J128" s="149"/>
      <c r="K128" s="149"/>
      <c r="L128" s="149"/>
      <c r="M128" s="311"/>
      <c r="N128" s="337"/>
      <c r="O128" s="343"/>
      <c r="P128" s="288" t="s">
        <v>589</v>
      </c>
      <c r="Q128" s="271">
        <v>44255</v>
      </c>
    </row>
    <row r="129" spans="1:17" ht="30" x14ac:dyDescent="0.25">
      <c r="A129" s="382"/>
      <c r="B129" s="300"/>
      <c r="C129" s="261" t="s">
        <v>8</v>
      </c>
      <c r="D129" s="262" t="s">
        <v>158</v>
      </c>
      <c r="E129" s="261" t="s">
        <v>16</v>
      </c>
      <c r="F129" s="262" t="s">
        <v>111</v>
      </c>
      <c r="G129" s="143">
        <v>3.1459999999999999</v>
      </c>
      <c r="H129" s="149"/>
      <c r="I129" s="149"/>
      <c r="J129" s="149"/>
      <c r="K129" s="149"/>
      <c r="L129" s="149"/>
      <c r="M129" s="311"/>
      <c r="N129" s="337"/>
      <c r="O129" s="343"/>
      <c r="P129" s="288" t="s">
        <v>593</v>
      </c>
      <c r="Q129" s="271">
        <v>44255</v>
      </c>
    </row>
    <row r="130" spans="1:17" ht="30" x14ac:dyDescent="0.25">
      <c r="A130" s="382"/>
      <c r="B130" s="301"/>
      <c r="C130" s="261" t="s">
        <v>8</v>
      </c>
      <c r="D130" s="262" t="s">
        <v>159</v>
      </c>
      <c r="E130" s="261" t="s">
        <v>16</v>
      </c>
      <c r="F130" s="262" t="s">
        <v>111</v>
      </c>
      <c r="G130" s="143">
        <v>4.7</v>
      </c>
      <c r="H130" s="149"/>
      <c r="I130" s="149"/>
      <c r="J130" s="149"/>
      <c r="K130" s="149"/>
      <c r="L130" s="149"/>
      <c r="M130" s="311"/>
      <c r="N130" s="337"/>
      <c r="O130" s="344"/>
      <c r="P130" s="288" t="s">
        <v>594</v>
      </c>
      <c r="Q130" s="271">
        <v>44255</v>
      </c>
    </row>
    <row r="131" spans="1:17" ht="60" x14ac:dyDescent="0.25">
      <c r="A131" s="319" t="s">
        <v>183</v>
      </c>
      <c r="B131" s="299">
        <v>17</v>
      </c>
      <c r="C131" s="261" t="s">
        <v>8</v>
      </c>
      <c r="D131" s="262" t="s">
        <v>173</v>
      </c>
      <c r="E131" s="261" t="s">
        <v>10</v>
      </c>
      <c r="F131" s="262" t="s">
        <v>359</v>
      </c>
      <c r="G131" s="143">
        <v>11.105299</v>
      </c>
      <c r="H131" s="292"/>
      <c r="I131" s="292"/>
      <c r="J131" s="292"/>
      <c r="K131" s="292"/>
      <c r="L131" s="292"/>
      <c r="M131" s="302" t="s">
        <v>11</v>
      </c>
      <c r="N131" s="353" t="s">
        <v>184</v>
      </c>
      <c r="O131" s="299" t="s">
        <v>19</v>
      </c>
      <c r="P131" s="345" t="s">
        <v>482</v>
      </c>
      <c r="Q131" s="316">
        <v>44284</v>
      </c>
    </row>
    <row r="132" spans="1:17" x14ac:dyDescent="0.25">
      <c r="A132" s="320"/>
      <c r="B132" s="300"/>
      <c r="C132" s="261" t="s">
        <v>8</v>
      </c>
      <c r="D132" s="262" t="s">
        <v>173</v>
      </c>
      <c r="E132" s="261" t="s">
        <v>16</v>
      </c>
      <c r="F132" s="262" t="s">
        <v>111</v>
      </c>
      <c r="G132" s="143">
        <v>5.5947009999999997</v>
      </c>
      <c r="H132" s="293"/>
      <c r="I132" s="293"/>
      <c r="J132" s="293"/>
      <c r="K132" s="293"/>
      <c r="L132" s="293"/>
      <c r="M132" s="303"/>
      <c r="N132" s="354"/>
      <c r="O132" s="300"/>
      <c r="P132" s="346"/>
      <c r="Q132" s="335"/>
    </row>
    <row r="133" spans="1:17" s="54" customFormat="1" ht="60" x14ac:dyDescent="0.25">
      <c r="A133" s="320"/>
      <c r="B133" s="300"/>
      <c r="C133" s="261" t="s">
        <v>415</v>
      </c>
      <c r="D133" s="262" t="s">
        <v>173</v>
      </c>
      <c r="E133" s="261" t="s">
        <v>10</v>
      </c>
      <c r="F133" s="262" t="s">
        <v>359</v>
      </c>
      <c r="G133" s="143">
        <v>-0.79312800000000006</v>
      </c>
      <c r="H133" s="293"/>
      <c r="I133" s="293"/>
      <c r="J133" s="293"/>
      <c r="K133" s="293"/>
      <c r="L133" s="293"/>
      <c r="M133" s="303"/>
      <c r="N133" s="354"/>
      <c r="O133" s="300"/>
      <c r="P133" s="346"/>
      <c r="Q133" s="335"/>
    </row>
    <row r="134" spans="1:17" s="54" customFormat="1" x14ac:dyDescent="0.25">
      <c r="A134" s="321"/>
      <c r="B134" s="301"/>
      <c r="C134" s="261" t="s">
        <v>415</v>
      </c>
      <c r="D134" s="262" t="s">
        <v>173</v>
      </c>
      <c r="E134" s="261" t="s">
        <v>16</v>
      </c>
      <c r="F134" s="262" t="s">
        <v>111</v>
      </c>
      <c r="G134" s="143">
        <v>0.79312800000000006</v>
      </c>
      <c r="H134" s="294"/>
      <c r="I134" s="294"/>
      <c r="J134" s="294"/>
      <c r="K134" s="294"/>
      <c r="L134" s="294"/>
      <c r="M134" s="304"/>
      <c r="N134" s="355"/>
      <c r="O134" s="301"/>
      <c r="P134" s="347"/>
      <c r="Q134" s="336"/>
    </row>
    <row r="135" spans="1:17" ht="45" x14ac:dyDescent="0.25">
      <c r="A135" s="279" t="s">
        <v>185</v>
      </c>
      <c r="B135" s="81">
        <v>10</v>
      </c>
      <c r="C135" s="261" t="s">
        <v>26</v>
      </c>
      <c r="D135" s="262" t="s">
        <v>14</v>
      </c>
      <c r="E135" s="261" t="s">
        <v>10</v>
      </c>
      <c r="F135" s="262" t="s">
        <v>357</v>
      </c>
      <c r="G135" s="143">
        <v>10</v>
      </c>
      <c r="H135" s="261"/>
      <c r="I135" s="262"/>
      <c r="J135" s="261"/>
      <c r="K135" s="262"/>
      <c r="L135" s="143"/>
      <c r="M135" s="261" t="s">
        <v>11</v>
      </c>
      <c r="N135" s="268" t="s">
        <v>186</v>
      </c>
      <c r="O135" s="274" t="s">
        <v>475</v>
      </c>
      <c r="P135" s="278" t="s">
        <v>356</v>
      </c>
      <c r="Q135" s="271">
        <v>44255</v>
      </c>
    </row>
    <row r="136" spans="1:17" ht="15" customHeight="1" x14ac:dyDescent="0.25">
      <c r="A136" s="319" t="s">
        <v>187</v>
      </c>
      <c r="B136" s="299">
        <v>50</v>
      </c>
      <c r="C136" s="261" t="s">
        <v>26</v>
      </c>
      <c r="D136" s="262" t="s">
        <v>188</v>
      </c>
      <c r="E136" s="261" t="s">
        <v>16</v>
      </c>
      <c r="F136" s="262" t="s">
        <v>111</v>
      </c>
      <c r="G136" s="143">
        <v>48.710504</v>
      </c>
      <c r="H136" s="292"/>
      <c r="I136" s="292"/>
      <c r="J136" s="292"/>
      <c r="K136" s="292"/>
      <c r="L136" s="292"/>
      <c r="M136" s="302" t="s">
        <v>11</v>
      </c>
      <c r="N136" s="353" t="s">
        <v>189</v>
      </c>
      <c r="O136" s="352" t="s">
        <v>475</v>
      </c>
      <c r="P136" s="357" t="s">
        <v>603</v>
      </c>
      <c r="Q136" s="316">
        <v>44255</v>
      </c>
    </row>
    <row r="137" spans="1:17" x14ac:dyDescent="0.25">
      <c r="A137" s="320"/>
      <c r="B137" s="300"/>
      <c r="C137" s="261" t="s">
        <v>8</v>
      </c>
      <c r="D137" s="262" t="s">
        <v>188</v>
      </c>
      <c r="E137" s="261" t="s">
        <v>16</v>
      </c>
      <c r="F137" s="262" t="s">
        <v>111</v>
      </c>
      <c r="G137" s="143">
        <f>-12+-10+-10+-0.9</f>
        <v>-32.9</v>
      </c>
      <c r="H137" s="293"/>
      <c r="I137" s="293"/>
      <c r="J137" s="293"/>
      <c r="K137" s="293"/>
      <c r="L137" s="293"/>
      <c r="M137" s="303"/>
      <c r="N137" s="354"/>
      <c r="O137" s="352"/>
      <c r="P137" s="358"/>
      <c r="Q137" s="317"/>
    </row>
    <row r="138" spans="1:17" s="54" customFormat="1" x14ac:dyDescent="0.25">
      <c r="A138" s="320"/>
      <c r="B138" s="300"/>
      <c r="C138" s="261" t="s">
        <v>415</v>
      </c>
      <c r="D138" s="262" t="s">
        <v>188</v>
      </c>
      <c r="E138" s="261" t="s">
        <v>16</v>
      </c>
      <c r="F138" s="262" t="s">
        <v>111</v>
      </c>
      <c r="G138" s="143">
        <f>-7.4+-3+-0.3</f>
        <v>-10.700000000000001</v>
      </c>
      <c r="H138" s="294"/>
      <c r="I138" s="294"/>
      <c r="J138" s="294"/>
      <c r="K138" s="294"/>
      <c r="L138" s="294"/>
      <c r="M138" s="304"/>
      <c r="N138" s="355"/>
      <c r="O138" s="352"/>
      <c r="P138" s="359"/>
      <c r="Q138" s="318"/>
    </row>
    <row r="139" spans="1:17" ht="45" x14ac:dyDescent="0.25">
      <c r="A139" s="320"/>
      <c r="B139" s="300"/>
      <c r="C139" s="261" t="s">
        <v>8</v>
      </c>
      <c r="D139" s="262" t="s">
        <v>35</v>
      </c>
      <c r="E139" s="261" t="s">
        <v>16</v>
      </c>
      <c r="F139" s="262" t="s">
        <v>111</v>
      </c>
      <c r="G139" s="143">
        <v>0.9</v>
      </c>
      <c r="H139" s="261"/>
      <c r="I139" s="262"/>
      <c r="J139" s="261"/>
      <c r="K139" s="262"/>
      <c r="L139" s="143"/>
      <c r="M139" s="261" t="s">
        <v>11</v>
      </c>
      <c r="N139" s="268" t="s">
        <v>36</v>
      </c>
      <c r="O139" s="274" t="s">
        <v>475</v>
      </c>
      <c r="P139" s="278" t="s">
        <v>547</v>
      </c>
      <c r="Q139" s="271">
        <v>44255</v>
      </c>
    </row>
    <row r="140" spans="1:17" x14ac:dyDescent="0.25">
      <c r="A140" s="320"/>
      <c r="B140" s="300"/>
      <c r="C140" s="261" t="s">
        <v>8</v>
      </c>
      <c r="D140" s="262" t="s">
        <v>14</v>
      </c>
      <c r="E140" s="261" t="s">
        <v>16</v>
      </c>
      <c r="F140" s="262" t="s">
        <v>111</v>
      </c>
      <c r="G140" s="143">
        <v>12</v>
      </c>
      <c r="H140" s="261"/>
      <c r="I140" s="262"/>
      <c r="J140" s="261"/>
      <c r="K140" s="262"/>
      <c r="L140" s="143"/>
      <c r="M140" s="261" t="s">
        <v>11</v>
      </c>
      <c r="N140" s="268" t="s">
        <v>15</v>
      </c>
      <c r="O140" s="262" t="s">
        <v>19</v>
      </c>
      <c r="P140" s="278" t="s">
        <v>631</v>
      </c>
      <c r="Q140" s="271">
        <v>44306</v>
      </c>
    </row>
    <row r="141" spans="1:17" x14ac:dyDescent="0.25">
      <c r="A141" s="320"/>
      <c r="B141" s="300"/>
      <c r="C141" s="261" t="s">
        <v>8</v>
      </c>
      <c r="D141" s="262" t="s">
        <v>20</v>
      </c>
      <c r="E141" s="261" t="s">
        <v>16</v>
      </c>
      <c r="F141" s="262" t="s">
        <v>111</v>
      </c>
      <c r="G141" s="143">
        <v>10</v>
      </c>
      <c r="H141" s="292"/>
      <c r="I141" s="292"/>
      <c r="J141" s="292"/>
      <c r="K141" s="292"/>
      <c r="L141" s="292"/>
      <c r="M141" s="302" t="s">
        <v>11</v>
      </c>
      <c r="N141" s="353" t="s">
        <v>21</v>
      </c>
      <c r="O141" s="352" t="s">
        <v>475</v>
      </c>
      <c r="P141" s="357" t="s">
        <v>556</v>
      </c>
      <c r="Q141" s="316">
        <v>44255</v>
      </c>
    </row>
    <row r="142" spans="1:17" s="54" customFormat="1" x14ac:dyDescent="0.25">
      <c r="A142" s="320"/>
      <c r="B142" s="300"/>
      <c r="C142" s="261" t="s">
        <v>415</v>
      </c>
      <c r="D142" s="262" t="s">
        <v>20</v>
      </c>
      <c r="E142" s="261" t="s">
        <v>16</v>
      </c>
      <c r="F142" s="262" t="s">
        <v>111</v>
      </c>
      <c r="G142" s="143">
        <v>7.4</v>
      </c>
      <c r="H142" s="294"/>
      <c r="I142" s="294"/>
      <c r="J142" s="294"/>
      <c r="K142" s="294"/>
      <c r="L142" s="294"/>
      <c r="M142" s="304"/>
      <c r="N142" s="355"/>
      <c r="O142" s="352"/>
      <c r="P142" s="359"/>
      <c r="Q142" s="336"/>
    </row>
    <row r="143" spans="1:17" s="54" customFormat="1" x14ac:dyDescent="0.25">
      <c r="A143" s="320"/>
      <c r="B143" s="300"/>
      <c r="C143" s="261" t="s">
        <v>8</v>
      </c>
      <c r="D143" s="262" t="s">
        <v>17</v>
      </c>
      <c r="E143" s="261" t="s">
        <v>16</v>
      </c>
      <c r="F143" s="262" t="s">
        <v>111</v>
      </c>
      <c r="G143" s="143">
        <v>10</v>
      </c>
      <c r="H143" s="292"/>
      <c r="I143" s="292"/>
      <c r="J143" s="292"/>
      <c r="K143" s="292"/>
      <c r="L143" s="292"/>
      <c r="M143" s="311" t="s">
        <v>11</v>
      </c>
      <c r="N143" s="337" t="s">
        <v>18</v>
      </c>
      <c r="O143" s="312" t="s">
        <v>19</v>
      </c>
      <c r="P143" s="378" t="s">
        <v>39</v>
      </c>
      <c r="Q143" s="348">
        <v>44255</v>
      </c>
    </row>
    <row r="144" spans="1:17" x14ac:dyDescent="0.25">
      <c r="A144" s="320"/>
      <c r="B144" s="300"/>
      <c r="C144" s="261" t="s">
        <v>415</v>
      </c>
      <c r="D144" s="262" t="s">
        <v>17</v>
      </c>
      <c r="E144" s="261" t="s">
        <v>16</v>
      </c>
      <c r="F144" s="262" t="s">
        <v>111</v>
      </c>
      <c r="G144" s="143">
        <v>3</v>
      </c>
      <c r="H144" s="294"/>
      <c r="I144" s="294"/>
      <c r="J144" s="294"/>
      <c r="K144" s="294"/>
      <c r="L144" s="294"/>
      <c r="M144" s="311"/>
      <c r="N144" s="337"/>
      <c r="O144" s="312"/>
      <c r="P144" s="378"/>
      <c r="Q144" s="348"/>
    </row>
    <row r="145" spans="1:17" s="54" customFormat="1" ht="45" x14ac:dyDescent="0.25">
      <c r="A145" s="321"/>
      <c r="B145" s="301"/>
      <c r="C145" s="261" t="s">
        <v>415</v>
      </c>
      <c r="D145" s="262" t="s">
        <v>33</v>
      </c>
      <c r="E145" s="261" t="s">
        <v>16</v>
      </c>
      <c r="F145" s="262" t="s">
        <v>111</v>
      </c>
      <c r="G145" s="163">
        <v>0.3</v>
      </c>
      <c r="H145" s="261"/>
      <c r="I145" s="262"/>
      <c r="J145" s="261"/>
      <c r="K145" s="262"/>
      <c r="L145" s="163"/>
      <c r="M145" s="261" t="s">
        <v>11</v>
      </c>
      <c r="N145" s="268" t="s">
        <v>38</v>
      </c>
      <c r="O145" s="274" t="s">
        <v>475</v>
      </c>
      <c r="P145" s="278" t="s">
        <v>564</v>
      </c>
      <c r="Q145" s="271">
        <v>44255</v>
      </c>
    </row>
    <row r="146" spans="1:17" x14ac:dyDescent="0.25">
      <c r="A146" s="279" t="s">
        <v>190</v>
      </c>
      <c r="B146" s="81">
        <v>6</v>
      </c>
      <c r="C146" s="261" t="s">
        <v>42</v>
      </c>
      <c r="D146" s="261"/>
      <c r="E146" s="261"/>
      <c r="F146" s="262"/>
      <c r="G146" s="143" t="s">
        <v>111</v>
      </c>
      <c r="H146" s="261"/>
      <c r="I146" s="261"/>
      <c r="J146" s="261"/>
      <c r="K146" s="262"/>
      <c r="L146" s="143"/>
      <c r="M146" s="261" t="s">
        <v>85</v>
      </c>
      <c r="N146" s="261"/>
      <c r="O146" s="261"/>
      <c r="P146" s="278"/>
      <c r="Q146" s="272"/>
    </row>
    <row r="147" spans="1:17" ht="45" x14ac:dyDescent="0.25">
      <c r="A147" s="279" t="s">
        <v>191</v>
      </c>
      <c r="B147" s="81">
        <v>20</v>
      </c>
      <c r="C147" s="261" t="s">
        <v>26</v>
      </c>
      <c r="D147" s="262" t="s">
        <v>192</v>
      </c>
      <c r="E147" s="261" t="s">
        <v>16</v>
      </c>
      <c r="F147" s="262" t="s">
        <v>111</v>
      </c>
      <c r="G147" s="143">
        <v>16.147818999999998</v>
      </c>
      <c r="H147" s="261"/>
      <c r="I147" s="262"/>
      <c r="J147" s="261"/>
      <c r="K147" s="262"/>
      <c r="L147" s="143"/>
      <c r="M147" s="261" t="s">
        <v>11</v>
      </c>
      <c r="N147" s="268" t="s">
        <v>193</v>
      </c>
      <c r="O147" s="274" t="s">
        <v>475</v>
      </c>
      <c r="P147" s="281" t="s">
        <v>535</v>
      </c>
      <c r="Q147" s="271">
        <v>44255</v>
      </c>
    </row>
    <row r="148" spans="1:17" ht="60" x14ac:dyDescent="0.25">
      <c r="A148" s="382" t="s">
        <v>194</v>
      </c>
      <c r="B148" s="299">
        <v>500</v>
      </c>
      <c r="C148" s="261" t="s">
        <v>26</v>
      </c>
      <c r="D148" s="262" t="s">
        <v>195</v>
      </c>
      <c r="E148" s="261" t="s">
        <v>10</v>
      </c>
      <c r="F148" s="262" t="s">
        <v>359</v>
      </c>
      <c r="G148" s="143">
        <v>55</v>
      </c>
      <c r="H148" s="292"/>
      <c r="I148" s="292"/>
      <c r="J148" s="292"/>
      <c r="K148" s="292"/>
      <c r="L148" s="292"/>
      <c r="M148" s="311" t="s">
        <v>11</v>
      </c>
      <c r="N148" s="337" t="s">
        <v>196</v>
      </c>
      <c r="O148" s="342" t="s">
        <v>475</v>
      </c>
      <c r="P148" s="345" t="s">
        <v>464</v>
      </c>
      <c r="Q148" s="316">
        <v>44255</v>
      </c>
    </row>
    <row r="149" spans="1:17" ht="60" x14ac:dyDescent="0.25">
      <c r="A149" s="382"/>
      <c r="B149" s="300"/>
      <c r="C149" s="261" t="s">
        <v>8</v>
      </c>
      <c r="D149" s="262" t="s">
        <v>195</v>
      </c>
      <c r="E149" s="261" t="s">
        <v>10</v>
      </c>
      <c r="F149" s="262" t="s">
        <v>359</v>
      </c>
      <c r="G149" s="143">
        <v>7.8</v>
      </c>
      <c r="H149" s="294"/>
      <c r="I149" s="294"/>
      <c r="J149" s="294"/>
      <c r="K149" s="294"/>
      <c r="L149" s="294"/>
      <c r="M149" s="311"/>
      <c r="N149" s="337"/>
      <c r="O149" s="343"/>
      <c r="P149" s="347"/>
      <c r="Q149" s="336"/>
    </row>
    <row r="150" spans="1:17" ht="60" x14ac:dyDescent="0.25">
      <c r="A150" s="382"/>
      <c r="B150" s="300"/>
      <c r="C150" s="261" t="s">
        <v>26</v>
      </c>
      <c r="D150" s="262" t="s">
        <v>197</v>
      </c>
      <c r="E150" s="261" t="s">
        <v>10</v>
      </c>
      <c r="F150" s="262" t="s">
        <v>359</v>
      </c>
      <c r="G150" s="143">
        <v>418</v>
      </c>
      <c r="H150" s="292"/>
      <c r="I150" s="292"/>
      <c r="J150" s="292"/>
      <c r="K150" s="292"/>
      <c r="L150" s="292"/>
      <c r="M150" s="311"/>
      <c r="N150" s="337"/>
      <c r="O150" s="343"/>
      <c r="P150" s="345" t="s">
        <v>465</v>
      </c>
      <c r="Q150" s="316">
        <v>44255</v>
      </c>
    </row>
    <row r="151" spans="1:17" ht="60" x14ac:dyDescent="0.25">
      <c r="A151" s="382"/>
      <c r="B151" s="300"/>
      <c r="C151" s="261" t="s">
        <v>8</v>
      </c>
      <c r="D151" s="262" t="s">
        <v>197</v>
      </c>
      <c r="E151" s="261" t="s">
        <v>10</v>
      </c>
      <c r="F151" s="262" t="s">
        <v>359</v>
      </c>
      <c r="G151" s="143">
        <v>-10.555</v>
      </c>
      <c r="H151" s="293"/>
      <c r="I151" s="293"/>
      <c r="J151" s="293"/>
      <c r="K151" s="293"/>
      <c r="L151" s="293"/>
      <c r="M151" s="311"/>
      <c r="N151" s="337"/>
      <c r="O151" s="343"/>
      <c r="P151" s="346"/>
      <c r="Q151" s="317"/>
    </row>
    <row r="152" spans="1:17" s="54" customFormat="1" ht="60" x14ac:dyDescent="0.25">
      <c r="A152" s="382"/>
      <c r="B152" s="300"/>
      <c r="C152" s="261" t="s">
        <v>415</v>
      </c>
      <c r="D152" s="262" t="s">
        <v>197</v>
      </c>
      <c r="E152" s="261" t="s">
        <v>10</v>
      </c>
      <c r="F152" s="262" t="s">
        <v>359</v>
      </c>
      <c r="G152" s="163">
        <v>-0.34</v>
      </c>
      <c r="H152" s="293"/>
      <c r="I152" s="293"/>
      <c r="J152" s="293"/>
      <c r="K152" s="293"/>
      <c r="L152" s="293"/>
      <c r="M152" s="311"/>
      <c r="N152" s="337"/>
      <c r="O152" s="343"/>
      <c r="P152" s="346"/>
      <c r="Q152" s="317"/>
    </row>
    <row r="153" spans="1:17" s="54" customFormat="1" x14ac:dyDescent="0.25">
      <c r="A153" s="382"/>
      <c r="B153" s="300"/>
      <c r="C153" s="261" t="s">
        <v>415</v>
      </c>
      <c r="D153" s="262" t="s">
        <v>197</v>
      </c>
      <c r="E153" s="261" t="s">
        <v>16</v>
      </c>
      <c r="F153" s="262" t="s">
        <v>111</v>
      </c>
      <c r="G153" s="163">
        <v>0.34</v>
      </c>
      <c r="H153" s="294"/>
      <c r="I153" s="294"/>
      <c r="J153" s="294"/>
      <c r="K153" s="294"/>
      <c r="L153" s="294"/>
      <c r="M153" s="311"/>
      <c r="N153" s="337"/>
      <c r="O153" s="343"/>
      <c r="P153" s="347"/>
      <c r="Q153" s="318"/>
    </row>
    <row r="154" spans="1:17" ht="60" x14ac:dyDescent="0.25">
      <c r="A154" s="382"/>
      <c r="B154" s="300"/>
      <c r="C154" s="261" t="s">
        <v>26</v>
      </c>
      <c r="D154" s="262" t="s">
        <v>129</v>
      </c>
      <c r="E154" s="261" t="s">
        <v>10</v>
      </c>
      <c r="F154" s="262" t="s">
        <v>359</v>
      </c>
      <c r="G154" s="143">
        <v>27</v>
      </c>
      <c r="H154" s="292"/>
      <c r="I154" s="292"/>
      <c r="J154" s="292"/>
      <c r="K154" s="292"/>
      <c r="L154" s="292"/>
      <c r="M154" s="311"/>
      <c r="N154" s="337"/>
      <c r="O154" s="343"/>
      <c r="P154" s="345" t="s">
        <v>466</v>
      </c>
      <c r="Q154" s="316">
        <v>44255</v>
      </c>
    </row>
    <row r="155" spans="1:17" ht="60" x14ac:dyDescent="0.25">
      <c r="A155" s="382"/>
      <c r="B155" s="301"/>
      <c r="C155" s="261" t="s">
        <v>8</v>
      </c>
      <c r="D155" s="262" t="s">
        <v>129</v>
      </c>
      <c r="E155" s="261" t="s">
        <v>10</v>
      </c>
      <c r="F155" s="262" t="s">
        <v>359</v>
      </c>
      <c r="G155" s="143">
        <v>2.7549999999999999</v>
      </c>
      <c r="H155" s="294"/>
      <c r="I155" s="294"/>
      <c r="J155" s="294"/>
      <c r="K155" s="294"/>
      <c r="L155" s="294"/>
      <c r="M155" s="311"/>
      <c r="N155" s="337"/>
      <c r="O155" s="344"/>
      <c r="P155" s="347"/>
      <c r="Q155" s="336"/>
    </row>
    <row r="156" spans="1:17" ht="45" x14ac:dyDescent="0.25">
      <c r="A156" s="382" t="s">
        <v>198</v>
      </c>
      <c r="B156" s="299">
        <v>26</v>
      </c>
      <c r="C156" s="261" t="s">
        <v>8</v>
      </c>
      <c r="D156" s="262" t="s">
        <v>199</v>
      </c>
      <c r="E156" s="261" t="s">
        <v>10</v>
      </c>
      <c r="F156" s="262" t="s">
        <v>357</v>
      </c>
      <c r="G156" s="143">
        <v>2.2065860000000002</v>
      </c>
      <c r="H156" s="261"/>
      <c r="I156" s="262"/>
      <c r="J156" s="261"/>
      <c r="K156" s="262"/>
      <c r="L156" s="143"/>
      <c r="M156" s="262" t="s">
        <v>443</v>
      </c>
      <c r="N156" s="261" t="s">
        <v>111</v>
      </c>
      <c r="O156" s="274" t="s">
        <v>475</v>
      </c>
      <c r="P156" s="278" t="s">
        <v>487</v>
      </c>
      <c r="Q156" s="271">
        <v>44255</v>
      </c>
    </row>
    <row r="157" spans="1:17" ht="45" x14ac:dyDescent="0.25">
      <c r="A157" s="382"/>
      <c r="B157" s="300"/>
      <c r="C157" s="261" t="s">
        <v>8</v>
      </c>
      <c r="D157" s="262" t="s">
        <v>200</v>
      </c>
      <c r="E157" s="261" t="s">
        <v>10</v>
      </c>
      <c r="F157" s="262" t="s">
        <v>357</v>
      </c>
      <c r="G157" s="143">
        <v>4.2565629999999999</v>
      </c>
      <c r="H157" s="261"/>
      <c r="I157" s="262"/>
      <c r="J157" s="261"/>
      <c r="K157" s="262"/>
      <c r="L157" s="143"/>
      <c r="M157" s="262" t="s">
        <v>443</v>
      </c>
      <c r="N157" s="261" t="s">
        <v>111</v>
      </c>
      <c r="O157" s="274" t="s">
        <v>475</v>
      </c>
      <c r="P157" s="278" t="s">
        <v>536</v>
      </c>
      <c r="Q157" s="271">
        <v>44255</v>
      </c>
    </row>
    <row r="158" spans="1:17" ht="45" x14ac:dyDescent="0.25">
      <c r="A158" s="382"/>
      <c r="B158" s="300"/>
      <c r="C158" s="261" t="s">
        <v>8</v>
      </c>
      <c r="D158" s="262" t="s">
        <v>201</v>
      </c>
      <c r="E158" s="261" t="s">
        <v>10</v>
      </c>
      <c r="F158" s="262" t="s">
        <v>357</v>
      </c>
      <c r="G158" s="143">
        <v>2.0495749999999999</v>
      </c>
      <c r="H158" s="261"/>
      <c r="I158" s="262"/>
      <c r="J158" s="261"/>
      <c r="K158" s="262"/>
      <c r="L158" s="143"/>
      <c r="M158" s="262" t="s">
        <v>443</v>
      </c>
      <c r="N158" s="261" t="s">
        <v>111</v>
      </c>
      <c r="O158" s="274" t="s">
        <v>475</v>
      </c>
      <c r="P158" s="278" t="s">
        <v>488</v>
      </c>
      <c r="Q158" s="271">
        <v>44255</v>
      </c>
    </row>
    <row r="159" spans="1:17" ht="45" x14ac:dyDescent="0.25">
      <c r="A159" s="382"/>
      <c r="B159" s="300"/>
      <c r="C159" s="261" t="s">
        <v>8</v>
      </c>
      <c r="D159" s="262" t="s">
        <v>202</v>
      </c>
      <c r="E159" s="261" t="s">
        <v>10</v>
      </c>
      <c r="F159" s="262" t="s">
        <v>357</v>
      </c>
      <c r="G159" s="143">
        <v>5.9272629999999999</v>
      </c>
      <c r="H159" s="261"/>
      <c r="I159" s="262"/>
      <c r="J159" s="261"/>
      <c r="K159" s="262"/>
      <c r="L159" s="143"/>
      <c r="M159" s="262" t="s">
        <v>443</v>
      </c>
      <c r="N159" s="261" t="s">
        <v>111</v>
      </c>
      <c r="O159" s="274" t="s">
        <v>475</v>
      </c>
      <c r="P159" s="278" t="s">
        <v>489</v>
      </c>
      <c r="Q159" s="271">
        <v>44255</v>
      </c>
    </row>
    <row r="160" spans="1:17" ht="45" x14ac:dyDescent="0.25">
      <c r="A160" s="382"/>
      <c r="B160" s="300"/>
      <c r="C160" s="261" t="s">
        <v>8</v>
      </c>
      <c r="D160" s="262" t="s">
        <v>203</v>
      </c>
      <c r="E160" s="261" t="s">
        <v>10</v>
      </c>
      <c r="F160" s="262" t="s">
        <v>357</v>
      </c>
      <c r="G160" s="143">
        <v>4.8087109999999997</v>
      </c>
      <c r="H160" s="261"/>
      <c r="I160" s="262"/>
      <c r="J160" s="261"/>
      <c r="K160" s="262"/>
      <c r="L160" s="143"/>
      <c r="M160" s="262" t="s">
        <v>443</v>
      </c>
      <c r="N160" s="261" t="s">
        <v>111</v>
      </c>
      <c r="O160" s="274" t="s">
        <v>475</v>
      </c>
      <c r="P160" s="278" t="s">
        <v>490</v>
      </c>
      <c r="Q160" s="271">
        <v>44255</v>
      </c>
    </row>
    <row r="161" spans="1:17" ht="45" x14ac:dyDescent="0.25">
      <c r="A161" s="382"/>
      <c r="B161" s="300"/>
      <c r="C161" s="261" t="s">
        <v>8</v>
      </c>
      <c r="D161" s="262" t="s">
        <v>204</v>
      </c>
      <c r="E161" s="261" t="s">
        <v>10</v>
      </c>
      <c r="F161" s="262" t="s">
        <v>357</v>
      </c>
      <c r="G161" s="143">
        <v>5.3389740000000003</v>
      </c>
      <c r="H161" s="261"/>
      <c r="I161" s="262"/>
      <c r="J161" s="261"/>
      <c r="K161" s="262"/>
      <c r="L161" s="143"/>
      <c r="M161" s="262" t="s">
        <v>443</v>
      </c>
      <c r="N161" s="261" t="s">
        <v>111</v>
      </c>
      <c r="O161" s="274" t="s">
        <v>475</v>
      </c>
      <c r="P161" s="278" t="s">
        <v>491</v>
      </c>
      <c r="Q161" s="271">
        <v>44255</v>
      </c>
    </row>
    <row r="162" spans="1:17" ht="45" x14ac:dyDescent="0.25">
      <c r="A162" s="382"/>
      <c r="B162" s="301"/>
      <c r="C162" s="261" t="s">
        <v>8</v>
      </c>
      <c r="D162" s="262" t="s">
        <v>205</v>
      </c>
      <c r="E162" s="261" t="s">
        <v>10</v>
      </c>
      <c r="F162" s="262" t="s">
        <v>357</v>
      </c>
      <c r="G162" s="143">
        <v>1.112328</v>
      </c>
      <c r="H162" s="261"/>
      <c r="I162" s="262"/>
      <c r="J162" s="261"/>
      <c r="K162" s="262"/>
      <c r="L162" s="143"/>
      <c r="M162" s="262" t="s">
        <v>443</v>
      </c>
      <c r="N162" s="261" t="s">
        <v>111</v>
      </c>
      <c r="O162" s="274" t="s">
        <v>475</v>
      </c>
      <c r="P162" s="278" t="s">
        <v>492</v>
      </c>
      <c r="Q162" s="271">
        <v>44255</v>
      </c>
    </row>
    <row r="163" spans="1:17" ht="45" x14ac:dyDescent="0.25">
      <c r="A163" s="279" t="s">
        <v>206</v>
      </c>
      <c r="B163" s="81">
        <v>18</v>
      </c>
      <c r="C163" s="261" t="s">
        <v>8</v>
      </c>
      <c r="D163" s="262" t="s">
        <v>207</v>
      </c>
      <c r="E163" s="261" t="s">
        <v>10</v>
      </c>
      <c r="F163" s="262" t="s">
        <v>357</v>
      </c>
      <c r="G163" s="143">
        <v>18.2</v>
      </c>
      <c r="H163" s="261"/>
      <c r="I163" s="262"/>
      <c r="J163" s="261"/>
      <c r="K163" s="262"/>
      <c r="L163" s="143"/>
      <c r="M163" s="262" t="s">
        <v>443</v>
      </c>
      <c r="N163" s="261" t="s">
        <v>111</v>
      </c>
      <c r="O163" s="274" t="s">
        <v>475</v>
      </c>
      <c r="P163" s="278" t="s">
        <v>493</v>
      </c>
      <c r="Q163" s="271">
        <v>44255</v>
      </c>
    </row>
    <row r="164" spans="1:17" ht="15" customHeight="1" x14ac:dyDescent="0.25">
      <c r="A164" s="382" t="s">
        <v>208</v>
      </c>
      <c r="B164" s="322">
        <v>1720</v>
      </c>
      <c r="C164" s="261" t="s">
        <v>26</v>
      </c>
      <c r="D164" s="262" t="s">
        <v>14</v>
      </c>
      <c r="E164" s="262" t="s">
        <v>209</v>
      </c>
      <c r="F164" s="262" t="s">
        <v>357</v>
      </c>
      <c r="G164" s="143">
        <v>200</v>
      </c>
      <c r="H164" s="292"/>
      <c r="I164" s="292"/>
      <c r="J164" s="292"/>
      <c r="K164" s="292"/>
      <c r="L164" s="292"/>
      <c r="M164" s="311" t="s">
        <v>11</v>
      </c>
      <c r="N164" s="337" t="s">
        <v>210</v>
      </c>
      <c r="O164" s="366" t="s">
        <v>475</v>
      </c>
      <c r="P164" s="338" t="s">
        <v>451</v>
      </c>
      <c r="Q164" s="411">
        <v>44255</v>
      </c>
    </row>
    <row r="165" spans="1:17" ht="30" x14ac:dyDescent="0.25">
      <c r="A165" s="382"/>
      <c r="B165" s="300"/>
      <c r="C165" s="261" t="s">
        <v>26</v>
      </c>
      <c r="D165" s="262" t="s">
        <v>14</v>
      </c>
      <c r="E165" s="261" t="s">
        <v>10</v>
      </c>
      <c r="F165" s="262" t="s">
        <v>357</v>
      </c>
      <c r="G165" s="143">
        <v>1000</v>
      </c>
      <c r="H165" s="293"/>
      <c r="I165" s="293"/>
      <c r="J165" s="293"/>
      <c r="K165" s="293"/>
      <c r="L165" s="293"/>
      <c r="M165" s="311"/>
      <c r="N165" s="337"/>
      <c r="O165" s="367"/>
      <c r="P165" s="338"/>
      <c r="Q165" s="412"/>
    </row>
    <row r="166" spans="1:17" ht="30" x14ac:dyDescent="0.25">
      <c r="A166" s="382"/>
      <c r="B166" s="300"/>
      <c r="C166" s="261" t="s">
        <v>8</v>
      </c>
      <c r="D166" s="262" t="s">
        <v>14</v>
      </c>
      <c r="E166" s="261" t="s">
        <v>10</v>
      </c>
      <c r="F166" s="262" t="s">
        <v>357</v>
      </c>
      <c r="G166" s="143">
        <v>-1000</v>
      </c>
      <c r="H166" s="293"/>
      <c r="I166" s="293"/>
      <c r="J166" s="293"/>
      <c r="K166" s="293"/>
      <c r="L166" s="293"/>
      <c r="M166" s="311"/>
      <c r="N166" s="337"/>
      <c r="O166" s="367"/>
      <c r="P166" s="338"/>
      <c r="Q166" s="412"/>
    </row>
    <row r="167" spans="1:17" x14ac:dyDescent="0.25">
      <c r="A167" s="382"/>
      <c r="B167" s="300"/>
      <c r="C167" s="261" t="s">
        <v>8</v>
      </c>
      <c r="D167" s="262" t="s">
        <v>14</v>
      </c>
      <c r="E167" s="261" t="s">
        <v>16</v>
      </c>
      <c r="F167" s="262" t="s">
        <v>111</v>
      </c>
      <c r="G167" s="143">
        <v>1000</v>
      </c>
      <c r="H167" s="293"/>
      <c r="I167" s="293"/>
      <c r="J167" s="293"/>
      <c r="K167" s="293"/>
      <c r="L167" s="293"/>
      <c r="M167" s="311"/>
      <c r="N167" s="337"/>
      <c r="O167" s="367"/>
      <c r="P167" s="338"/>
      <c r="Q167" s="412"/>
    </row>
    <row r="168" spans="1:17" ht="30" x14ac:dyDescent="0.25">
      <c r="A168" s="382"/>
      <c r="B168" s="300"/>
      <c r="C168" s="261" t="s">
        <v>26</v>
      </c>
      <c r="D168" s="262" t="s">
        <v>14</v>
      </c>
      <c r="E168" s="261" t="s">
        <v>10</v>
      </c>
      <c r="F168" s="262" t="s">
        <v>357</v>
      </c>
      <c r="G168" s="143">
        <v>120</v>
      </c>
      <c r="H168" s="293"/>
      <c r="I168" s="293"/>
      <c r="J168" s="293"/>
      <c r="K168" s="293"/>
      <c r="L168" s="293"/>
      <c r="M168" s="311"/>
      <c r="N168" s="337"/>
      <c r="O168" s="367"/>
      <c r="P168" s="338"/>
      <c r="Q168" s="412"/>
    </row>
    <row r="169" spans="1:17" ht="30" x14ac:dyDescent="0.25">
      <c r="A169" s="382"/>
      <c r="B169" s="301"/>
      <c r="C169" s="261" t="s">
        <v>26</v>
      </c>
      <c r="D169" s="262" t="s">
        <v>14</v>
      </c>
      <c r="E169" s="261" t="s">
        <v>10</v>
      </c>
      <c r="F169" s="262" t="s">
        <v>357</v>
      </c>
      <c r="G169" s="143">
        <v>400</v>
      </c>
      <c r="H169" s="294"/>
      <c r="I169" s="294"/>
      <c r="J169" s="294"/>
      <c r="K169" s="294"/>
      <c r="L169" s="294"/>
      <c r="M169" s="311"/>
      <c r="N169" s="337"/>
      <c r="O169" s="368"/>
      <c r="P169" s="338"/>
      <c r="Q169" s="412"/>
    </row>
    <row r="170" spans="1:17" s="54" customFormat="1" x14ac:dyDescent="0.25">
      <c r="A170" s="319" t="s">
        <v>211</v>
      </c>
      <c r="B170" s="299">
        <v>376</v>
      </c>
      <c r="C170" s="302" t="s">
        <v>42</v>
      </c>
      <c r="D170" s="302" t="s">
        <v>212</v>
      </c>
      <c r="E170" s="302" t="s">
        <v>111</v>
      </c>
      <c r="F170" s="299" t="s">
        <v>111</v>
      </c>
      <c r="G170" s="305" t="s">
        <v>111</v>
      </c>
      <c r="H170" s="261" t="s">
        <v>511</v>
      </c>
      <c r="I170" s="262" t="s">
        <v>212</v>
      </c>
      <c r="J170" s="261" t="s">
        <v>16</v>
      </c>
      <c r="K170" s="262" t="s">
        <v>111</v>
      </c>
      <c r="L170" s="143">
        <v>569.09784200000001</v>
      </c>
      <c r="M170" s="302" t="s">
        <v>11</v>
      </c>
      <c r="N170" s="353" t="s">
        <v>213</v>
      </c>
      <c r="O170" s="342" t="s">
        <v>475</v>
      </c>
      <c r="P170" s="357" t="s">
        <v>580</v>
      </c>
      <c r="Q170" s="316">
        <v>44255</v>
      </c>
    </row>
    <row r="171" spans="1:17" ht="31.5" customHeight="1" x14ac:dyDescent="0.25">
      <c r="A171" s="321"/>
      <c r="B171" s="301"/>
      <c r="C171" s="304"/>
      <c r="D171" s="304"/>
      <c r="E171" s="304"/>
      <c r="F171" s="301"/>
      <c r="G171" s="307"/>
      <c r="H171" s="261" t="s">
        <v>511</v>
      </c>
      <c r="I171" s="261" t="s">
        <v>212</v>
      </c>
      <c r="J171" s="261" t="s">
        <v>10</v>
      </c>
      <c r="K171" s="262"/>
      <c r="L171" s="143">
        <v>1.346144</v>
      </c>
      <c r="M171" s="304"/>
      <c r="N171" s="355"/>
      <c r="O171" s="344"/>
      <c r="P171" s="359"/>
      <c r="Q171" s="336"/>
    </row>
    <row r="172" spans="1:17" ht="60" x14ac:dyDescent="0.25">
      <c r="A172" s="382" t="s">
        <v>214</v>
      </c>
      <c r="B172" s="299">
        <v>253</v>
      </c>
      <c r="C172" s="261" t="s">
        <v>26</v>
      </c>
      <c r="D172" s="262" t="s">
        <v>89</v>
      </c>
      <c r="E172" s="261" t="s">
        <v>10</v>
      </c>
      <c r="F172" s="262" t="s">
        <v>359</v>
      </c>
      <c r="G172" s="143">
        <v>50</v>
      </c>
      <c r="H172" s="292"/>
      <c r="I172" s="292"/>
      <c r="J172" s="292"/>
      <c r="K172" s="292"/>
      <c r="L172" s="292"/>
      <c r="M172" s="312" t="s">
        <v>11</v>
      </c>
      <c r="N172" s="352" t="s">
        <v>90</v>
      </c>
      <c r="O172" s="312" t="s">
        <v>19</v>
      </c>
      <c r="P172" s="345" t="s">
        <v>395</v>
      </c>
      <c r="Q172" s="413">
        <v>44251</v>
      </c>
    </row>
    <row r="173" spans="1:17" s="54" customFormat="1" x14ac:dyDescent="0.25">
      <c r="A173" s="382"/>
      <c r="B173" s="300"/>
      <c r="C173" s="261" t="s">
        <v>415</v>
      </c>
      <c r="D173" s="262" t="s">
        <v>89</v>
      </c>
      <c r="E173" s="261" t="s">
        <v>16</v>
      </c>
      <c r="F173" s="262" t="s">
        <v>111</v>
      </c>
      <c r="G173" s="143">
        <v>1.456952</v>
      </c>
      <c r="H173" s="293"/>
      <c r="I173" s="293"/>
      <c r="J173" s="293"/>
      <c r="K173" s="293"/>
      <c r="L173" s="293"/>
      <c r="M173" s="312"/>
      <c r="N173" s="352"/>
      <c r="O173" s="312"/>
      <c r="P173" s="346"/>
      <c r="Q173" s="436"/>
    </row>
    <row r="174" spans="1:17" s="54" customFormat="1" ht="60" x14ac:dyDescent="0.25">
      <c r="A174" s="382"/>
      <c r="B174" s="300"/>
      <c r="C174" s="261" t="s">
        <v>415</v>
      </c>
      <c r="D174" s="262" t="s">
        <v>89</v>
      </c>
      <c r="E174" s="261" t="s">
        <v>10</v>
      </c>
      <c r="F174" s="262" t="s">
        <v>359</v>
      </c>
      <c r="G174" s="143">
        <v>-1.456952</v>
      </c>
      <c r="H174" s="293"/>
      <c r="I174" s="293"/>
      <c r="J174" s="293"/>
      <c r="K174" s="293"/>
      <c r="L174" s="293"/>
      <c r="M174" s="312"/>
      <c r="N174" s="352"/>
      <c r="O174" s="312"/>
      <c r="P174" s="347"/>
      <c r="Q174" s="437"/>
    </row>
    <row r="175" spans="1:17" x14ac:dyDescent="0.25">
      <c r="A175" s="382"/>
      <c r="B175" s="300"/>
      <c r="C175" s="261" t="s">
        <v>26</v>
      </c>
      <c r="D175" s="262" t="s">
        <v>89</v>
      </c>
      <c r="E175" s="261" t="s">
        <v>16</v>
      </c>
      <c r="F175" s="262" t="s">
        <v>111</v>
      </c>
      <c r="G175" s="143">
        <v>15</v>
      </c>
      <c r="H175" s="293"/>
      <c r="I175" s="293"/>
      <c r="J175" s="293"/>
      <c r="K175" s="293"/>
      <c r="L175" s="293"/>
      <c r="M175" s="312"/>
      <c r="N175" s="352"/>
      <c r="O175" s="312"/>
      <c r="P175" s="338" t="s">
        <v>447</v>
      </c>
      <c r="Q175" s="411">
        <v>44251</v>
      </c>
    </row>
    <row r="176" spans="1:17" ht="60" x14ac:dyDescent="0.25">
      <c r="A176" s="382"/>
      <c r="B176" s="301"/>
      <c r="C176" s="261" t="s">
        <v>26</v>
      </c>
      <c r="D176" s="262" t="s">
        <v>89</v>
      </c>
      <c r="E176" s="261" t="s">
        <v>10</v>
      </c>
      <c r="F176" s="262" t="s">
        <v>359</v>
      </c>
      <c r="G176" s="143">
        <v>62.5</v>
      </c>
      <c r="H176" s="294"/>
      <c r="I176" s="294"/>
      <c r="J176" s="294"/>
      <c r="K176" s="294"/>
      <c r="L176" s="294"/>
      <c r="M176" s="312"/>
      <c r="N176" s="352"/>
      <c r="O176" s="312"/>
      <c r="P176" s="338"/>
      <c r="Q176" s="412"/>
    </row>
    <row r="177" spans="1:17" ht="15" customHeight="1" x14ac:dyDescent="0.25">
      <c r="A177" s="416" t="s">
        <v>216</v>
      </c>
      <c r="B177" s="299">
        <v>63</v>
      </c>
      <c r="C177" s="261" t="s">
        <v>26</v>
      </c>
      <c r="D177" s="262" t="s">
        <v>217</v>
      </c>
      <c r="E177" s="261" t="s">
        <v>10</v>
      </c>
      <c r="F177" s="262" t="s">
        <v>362</v>
      </c>
      <c r="G177" s="143">
        <v>62.5</v>
      </c>
      <c r="H177" s="292"/>
      <c r="I177" s="292"/>
      <c r="J177" s="292"/>
      <c r="K177" s="292"/>
      <c r="L177" s="292"/>
      <c r="M177" s="302" t="s">
        <v>11</v>
      </c>
      <c r="N177" s="353" t="s">
        <v>218</v>
      </c>
      <c r="O177" s="299" t="s">
        <v>219</v>
      </c>
      <c r="P177" s="203"/>
      <c r="Q177" s="375"/>
    </row>
    <row r="178" spans="1:17" ht="60" x14ac:dyDescent="0.25">
      <c r="A178" s="417"/>
      <c r="B178" s="300"/>
      <c r="C178" s="261" t="s">
        <v>8</v>
      </c>
      <c r="D178" s="262" t="s">
        <v>217</v>
      </c>
      <c r="E178" s="261" t="s">
        <v>10</v>
      </c>
      <c r="F178" s="262" t="s">
        <v>359</v>
      </c>
      <c r="G178" s="143">
        <v>-56.8</v>
      </c>
      <c r="H178" s="293"/>
      <c r="I178" s="293"/>
      <c r="J178" s="293"/>
      <c r="K178" s="293"/>
      <c r="L178" s="293"/>
      <c r="M178" s="303"/>
      <c r="N178" s="354"/>
      <c r="O178" s="300"/>
      <c r="P178" s="204"/>
      <c r="Q178" s="317"/>
    </row>
    <row r="179" spans="1:17" s="54" customFormat="1" ht="60" x14ac:dyDescent="0.25">
      <c r="A179" s="417"/>
      <c r="B179" s="300"/>
      <c r="C179" s="261" t="s">
        <v>415</v>
      </c>
      <c r="D179" s="262" t="s">
        <v>217</v>
      </c>
      <c r="E179" s="261" t="s">
        <v>10</v>
      </c>
      <c r="F179" s="262" t="s">
        <v>359</v>
      </c>
      <c r="G179" s="143">
        <v>-5.7</v>
      </c>
      <c r="H179" s="294"/>
      <c r="I179" s="294"/>
      <c r="J179" s="294"/>
      <c r="K179" s="294"/>
      <c r="L179" s="294"/>
      <c r="M179" s="304"/>
      <c r="N179" s="355"/>
      <c r="O179" s="301"/>
      <c r="P179" s="205"/>
      <c r="Q179" s="318"/>
    </row>
    <row r="180" spans="1:17" ht="15" customHeight="1" x14ac:dyDescent="0.25">
      <c r="A180" s="417"/>
      <c r="B180" s="300"/>
      <c r="C180" s="261" t="s">
        <v>8</v>
      </c>
      <c r="D180" s="262" t="s">
        <v>156</v>
      </c>
      <c r="E180" s="261" t="s">
        <v>16</v>
      </c>
      <c r="F180" s="262" t="s">
        <v>111</v>
      </c>
      <c r="G180" s="143">
        <v>17.037134999999999</v>
      </c>
      <c r="H180" s="292"/>
      <c r="I180" s="292"/>
      <c r="J180" s="292"/>
      <c r="K180" s="292"/>
      <c r="L180" s="292"/>
      <c r="M180" s="302" t="s">
        <v>11</v>
      </c>
      <c r="N180" s="353" t="s">
        <v>220</v>
      </c>
      <c r="O180" s="342" t="s">
        <v>475</v>
      </c>
      <c r="P180" s="345" t="s">
        <v>530</v>
      </c>
      <c r="Q180" s="411">
        <v>44255</v>
      </c>
    </row>
    <row r="181" spans="1:17" ht="60" x14ac:dyDescent="0.25">
      <c r="A181" s="417"/>
      <c r="B181" s="300"/>
      <c r="C181" s="261" t="s">
        <v>8</v>
      </c>
      <c r="D181" s="262" t="s">
        <v>156</v>
      </c>
      <c r="E181" s="261" t="s">
        <v>10</v>
      </c>
      <c r="F181" s="262" t="s">
        <v>359</v>
      </c>
      <c r="G181" s="143">
        <v>21.102865000000001</v>
      </c>
      <c r="H181" s="293"/>
      <c r="I181" s="293"/>
      <c r="J181" s="293"/>
      <c r="K181" s="293"/>
      <c r="L181" s="293"/>
      <c r="M181" s="303"/>
      <c r="N181" s="354"/>
      <c r="O181" s="343"/>
      <c r="P181" s="346"/>
      <c r="Q181" s="412"/>
    </row>
    <row r="182" spans="1:17" s="54" customFormat="1" x14ac:dyDescent="0.25">
      <c r="A182" s="417"/>
      <c r="B182" s="300"/>
      <c r="C182" s="261" t="s">
        <v>415</v>
      </c>
      <c r="D182" s="262" t="s">
        <v>156</v>
      </c>
      <c r="E182" s="261" t="s">
        <v>16</v>
      </c>
      <c r="F182" s="262" t="s">
        <v>111</v>
      </c>
      <c r="G182" s="143">
        <v>4.5599999999999996</v>
      </c>
      <c r="H182" s="294"/>
      <c r="I182" s="294"/>
      <c r="J182" s="294"/>
      <c r="K182" s="294"/>
      <c r="L182" s="294"/>
      <c r="M182" s="303"/>
      <c r="N182" s="354"/>
      <c r="O182" s="343"/>
      <c r="P182" s="347"/>
      <c r="Q182" s="412"/>
    </row>
    <row r="183" spans="1:17" ht="60" x14ac:dyDescent="0.25">
      <c r="A183" s="417"/>
      <c r="B183" s="300"/>
      <c r="C183" s="261" t="s">
        <v>8</v>
      </c>
      <c r="D183" s="262" t="s">
        <v>68</v>
      </c>
      <c r="E183" s="261" t="s">
        <v>10</v>
      </c>
      <c r="F183" s="262" t="s">
        <v>359</v>
      </c>
      <c r="G183" s="143">
        <v>9.5180000000000007</v>
      </c>
      <c r="H183" s="292"/>
      <c r="I183" s="292"/>
      <c r="J183" s="292"/>
      <c r="K183" s="292"/>
      <c r="L183" s="292"/>
      <c r="M183" s="303"/>
      <c r="N183" s="354"/>
      <c r="O183" s="343"/>
      <c r="P183" s="345" t="s">
        <v>468</v>
      </c>
      <c r="Q183" s="413">
        <v>44255</v>
      </c>
    </row>
    <row r="184" spans="1:17" ht="30" x14ac:dyDescent="0.25">
      <c r="A184" s="417"/>
      <c r="B184" s="300"/>
      <c r="C184" s="261" t="s">
        <v>415</v>
      </c>
      <c r="D184" s="262" t="s">
        <v>68</v>
      </c>
      <c r="E184" s="261" t="s">
        <v>16</v>
      </c>
      <c r="F184" s="262" t="s">
        <v>111</v>
      </c>
      <c r="G184" s="143">
        <v>1.1399999999999999</v>
      </c>
      <c r="H184" s="294"/>
      <c r="I184" s="294"/>
      <c r="J184" s="294"/>
      <c r="K184" s="294"/>
      <c r="L184" s="294"/>
      <c r="M184" s="303"/>
      <c r="N184" s="354"/>
      <c r="O184" s="343"/>
      <c r="P184" s="347"/>
      <c r="Q184" s="414"/>
    </row>
    <row r="185" spans="1:17" s="54" customFormat="1" ht="30" x14ac:dyDescent="0.25">
      <c r="A185" s="417"/>
      <c r="B185" s="300"/>
      <c r="C185" s="261" t="s">
        <v>8</v>
      </c>
      <c r="D185" s="262" t="s">
        <v>158</v>
      </c>
      <c r="E185" s="261" t="s">
        <v>16</v>
      </c>
      <c r="F185" s="262" t="s">
        <v>111</v>
      </c>
      <c r="G185" s="143">
        <v>6.992</v>
      </c>
      <c r="H185" s="292"/>
      <c r="I185" s="292"/>
      <c r="J185" s="292"/>
      <c r="K185" s="292"/>
      <c r="L185" s="292"/>
      <c r="M185" s="303"/>
      <c r="N185" s="354"/>
      <c r="O185" s="343"/>
      <c r="P185" s="345" t="s">
        <v>592</v>
      </c>
      <c r="Q185" s="413">
        <v>44255</v>
      </c>
    </row>
    <row r="186" spans="1:17" ht="60" x14ac:dyDescent="0.25">
      <c r="A186" s="417"/>
      <c r="B186" s="300"/>
      <c r="C186" s="261" t="s">
        <v>8</v>
      </c>
      <c r="D186" s="262" t="s">
        <v>158</v>
      </c>
      <c r="E186" s="261" t="s">
        <v>10</v>
      </c>
      <c r="F186" s="262" t="s">
        <v>359</v>
      </c>
      <c r="G186" s="143">
        <v>2.15</v>
      </c>
      <c r="H186" s="293"/>
      <c r="I186" s="293"/>
      <c r="J186" s="293"/>
      <c r="K186" s="293"/>
      <c r="L186" s="293"/>
      <c r="M186" s="303"/>
      <c r="N186" s="354"/>
      <c r="O186" s="343"/>
      <c r="P186" s="346"/>
      <c r="Q186" s="428"/>
    </row>
    <row r="187" spans="1:17" s="54" customFormat="1" ht="30" x14ac:dyDescent="0.25">
      <c r="A187" s="417"/>
      <c r="B187" s="300"/>
      <c r="C187" s="261" t="s">
        <v>415</v>
      </c>
      <c r="D187" s="262" t="s">
        <v>158</v>
      </c>
      <c r="E187" s="261" t="s">
        <v>16</v>
      </c>
      <c r="F187" s="262" t="s">
        <v>111</v>
      </c>
      <c r="G187" s="143">
        <v>1.65</v>
      </c>
      <c r="H187" s="293"/>
      <c r="I187" s="293"/>
      <c r="J187" s="293"/>
      <c r="K187" s="293"/>
      <c r="L187" s="293"/>
      <c r="M187" s="303"/>
      <c r="N187" s="354"/>
      <c r="O187" s="343"/>
      <c r="P187" s="346"/>
      <c r="Q187" s="428"/>
    </row>
    <row r="188" spans="1:17" s="54" customFormat="1" ht="60" x14ac:dyDescent="0.25">
      <c r="A188" s="418"/>
      <c r="B188" s="301"/>
      <c r="C188" s="261" t="s">
        <v>415</v>
      </c>
      <c r="D188" s="262" t="s">
        <v>158</v>
      </c>
      <c r="E188" s="261" t="s">
        <v>10</v>
      </c>
      <c r="F188" s="262" t="s">
        <v>359</v>
      </c>
      <c r="G188" s="143">
        <v>-1.65</v>
      </c>
      <c r="H188" s="294"/>
      <c r="I188" s="294"/>
      <c r="J188" s="294"/>
      <c r="K188" s="294"/>
      <c r="L188" s="294"/>
      <c r="M188" s="304"/>
      <c r="N188" s="355"/>
      <c r="O188" s="344"/>
      <c r="P188" s="347"/>
      <c r="Q188" s="414"/>
    </row>
    <row r="189" spans="1:17" ht="60" x14ac:dyDescent="0.25">
      <c r="A189" s="319" t="s">
        <v>215</v>
      </c>
      <c r="B189" s="299">
        <v>469</v>
      </c>
      <c r="C189" s="261" t="s">
        <v>26</v>
      </c>
      <c r="D189" s="262" t="s">
        <v>217</v>
      </c>
      <c r="E189" s="261" t="s">
        <v>10</v>
      </c>
      <c r="F189" s="262" t="s">
        <v>359</v>
      </c>
      <c r="G189" s="143">
        <v>469.4</v>
      </c>
      <c r="H189" s="261" t="s">
        <v>511</v>
      </c>
      <c r="I189" s="262" t="s">
        <v>217</v>
      </c>
      <c r="J189" s="261" t="s">
        <v>16</v>
      </c>
      <c r="K189" s="262" t="s">
        <v>111</v>
      </c>
      <c r="L189" s="143">
        <v>140.53292500000001</v>
      </c>
      <c r="M189" s="302" t="s">
        <v>11</v>
      </c>
      <c r="N189" s="353" t="s">
        <v>218</v>
      </c>
      <c r="O189" s="352" t="s">
        <v>475</v>
      </c>
      <c r="P189" s="357" t="s">
        <v>554</v>
      </c>
      <c r="Q189" s="316">
        <v>44255</v>
      </c>
    </row>
    <row r="190" spans="1:17" s="54" customFormat="1" x14ac:dyDescent="0.25">
      <c r="A190" s="320"/>
      <c r="B190" s="300"/>
      <c r="C190" s="261" t="s">
        <v>415</v>
      </c>
      <c r="D190" s="262" t="s">
        <v>217</v>
      </c>
      <c r="E190" s="261" t="s">
        <v>16</v>
      </c>
      <c r="F190" s="254" t="s">
        <v>111</v>
      </c>
      <c r="G190" s="143">
        <f>1.109394+3.5</f>
        <v>4.609394</v>
      </c>
      <c r="H190" s="302" t="s">
        <v>511</v>
      </c>
      <c r="I190" s="299" t="s">
        <v>217</v>
      </c>
      <c r="J190" s="302" t="s">
        <v>10</v>
      </c>
      <c r="K190" s="299"/>
      <c r="L190" s="438">
        <v>0.47070499999999998</v>
      </c>
      <c r="M190" s="303"/>
      <c r="N190" s="354"/>
      <c r="O190" s="352"/>
      <c r="P190" s="358"/>
      <c r="Q190" s="317"/>
    </row>
    <row r="191" spans="1:17" s="54" customFormat="1" ht="60" x14ac:dyDescent="0.25">
      <c r="A191" s="321"/>
      <c r="B191" s="301"/>
      <c r="C191" s="261" t="s">
        <v>415</v>
      </c>
      <c r="D191" s="262" t="s">
        <v>217</v>
      </c>
      <c r="E191" s="261" t="s">
        <v>10</v>
      </c>
      <c r="F191" s="262" t="s">
        <v>359</v>
      </c>
      <c r="G191" s="143">
        <v>-334.04422499999998</v>
      </c>
      <c r="H191" s="304"/>
      <c r="I191" s="301"/>
      <c r="J191" s="304"/>
      <c r="K191" s="301"/>
      <c r="L191" s="439"/>
      <c r="M191" s="304"/>
      <c r="N191" s="355"/>
      <c r="O191" s="352"/>
      <c r="P191" s="359"/>
      <c r="Q191" s="318"/>
    </row>
    <row r="192" spans="1:17" ht="60" x14ac:dyDescent="0.25">
      <c r="A192" s="382" t="s">
        <v>221</v>
      </c>
      <c r="B192" s="299">
        <v>450</v>
      </c>
      <c r="C192" s="261" t="s">
        <v>8</v>
      </c>
      <c r="D192" s="262" t="s">
        <v>222</v>
      </c>
      <c r="E192" s="261" t="s">
        <v>10</v>
      </c>
      <c r="F192" s="262" t="s">
        <v>359</v>
      </c>
      <c r="G192" s="143">
        <v>325</v>
      </c>
      <c r="H192" s="292"/>
      <c r="I192" s="292"/>
      <c r="J192" s="292"/>
      <c r="K192" s="292"/>
      <c r="L192" s="292"/>
      <c r="M192" s="311" t="s">
        <v>11</v>
      </c>
      <c r="N192" s="337" t="s">
        <v>223</v>
      </c>
      <c r="O192" s="352" t="s">
        <v>475</v>
      </c>
      <c r="P192" s="378" t="s">
        <v>605</v>
      </c>
      <c r="Q192" s="348">
        <v>44255</v>
      </c>
    </row>
    <row r="193" spans="1:17" ht="30" x14ac:dyDescent="0.25">
      <c r="A193" s="382"/>
      <c r="B193" s="301"/>
      <c r="C193" s="261" t="s">
        <v>8</v>
      </c>
      <c r="D193" s="262" t="s">
        <v>222</v>
      </c>
      <c r="E193" s="261" t="s">
        <v>16</v>
      </c>
      <c r="F193" s="262" t="s">
        <v>111</v>
      </c>
      <c r="G193" s="143">
        <v>125</v>
      </c>
      <c r="H193" s="294"/>
      <c r="I193" s="294"/>
      <c r="J193" s="294"/>
      <c r="K193" s="294"/>
      <c r="L193" s="294"/>
      <c r="M193" s="311"/>
      <c r="N193" s="337"/>
      <c r="O193" s="352"/>
      <c r="P193" s="378"/>
      <c r="Q193" s="349"/>
    </row>
    <row r="194" spans="1:17" ht="60" x14ac:dyDescent="0.25">
      <c r="A194" s="382" t="s">
        <v>224</v>
      </c>
      <c r="B194" s="299">
        <v>2</v>
      </c>
      <c r="C194" s="261" t="s">
        <v>8</v>
      </c>
      <c r="D194" s="261" t="s">
        <v>225</v>
      </c>
      <c r="E194" s="261" t="s">
        <v>10</v>
      </c>
      <c r="F194" s="262" t="s">
        <v>359</v>
      </c>
      <c r="G194" s="143">
        <v>1.7242409999999999</v>
      </c>
      <c r="H194" s="292"/>
      <c r="I194" s="292"/>
      <c r="J194" s="292"/>
      <c r="K194" s="292"/>
      <c r="L194" s="292"/>
      <c r="M194" s="311" t="s">
        <v>11</v>
      </c>
      <c r="N194" s="337" t="s">
        <v>31</v>
      </c>
      <c r="O194" s="342" t="s">
        <v>475</v>
      </c>
      <c r="P194" s="415" t="s">
        <v>607</v>
      </c>
      <c r="Q194" s="316">
        <v>44255</v>
      </c>
    </row>
    <row r="195" spans="1:17" s="54" customFormat="1" x14ac:dyDescent="0.25">
      <c r="A195" s="382"/>
      <c r="B195" s="300"/>
      <c r="C195" s="261" t="s">
        <v>8</v>
      </c>
      <c r="D195" s="261" t="s">
        <v>225</v>
      </c>
      <c r="E195" s="261" t="s">
        <v>16</v>
      </c>
      <c r="F195" s="262" t="s">
        <v>111</v>
      </c>
      <c r="G195" s="143">
        <v>0.83208300000000002</v>
      </c>
      <c r="H195" s="293"/>
      <c r="I195" s="293"/>
      <c r="J195" s="293"/>
      <c r="K195" s="293"/>
      <c r="L195" s="293"/>
      <c r="M195" s="311"/>
      <c r="N195" s="337"/>
      <c r="O195" s="343"/>
      <c r="P195" s="415"/>
      <c r="Q195" s="335"/>
    </row>
    <row r="196" spans="1:17" s="54" customFormat="1" ht="60" x14ac:dyDescent="0.25">
      <c r="A196" s="382"/>
      <c r="B196" s="300"/>
      <c r="C196" s="261" t="s">
        <v>415</v>
      </c>
      <c r="D196" s="261" t="s">
        <v>225</v>
      </c>
      <c r="E196" s="261" t="s">
        <v>10</v>
      </c>
      <c r="F196" s="262" t="s">
        <v>359</v>
      </c>
      <c r="G196" s="163">
        <v>-0.24385399999999999</v>
      </c>
      <c r="H196" s="293"/>
      <c r="I196" s="293"/>
      <c r="J196" s="293"/>
      <c r="K196" s="293"/>
      <c r="L196" s="293"/>
      <c r="M196" s="311"/>
      <c r="N196" s="337"/>
      <c r="O196" s="343"/>
      <c r="P196" s="415"/>
      <c r="Q196" s="335"/>
    </row>
    <row r="197" spans="1:17" x14ac:dyDescent="0.25">
      <c r="A197" s="382"/>
      <c r="B197" s="301"/>
      <c r="C197" s="257" t="s">
        <v>415</v>
      </c>
      <c r="D197" s="261" t="s">
        <v>225</v>
      </c>
      <c r="E197" s="257" t="s">
        <v>16</v>
      </c>
      <c r="F197" s="254" t="s">
        <v>111</v>
      </c>
      <c r="G197" s="164">
        <v>0.24385399999999999</v>
      </c>
      <c r="H197" s="294"/>
      <c r="I197" s="294"/>
      <c r="J197" s="294"/>
      <c r="K197" s="294"/>
      <c r="L197" s="294"/>
      <c r="M197" s="311"/>
      <c r="N197" s="337"/>
      <c r="O197" s="344"/>
      <c r="P197" s="378"/>
      <c r="Q197" s="336"/>
    </row>
    <row r="198" spans="1:17" ht="45" x14ac:dyDescent="0.25">
      <c r="A198" s="279" t="s">
        <v>226</v>
      </c>
      <c r="B198" s="81">
        <v>320</v>
      </c>
      <c r="C198" s="261" t="s">
        <v>415</v>
      </c>
      <c r="D198" s="261" t="s">
        <v>14</v>
      </c>
      <c r="E198" s="261" t="s">
        <v>10</v>
      </c>
      <c r="F198" s="262" t="s">
        <v>440</v>
      </c>
      <c r="G198" s="149">
        <v>320</v>
      </c>
      <c r="H198" s="261"/>
      <c r="I198" s="261"/>
      <c r="J198" s="261"/>
      <c r="K198" s="262"/>
      <c r="L198" s="149"/>
      <c r="M198" s="261" t="s">
        <v>11</v>
      </c>
      <c r="N198" s="268" t="s">
        <v>15</v>
      </c>
      <c r="O198" s="274" t="s">
        <v>475</v>
      </c>
      <c r="P198" s="278" t="s">
        <v>442</v>
      </c>
      <c r="Q198" s="271">
        <v>44255</v>
      </c>
    </row>
    <row r="199" spans="1:17" ht="30" customHeight="1" x14ac:dyDescent="0.25">
      <c r="A199" s="382" t="s">
        <v>227</v>
      </c>
      <c r="B199" s="299">
        <v>99</v>
      </c>
      <c r="C199" s="261" t="s">
        <v>8</v>
      </c>
      <c r="D199" s="262" t="s">
        <v>153</v>
      </c>
      <c r="E199" s="261" t="s">
        <v>16</v>
      </c>
      <c r="F199" s="262" t="s">
        <v>111</v>
      </c>
      <c r="G199" s="149">
        <v>9.7100000000000009</v>
      </c>
      <c r="H199" s="292"/>
      <c r="I199" s="292"/>
      <c r="J199" s="292"/>
      <c r="K199" s="292"/>
      <c r="L199" s="292"/>
      <c r="M199" s="302" t="s">
        <v>11</v>
      </c>
      <c r="N199" s="353" t="s">
        <v>163</v>
      </c>
      <c r="O199" s="342" t="s">
        <v>475</v>
      </c>
      <c r="P199" s="357" t="s">
        <v>476</v>
      </c>
      <c r="Q199" s="316">
        <v>44255</v>
      </c>
    </row>
    <row r="200" spans="1:17" ht="30" x14ac:dyDescent="0.25">
      <c r="A200" s="382"/>
      <c r="B200" s="300"/>
      <c r="C200" s="261" t="s">
        <v>8</v>
      </c>
      <c r="D200" s="261" t="s">
        <v>153</v>
      </c>
      <c r="E200" s="261" t="s">
        <v>10</v>
      </c>
      <c r="F200" s="262" t="s">
        <v>361</v>
      </c>
      <c r="G200" s="149">
        <v>87.39</v>
      </c>
      <c r="H200" s="293"/>
      <c r="I200" s="293"/>
      <c r="J200" s="293"/>
      <c r="K200" s="293"/>
      <c r="L200" s="293"/>
      <c r="M200" s="303"/>
      <c r="N200" s="354"/>
      <c r="O200" s="343"/>
      <c r="P200" s="358"/>
      <c r="Q200" s="335"/>
    </row>
    <row r="201" spans="1:17" s="54" customFormat="1" ht="30" x14ac:dyDescent="0.25">
      <c r="A201" s="382"/>
      <c r="B201" s="300"/>
      <c r="C201" s="261" t="s">
        <v>415</v>
      </c>
      <c r="D201" s="261" t="s">
        <v>153</v>
      </c>
      <c r="E201" s="261" t="s">
        <v>10</v>
      </c>
      <c r="F201" s="262" t="s">
        <v>361</v>
      </c>
      <c r="G201" s="149">
        <v>-2.678509</v>
      </c>
      <c r="H201" s="293"/>
      <c r="I201" s="293"/>
      <c r="J201" s="293"/>
      <c r="K201" s="293"/>
      <c r="L201" s="293"/>
      <c r="M201" s="303"/>
      <c r="N201" s="354"/>
      <c r="O201" s="343"/>
      <c r="P201" s="358"/>
      <c r="Q201" s="335"/>
    </row>
    <row r="202" spans="1:17" s="54" customFormat="1" x14ac:dyDescent="0.25">
      <c r="A202" s="382"/>
      <c r="B202" s="300"/>
      <c r="C202" s="261" t="s">
        <v>415</v>
      </c>
      <c r="D202" s="261" t="s">
        <v>153</v>
      </c>
      <c r="E202" s="261" t="s">
        <v>16</v>
      </c>
      <c r="F202" s="262" t="s">
        <v>111</v>
      </c>
      <c r="G202" s="149">
        <v>2.678509</v>
      </c>
      <c r="H202" s="294"/>
      <c r="I202" s="294"/>
      <c r="J202" s="294"/>
      <c r="K202" s="294"/>
      <c r="L202" s="294"/>
      <c r="M202" s="304"/>
      <c r="N202" s="355"/>
      <c r="O202" s="344"/>
      <c r="P202" s="359"/>
      <c r="Q202" s="336"/>
    </row>
    <row r="203" spans="1:17" ht="30" x14ac:dyDescent="0.25">
      <c r="A203" s="382"/>
      <c r="B203" s="301"/>
      <c r="C203" s="261" t="s">
        <v>8</v>
      </c>
      <c r="D203" s="261" t="s">
        <v>91</v>
      </c>
      <c r="E203" s="261" t="s">
        <v>10</v>
      </c>
      <c r="F203" s="262" t="s">
        <v>361</v>
      </c>
      <c r="G203" s="149">
        <v>2.4</v>
      </c>
      <c r="H203" s="261"/>
      <c r="I203" s="261"/>
      <c r="J203" s="261"/>
      <c r="K203" s="262"/>
      <c r="L203" s="149"/>
      <c r="M203" s="261" t="s">
        <v>11</v>
      </c>
      <c r="N203" s="268" t="s">
        <v>92</v>
      </c>
      <c r="O203" s="262" t="s">
        <v>19</v>
      </c>
      <c r="P203" s="278" t="s">
        <v>387</v>
      </c>
      <c r="Q203" s="271">
        <v>44255</v>
      </c>
    </row>
    <row r="204" spans="1:17" ht="28.5" customHeight="1" x14ac:dyDescent="0.25">
      <c r="A204" s="319" t="s">
        <v>228</v>
      </c>
      <c r="B204" s="299">
        <v>130</v>
      </c>
      <c r="C204" s="261" t="s">
        <v>8</v>
      </c>
      <c r="D204" s="261" t="s">
        <v>153</v>
      </c>
      <c r="E204" s="261" t="s">
        <v>10</v>
      </c>
      <c r="F204" s="262" t="s">
        <v>361</v>
      </c>
      <c r="G204" s="149">
        <v>60.2</v>
      </c>
      <c r="H204" s="261" t="s">
        <v>511</v>
      </c>
      <c r="I204" s="261" t="s">
        <v>153</v>
      </c>
      <c r="J204" s="261" t="s">
        <v>16</v>
      </c>
      <c r="K204" s="262" t="s">
        <v>111</v>
      </c>
      <c r="L204" s="227">
        <v>0.35827100000000001</v>
      </c>
      <c r="M204" s="311" t="s">
        <v>11</v>
      </c>
      <c r="N204" s="337" t="s">
        <v>163</v>
      </c>
      <c r="O204" s="352" t="s">
        <v>475</v>
      </c>
      <c r="P204" s="442" t="s">
        <v>477</v>
      </c>
      <c r="Q204" s="348">
        <v>44255</v>
      </c>
    </row>
    <row r="205" spans="1:17" s="54" customFormat="1" ht="30" x14ac:dyDescent="0.25">
      <c r="A205" s="320"/>
      <c r="B205" s="300"/>
      <c r="C205" s="261" t="s">
        <v>415</v>
      </c>
      <c r="D205" s="261" t="s">
        <v>153</v>
      </c>
      <c r="E205" s="261" t="s">
        <v>10</v>
      </c>
      <c r="F205" s="262" t="s">
        <v>361</v>
      </c>
      <c r="G205" s="149">
        <v>-25.508465999999999</v>
      </c>
      <c r="H205" s="302" t="s">
        <v>511</v>
      </c>
      <c r="I205" s="302" t="s">
        <v>153</v>
      </c>
      <c r="J205" s="302" t="s">
        <v>10</v>
      </c>
      <c r="K205" s="299"/>
      <c r="L205" s="406">
        <v>4.1729000000000002E-2</v>
      </c>
      <c r="M205" s="311"/>
      <c r="N205" s="337"/>
      <c r="O205" s="352"/>
      <c r="P205" s="442"/>
      <c r="Q205" s="348"/>
    </row>
    <row r="206" spans="1:17" s="54" customFormat="1" x14ac:dyDescent="0.25">
      <c r="A206" s="320"/>
      <c r="B206" s="300"/>
      <c r="C206" s="261" t="s">
        <v>415</v>
      </c>
      <c r="D206" s="261" t="s">
        <v>153</v>
      </c>
      <c r="E206" s="261" t="s">
        <v>16</v>
      </c>
      <c r="F206" s="262" t="s">
        <v>111</v>
      </c>
      <c r="G206" s="148">
        <v>21.287790000000001</v>
      </c>
      <c r="H206" s="304"/>
      <c r="I206" s="304"/>
      <c r="J206" s="304"/>
      <c r="K206" s="301"/>
      <c r="L206" s="407"/>
      <c r="M206" s="311"/>
      <c r="N206" s="337"/>
      <c r="O206" s="352"/>
      <c r="P206" s="442"/>
      <c r="Q206" s="348"/>
    </row>
    <row r="207" spans="1:17" s="54" customFormat="1" ht="30" x14ac:dyDescent="0.25">
      <c r="A207" s="321"/>
      <c r="B207" s="301"/>
      <c r="C207" s="257" t="s">
        <v>42</v>
      </c>
      <c r="D207" s="262" t="s">
        <v>35</v>
      </c>
      <c r="E207" s="257" t="s">
        <v>111</v>
      </c>
      <c r="F207" s="254" t="s">
        <v>111</v>
      </c>
      <c r="G207" s="143" t="s">
        <v>111</v>
      </c>
      <c r="H207" s="261" t="s">
        <v>511</v>
      </c>
      <c r="I207" s="262" t="s">
        <v>35</v>
      </c>
      <c r="J207" s="261" t="s">
        <v>16</v>
      </c>
      <c r="K207" s="262" t="s">
        <v>111</v>
      </c>
      <c r="L207" s="149">
        <v>91.898832999999996</v>
      </c>
      <c r="M207" s="261" t="s">
        <v>377</v>
      </c>
      <c r="N207" s="289"/>
      <c r="O207" s="287"/>
      <c r="P207" s="288"/>
      <c r="Q207" s="209"/>
    </row>
    <row r="208" spans="1:17" ht="30" x14ac:dyDescent="0.25">
      <c r="A208" s="279" t="s">
        <v>229</v>
      </c>
      <c r="B208" s="92">
        <v>5515</v>
      </c>
      <c r="C208" s="261" t="s">
        <v>42</v>
      </c>
      <c r="D208" s="261" t="s">
        <v>141</v>
      </c>
      <c r="E208" s="261" t="s">
        <v>111</v>
      </c>
      <c r="F208" s="262" t="s">
        <v>358</v>
      </c>
      <c r="G208" s="143" t="s">
        <v>111</v>
      </c>
      <c r="H208" s="261"/>
      <c r="I208" s="261"/>
      <c r="J208" s="261"/>
      <c r="K208" s="262"/>
      <c r="L208" s="143"/>
      <c r="M208" s="261" t="s">
        <v>11</v>
      </c>
      <c r="N208" s="268" t="s">
        <v>166</v>
      </c>
      <c r="O208" s="262" t="s">
        <v>19</v>
      </c>
      <c r="P208" s="278" t="s">
        <v>126</v>
      </c>
      <c r="Q208" s="272"/>
    </row>
    <row r="209" spans="1:17" ht="30" x14ac:dyDescent="0.25">
      <c r="A209" s="279" t="s">
        <v>230</v>
      </c>
      <c r="B209" s="92">
        <v>1997</v>
      </c>
      <c r="C209" s="261" t="s">
        <v>42</v>
      </c>
      <c r="D209" s="261" t="s">
        <v>141</v>
      </c>
      <c r="E209" s="261" t="s">
        <v>111</v>
      </c>
      <c r="F209" s="262" t="s">
        <v>358</v>
      </c>
      <c r="G209" s="143" t="s">
        <v>111</v>
      </c>
      <c r="H209" s="261"/>
      <c r="I209" s="261"/>
      <c r="J209" s="261"/>
      <c r="K209" s="262"/>
      <c r="L209" s="143"/>
      <c r="M209" s="261" t="s">
        <v>11</v>
      </c>
      <c r="N209" s="268" t="s">
        <v>166</v>
      </c>
      <c r="O209" s="262" t="s">
        <v>19</v>
      </c>
      <c r="P209" s="278" t="s">
        <v>126</v>
      </c>
      <c r="Q209" s="272"/>
    </row>
    <row r="210" spans="1:17" ht="45" x14ac:dyDescent="0.25">
      <c r="A210" s="279" t="s">
        <v>231</v>
      </c>
      <c r="B210" s="92">
        <f>2509-54</f>
        <v>2455</v>
      </c>
      <c r="C210" s="261" t="s">
        <v>26</v>
      </c>
      <c r="D210" s="262" t="s">
        <v>35</v>
      </c>
      <c r="E210" s="261" t="s">
        <v>10</v>
      </c>
      <c r="F210" s="262" t="s">
        <v>358</v>
      </c>
      <c r="G210" s="143">
        <v>2501.3000000000002</v>
      </c>
      <c r="H210" s="261"/>
      <c r="I210" s="262"/>
      <c r="J210" s="261"/>
      <c r="K210" s="262"/>
      <c r="L210" s="143"/>
      <c r="M210" s="261" t="s">
        <v>11</v>
      </c>
      <c r="N210" s="268" t="s">
        <v>232</v>
      </c>
      <c r="O210" s="274" t="s">
        <v>475</v>
      </c>
      <c r="P210" s="269" t="s">
        <v>552</v>
      </c>
      <c r="Q210" s="271">
        <v>44255</v>
      </c>
    </row>
    <row r="211" spans="1:17" ht="30" x14ac:dyDescent="0.25">
      <c r="A211" s="319" t="s">
        <v>233</v>
      </c>
      <c r="B211" s="299">
        <f>292+572</f>
        <v>864</v>
      </c>
      <c r="C211" s="261" t="s">
        <v>8</v>
      </c>
      <c r="D211" s="262" t="s">
        <v>35</v>
      </c>
      <c r="E211" s="261" t="s">
        <v>10</v>
      </c>
      <c r="F211" s="262" t="s">
        <v>361</v>
      </c>
      <c r="G211" s="143">
        <v>15</v>
      </c>
      <c r="H211" s="302" t="s">
        <v>511</v>
      </c>
      <c r="I211" s="419" t="s">
        <v>35</v>
      </c>
      <c r="J211" s="302" t="s">
        <v>10</v>
      </c>
      <c r="K211" s="419" t="s">
        <v>365</v>
      </c>
      <c r="L211" s="292">
        <v>11.340664</v>
      </c>
      <c r="M211" s="302" t="s">
        <v>11</v>
      </c>
      <c r="N211" s="353" t="s">
        <v>36</v>
      </c>
      <c r="O211" s="352" t="s">
        <v>475</v>
      </c>
      <c r="P211" s="357" t="s">
        <v>553</v>
      </c>
      <c r="Q211" s="316">
        <v>44255</v>
      </c>
    </row>
    <row r="212" spans="1:17" ht="30" x14ac:dyDescent="0.25">
      <c r="A212" s="320"/>
      <c r="B212" s="300"/>
      <c r="C212" s="261" t="s">
        <v>8</v>
      </c>
      <c r="D212" s="262" t="s">
        <v>35</v>
      </c>
      <c r="E212" s="261" t="s">
        <v>10</v>
      </c>
      <c r="F212" s="262" t="s">
        <v>365</v>
      </c>
      <c r="G212" s="143">
        <v>848.6</v>
      </c>
      <c r="H212" s="303"/>
      <c r="I212" s="420"/>
      <c r="J212" s="303"/>
      <c r="K212" s="420"/>
      <c r="L212" s="293"/>
      <c r="M212" s="303"/>
      <c r="N212" s="354"/>
      <c r="O212" s="352"/>
      <c r="P212" s="358"/>
      <c r="Q212" s="335"/>
    </row>
    <row r="213" spans="1:17" s="54" customFormat="1" ht="30" x14ac:dyDescent="0.25">
      <c r="A213" s="320"/>
      <c r="B213" s="300"/>
      <c r="C213" s="261" t="s">
        <v>415</v>
      </c>
      <c r="D213" s="262" t="s">
        <v>35</v>
      </c>
      <c r="E213" s="261" t="s">
        <v>10</v>
      </c>
      <c r="F213" s="262" t="s">
        <v>365</v>
      </c>
      <c r="G213" s="163">
        <v>0.395866</v>
      </c>
      <c r="H213" s="304"/>
      <c r="I213" s="421"/>
      <c r="J213" s="304"/>
      <c r="K213" s="421"/>
      <c r="L213" s="294"/>
      <c r="M213" s="304"/>
      <c r="N213" s="355"/>
      <c r="O213" s="352"/>
      <c r="P213" s="359"/>
      <c r="Q213" s="336"/>
    </row>
    <row r="214" spans="1:17" s="54" customFormat="1" ht="45" x14ac:dyDescent="0.25">
      <c r="A214" s="321"/>
      <c r="B214" s="301"/>
      <c r="C214" s="261" t="s">
        <v>42</v>
      </c>
      <c r="D214" s="262" t="s">
        <v>141</v>
      </c>
      <c r="E214" s="261" t="s">
        <v>111</v>
      </c>
      <c r="F214" s="262" t="s">
        <v>111</v>
      </c>
      <c r="G214" s="163" t="s">
        <v>111</v>
      </c>
      <c r="H214" s="261"/>
      <c r="I214" s="262"/>
      <c r="J214" s="261"/>
      <c r="K214" s="262"/>
      <c r="L214" s="163"/>
      <c r="M214" s="258" t="s">
        <v>443</v>
      </c>
      <c r="N214" s="282" t="s">
        <v>111</v>
      </c>
      <c r="O214" s="274" t="s">
        <v>475</v>
      </c>
      <c r="P214" s="277" t="s">
        <v>534</v>
      </c>
      <c r="Q214" s="267">
        <v>44255</v>
      </c>
    </row>
    <row r="215" spans="1:17" x14ac:dyDescent="0.25">
      <c r="A215" s="279" t="s">
        <v>234</v>
      </c>
      <c r="B215" s="81">
        <v>1</v>
      </c>
      <c r="C215" s="261" t="s">
        <v>415</v>
      </c>
      <c r="D215" s="262" t="s">
        <v>251</v>
      </c>
      <c r="E215" s="261" t="s">
        <v>16</v>
      </c>
      <c r="F215" s="262" t="s">
        <v>111</v>
      </c>
      <c r="G215" s="148">
        <v>0.6</v>
      </c>
      <c r="H215" s="261"/>
      <c r="I215" s="262"/>
      <c r="J215" s="261"/>
      <c r="K215" s="262"/>
      <c r="L215" s="148"/>
      <c r="M215" s="261" t="s">
        <v>11</v>
      </c>
      <c r="N215" s="268" t="s">
        <v>252</v>
      </c>
      <c r="O215" s="261" t="s">
        <v>219</v>
      </c>
      <c r="P215" s="278"/>
      <c r="Q215" s="272"/>
    </row>
    <row r="216" spans="1:17" ht="60" x14ac:dyDescent="0.25">
      <c r="A216" s="382" t="s">
        <v>235</v>
      </c>
      <c r="B216" s="322">
        <v>1023</v>
      </c>
      <c r="C216" s="261" t="s">
        <v>26</v>
      </c>
      <c r="D216" s="262" t="s">
        <v>35</v>
      </c>
      <c r="E216" s="261" t="s">
        <v>10</v>
      </c>
      <c r="F216" s="262" t="s">
        <v>363</v>
      </c>
      <c r="G216" s="143">
        <v>728</v>
      </c>
      <c r="H216" s="292"/>
      <c r="I216" s="292"/>
      <c r="J216" s="292"/>
      <c r="K216" s="292"/>
      <c r="L216" s="292"/>
      <c r="M216" s="311" t="s">
        <v>11</v>
      </c>
      <c r="N216" s="337" t="s">
        <v>36</v>
      </c>
      <c r="O216" s="352" t="s">
        <v>475</v>
      </c>
      <c r="P216" s="378" t="s">
        <v>458</v>
      </c>
      <c r="Q216" s="316">
        <v>44255</v>
      </c>
    </row>
    <row r="217" spans="1:17" ht="60" x14ac:dyDescent="0.25">
      <c r="A217" s="382"/>
      <c r="B217" s="300"/>
      <c r="C217" s="261" t="s">
        <v>8</v>
      </c>
      <c r="D217" s="262" t="s">
        <v>35</v>
      </c>
      <c r="E217" s="261" t="s">
        <v>10</v>
      </c>
      <c r="F217" s="262" t="s">
        <v>359</v>
      </c>
      <c r="G217" s="143">
        <v>-269.19883299999998</v>
      </c>
      <c r="H217" s="294"/>
      <c r="I217" s="294"/>
      <c r="J217" s="294"/>
      <c r="K217" s="294"/>
      <c r="L217" s="294"/>
      <c r="M217" s="311"/>
      <c r="N217" s="337"/>
      <c r="O217" s="352"/>
      <c r="P217" s="378"/>
      <c r="Q217" s="336"/>
    </row>
    <row r="218" spans="1:17" ht="60" x14ac:dyDescent="0.25">
      <c r="A218" s="382"/>
      <c r="B218" s="300"/>
      <c r="C218" s="261" t="s">
        <v>8</v>
      </c>
      <c r="D218" s="261" t="s">
        <v>89</v>
      </c>
      <c r="E218" s="261" t="s">
        <v>10</v>
      </c>
      <c r="F218" s="262" t="s">
        <v>359</v>
      </c>
      <c r="G218" s="143">
        <v>5</v>
      </c>
      <c r="H218" s="292"/>
      <c r="I218" s="292"/>
      <c r="J218" s="292"/>
      <c r="K218" s="292"/>
      <c r="L218" s="292"/>
      <c r="M218" s="302" t="s">
        <v>11</v>
      </c>
      <c r="N218" s="353" t="s">
        <v>90</v>
      </c>
      <c r="O218" s="342" t="s">
        <v>475</v>
      </c>
      <c r="P218" s="345" t="s">
        <v>542</v>
      </c>
      <c r="Q218" s="316">
        <v>44255</v>
      </c>
    </row>
    <row r="219" spans="1:17" x14ac:dyDescent="0.25">
      <c r="A219" s="382"/>
      <c r="B219" s="300"/>
      <c r="C219" s="261" t="s">
        <v>8</v>
      </c>
      <c r="D219" s="261" t="s">
        <v>236</v>
      </c>
      <c r="E219" s="261" t="s">
        <v>16</v>
      </c>
      <c r="F219" s="262" t="s">
        <v>111</v>
      </c>
      <c r="G219" s="143">
        <v>4.2</v>
      </c>
      <c r="H219" s="293"/>
      <c r="I219" s="293"/>
      <c r="J219" s="293"/>
      <c r="K219" s="293"/>
      <c r="L219" s="293"/>
      <c r="M219" s="303"/>
      <c r="N219" s="354"/>
      <c r="O219" s="343"/>
      <c r="P219" s="346"/>
      <c r="Q219" s="335"/>
    </row>
    <row r="220" spans="1:17" s="54" customFormat="1" ht="60" x14ac:dyDescent="0.25">
      <c r="A220" s="382"/>
      <c r="B220" s="300"/>
      <c r="C220" s="261" t="s">
        <v>415</v>
      </c>
      <c r="D220" s="261" t="s">
        <v>236</v>
      </c>
      <c r="E220" s="261" t="s">
        <v>10</v>
      </c>
      <c r="F220" s="262" t="s">
        <v>359</v>
      </c>
      <c r="G220" s="143">
        <v>-3.2822070000000001</v>
      </c>
      <c r="H220" s="293"/>
      <c r="I220" s="293"/>
      <c r="J220" s="293"/>
      <c r="K220" s="293"/>
      <c r="L220" s="293"/>
      <c r="M220" s="303"/>
      <c r="N220" s="354"/>
      <c r="O220" s="343"/>
      <c r="P220" s="346"/>
      <c r="Q220" s="335"/>
    </row>
    <row r="221" spans="1:17" s="54" customFormat="1" x14ac:dyDescent="0.25">
      <c r="A221" s="382"/>
      <c r="B221" s="300"/>
      <c r="C221" s="261" t="s">
        <v>415</v>
      </c>
      <c r="D221" s="261" t="s">
        <v>236</v>
      </c>
      <c r="E221" s="261" t="s">
        <v>16</v>
      </c>
      <c r="F221" s="262" t="s">
        <v>111</v>
      </c>
      <c r="G221" s="143">
        <v>3.2822070000000001</v>
      </c>
      <c r="H221" s="294"/>
      <c r="I221" s="294"/>
      <c r="J221" s="294"/>
      <c r="K221" s="294"/>
      <c r="L221" s="294"/>
      <c r="M221" s="304"/>
      <c r="N221" s="355"/>
      <c r="O221" s="344"/>
      <c r="P221" s="347"/>
      <c r="Q221" s="336"/>
    </row>
    <row r="222" spans="1:17" x14ac:dyDescent="0.25">
      <c r="A222" s="382"/>
      <c r="B222" s="300"/>
      <c r="C222" s="261" t="s">
        <v>8</v>
      </c>
      <c r="D222" s="262" t="s">
        <v>173</v>
      </c>
      <c r="E222" s="261" t="s">
        <v>16</v>
      </c>
      <c r="F222" s="262" t="s">
        <v>111</v>
      </c>
      <c r="G222" s="143">
        <v>1.5</v>
      </c>
      <c r="H222" s="292"/>
      <c r="I222" s="292"/>
      <c r="J222" s="292"/>
      <c r="K222" s="292"/>
      <c r="L222" s="292"/>
      <c r="M222" s="302" t="s">
        <v>11</v>
      </c>
      <c r="N222" s="353" t="s">
        <v>184</v>
      </c>
      <c r="O222" s="342" t="s">
        <v>475</v>
      </c>
      <c r="P222" s="357" t="s">
        <v>532</v>
      </c>
      <c r="Q222" s="316">
        <v>44255</v>
      </c>
    </row>
    <row r="223" spans="1:17" ht="60" x14ac:dyDescent="0.25">
      <c r="A223" s="382"/>
      <c r="B223" s="300"/>
      <c r="C223" s="261" t="s">
        <v>8</v>
      </c>
      <c r="D223" s="262" t="s">
        <v>173</v>
      </c>
      <c r="E223" s="261" t="s">
        <v>10</v>
      </c>
      <c r="F223" s="262" t="s">
        <v>359</v>
      </c>
      <c r="G223" s="143">
        <v>2.5</v>
      </c>
      <c r="H223" s="293"/>
      <c r="I223" s="293"/>
      <c r="J223" s="293"/>
      <c r="K223" s="293"/>
      <c r="L223" s="293"/>
      <c r="M223" s="303"/>
      <c r="N223" s="354"/>
      <c r="O223" s="343"/>
      <c r="P223" s="358"/>
      <c r="Q223" s="335"/>
    </row>
    <row r="224" spans="1:17" s="54" customFormat="1" ht="60" x14ac:dyDescent="0.25">
      <c r="A224" s="382"/>
      <c r="B224" s="300"/>
      <c r="C224" s="261" t="s">
        <v>415</v>
      </c>
      <c r="D224" s="262" t="s">
        <v>173</v>
      </c>
      <c r="E224" s="261" t="s">
        <v>10</v>
      </c>
      <c r="F224" s="262" t="s">
        <v>359</v>
      </c>
      <c r="G224" s="143">
        <v>-1.3882749999999999</v>
      </c>
      <c r="H224" s="293"/>
      <c r="I224" s="293"/>
      <c r="J224" s="293"/>
      <c r="K224" s="293"/>
      <c r="L224" s="293"/>
      <c r="M224" s="303"/>
      <c r="N224" s="354"/>
      <c r="O224" s="343"/>
      <c r="P224" s="358"/>
      <c r="Q224" s="335"/>
    </row>
    <row r="225" spans="1:19" s="54" customFormat="1" x14ac:dyDescent="0.25">
      <c r="A225" s="382"/>
      <c r="B225" s="300"/>
      <c r="C225" s="261" t="s">
        <v>415</v>
      </c>
      <c r="D225" s="262" t="s">
        <v>173</v>
      </c>
      <c r="E225" s="261" t="s">
        <v>16</v>
      </c>
      <c r="F225" s="262" t="s">
        <v>111</v>
      </c>
      <c r="G225" s="143">
        <v>1.3882749999999999</v>
      </c>
      <c r="H225" s="294"/>
      <c r="I225" s="294"/>
      <c r="J225" s="294"/>
      <c r="K225" s="294"/>
      <c r="L225" s="294"/>
      <c r="M225" s="304"/>
      <c r="N225" s="355"/>
      <c r="O225" s="344"/>
      <c r="P225" s="359"/>
      <c r="Q225" s="336"/>
    </row>
    <row r="226" spans="1:19" ht="60" x14ac:dyDescent="0.25">
      <c r="A226" s="382"/>
      <c r="B226" s="300"/>
      <c r="C226" s="261" t="s">
        <v>8</v>
      </c>
      <c r="D226" s="261" t="s">
        <v>9</v>
      </c>
      <c r="E226" s="261" t="s">
        <v>10</v>
      </c>
      <c r="F226" s="262" t="s">
        <v>359</v>
      </c>
      <c r="G226" s="143">
        <v>87.5</v>
      </c>
      <c r="H226" s="261"/>
      <c r="I226" s="261"/>
      <c r="J226" s="261"/>
      <c r="K226" s="262"/>
      <c r="L226" s="143"/>
      <c r="M226" s="261" t="s">
        <v>11</v>
      </c>
      <c r="N226" s="268" t="s">
        <v>12</v>
      </c>
      <c r="O226" s="274" t="s">
        <v>475</v>
      </c>
      <c r="P226" s="278" t="s">
        <v>479</v>
      </c>
      <c r="Q226" s="271">
        <v>44255</v>
      </c>
    </row>
    <row r="227" spans="1:19" ht="60" x14ac:dyDescent="0.25">
      <c r="A227" s="382"/>
      <c r="B227" s="300"/>
      <c r="C227" s="261" t="s">
        <v>8</v>
      </c>
      <c r="D227" s="261" t="s">
        <v>197</v>
      </c>
      <c r="E227" s="261" t="s">
        <v>10</v>
      </c>
      <c r="F227" s="262" t="s">
        <v>359</v>
      </c>
      <c r="G227" s="143">
        <v>15</v>
      </c>
      <c r="H227" s="261"/>
      <c r="I227" s="261"/>
      <c r="J227" s="261"/>
      <c r="K227" s="262"/>
      <c r="L227" s="143"/>
      <c r="M227" s="261" t="s">
        <v>11</v>
      </c>
      <c r="N227" s="268" t="s">
        <v>130</v>
      </c>
      <c r="O227" s="274" t="s">
        <v>475</v>
      </c>
      <c r="P227" s="278" t="s">
        <v>495</v>
      </c>
      <c r="Q227" s="271">
        <v>44255</v>
      </c>
    </row>
    <row r="228" spans="1:19" ht="60" x14ac:dyDescent="0.25">
      <c r="A228" s="382"/>
      <c r="B228" s="300"/>
      <c r="C228" s="261" t="s">
        <v>8</v>
      </c>
      <c r="D228" s="261" t="s">
        <v>237</v>
      </c>
      <c r="E228" s="261" t="s">
        <v>10</v>
      </c>
      <c r="F228" s="262" t="s">
        <v>359</v>
      </c>
      <c r="G228" s="143">
        <v>90.021000000000001</v>
      </c>
      <c r="H228" s="292"/>
      <c r="I228" s="292"/>
      <c r="J228" s="292"/>
      <c r="K228" s="292"/>
      <c r="L228" s="292"/>
      <c r="M228" s="311" t="s">
        <v>11</v>
      </c>
      <c r="N228" s="337" t="s">
        <v>38</v>
      </c>
      <c r="O228" s="352" t="s">
        <v>475</v>
      </c>
      <c r="P228" s="378" t="s">
        <v>566</v>
      </c>
      <c r="Q228" s="348">
        <v>44255</v>
      </c>
    </row>
    <row r="229" spans="1:19" x14ac:dyDescent="0.25">
      <c r="A229" s="382"/>
      <c r="B229" s="300"/>
      <c r="C229" s="261" t="s">
        <v>8</v>
      </c>
      <c r="D229" s="261" t="s">
        <v>237</v>
      </c>
      <c r="E229" s="261" t="s">
        <v>16</v>
      </c>
      <c r="F229" s="262" t="s">
        <v>111</v>
      </c>
      <c r="G229" s="143">
        <v>15.879</v>
      </c>
      <c r="H229" s="294"/>
      <c r="I229" s="294"/>
      <c r="J229" s="294"/>
      <c r="K229" s="294"/>
      <c r="L229" s="294"/>
      <c r="M229" s="311"/>
      <c r="N229" s="337"/>
      <c r="O229" s="352"/>
      <c r="P229" s="378"/>
      <c r="Q229" s="349"/>
    </row>
    <row r="230" spans="1:19" ht="60" x14ac:dyDescent="0.25">
      <c r="A230" s="382"/>
      <c r="B230" s="300"/>
      <c r="C230" s="261" t="s">
        <v>8</v>
      </c>
      <c r="D230" s="261" t="s">
        <v>66</v>
      </c>
      <c r="E230" s="261" t="s">
        <v>10</v>
      </c>
      <c r="F230" s="262" t="s">
        <v>359</v>
      </c>
      <c r="G230" s="143">
        <v>26.923988000000001</v>
      </c>
      <c r="H230" s="292"/>
      <c r="I230" s="292"/>
      <c r="J230" s="292"/>
      <c r="K230" s="292"/>
      <c r="L230" s="292"/>
      <c r="M230" s="302" t="s">
        <v>11</v>
      </c>
      <c r="N230" s="353" t="s">
        <v>160</v>
      </c>
      <c r="O230" s="342" t="s">
        <v>475</v>
      </c>
      <c r="P230" s="345" t="s">
        <v>576</v>
      </c>
      <c r="Q230" s="316">
        <v>44255</v>
      </c>
      <c r="S230" s="94"/>
    </row>
    <row r="231" spans="1:19" x14ac:dyDescent="0.25">
      <c r="A231" s="382"/>
      <c r="B231" s="300"/>
      <c r="C231" s="261" t="s">
        <v>8</v>
      </c>
      <c r="D231" s="261" t="s">
        <v>66</v>
      </c>
      <c r="E231" s="261" t="s">
        <v>16</v>
      </c>
      <c r="F231" s="262" t="s">
        <v>111</v>
      </c>
      <c r="G231" s="143">
        <v>19.776012000000001</v>
      </c>
      <c r="H231" s="293"/>
      <c r="I231" s="293"/>
      <c r="J231" s="293"/>
      <c r="K231" s="293"/>
      <c r="L231" s="293"/>
      <c r="M231" s="303"/>
      <c r="N231" s="354"/>
      <c r="O231" s="343"/>
      <c r="P231" s="346"/>
      <c r="Q231" s="335"/>
    </row>
    <row r="232" spans="1:19" s="54" customFormat="1" ht="60" x14ac:dyDescent="0.25">
      <c r="A232" s="382"/>
      <c r="B232" s="300"/>
      <c r="C232" s="261" t="s">
        <v>415</v>
      </c>
      <c r="D232" s="261" t="s">
        <v>66</v>
      </c>
      <c r="E232" s="261" t="s">
        <v>10</v>
      </c>
      <c r="F232" s="262" t="s">
        <v>359</v>
      </c>
      <c r="G232" s="143">
        <v>-9.4615969999999994</v>
      </c>
      <c r="H232" s="293"/>
      <c r="I232" s="293"/>
      <c r="J232" s="293"/>
      <c r="K232" s="293"/>
      <c r="L232" s="293"/>
      <c r="M232" s="303"/>
      <c r="N232" s="354"/>
      <c r="O232" s="343"/>
      <c r="P232" s="346"/>
      <c r="Q232" s="335"/>
    </row>
    <row r="233" spans="1:19" s="54" customFormat="1" x14ac:dyDescent="0.25">
      <c r="A233" s="382"/>
      <c r="B233" s="300"/>
      <c r="C233" s="261" t="s">
        <v>415</v>
      </c>
      <c r="D233" s="261" t="s">
        <v>66</v>
      </c>
      <c r="E233" s="261" t="s">
        <v>16</v>
      </c>
      <c r="F233" s="262" t="s">
        <v>111</v>
      </c>
      <c r="G233" s="143">
        <f>0.2+9.261597</f>
        <v>9.4615969999999994</v>
      </c>
      <c r="H233" s="294"/>
      <c r="I233" s="294"/>
      <c r="J233" s="294"/>
      <c r="K233" s="294"/>
      <c r="L233" s="294"/>
      <c r="M233" s="304"/>
      <c r="N233" s="355"/>
      <c r="O233" s="344"/>
      <c r="P233" s="347"/>
      <c r="Q233" s="336"/>
    </row>
    <row r="234" spans="1:19" ht="60" x14ac:dyDescent="0.25">
      <c r="A234" s="382"/>
      <c r="B234" s="300"/>
      <c r="C234" s="261" t="s">
        <v>8</v>
      </c>
      <c r="D234" s="261" t="s">
        <v>238</v>
      </c>
      <c r="E234" s="261" t="s">
        <v>10</v>
      </c>
      <c r="F234" s="262" t="s">
        <v>359</v>
      </c>
      <c r="G234" s="143">
        <v>14.522803</v>
      </c>
      <c r="H234" s="292"/>
      <c r="I234" s="292"/>
      <c r="J234" s="292"/>
      <c r="K234" s="292"/>
      <c r="L234" s="292"/>
      <c r="M234" s="311" t="s">
        <v>11</v>
      </c>
      <c r="N234" s="337" t="s">
        <v>239</v>
      </c>
      <c r="O234" s="352" t="s">
        <v>475</v>
      </c>
      <c r="P234" s="338" t="s">
        <v>581</v>
      </c>
      <c r="Q234" s="348">
        <v>44255</v>
      </c>
    </row>
    <row r="235" spans="1:19" x14ac:dyDescent="0.25">
      <c r="A235" s="382"/>
      <c r="B235" s="300"/>
      <c r="C235" s="261" t="s">
        <v>8</v>
      </c>
      <c r="D235" s="261" t="s">
        <v>238</v>
      </c>
      <c r="E235" s="261" t="s">
        <v>16</v>
      </c>
      <c r="F235" s="262" t="s">
        <v>111</v>
      </c>
      <c r="G235" s="143">
        <f>0.726319+0.444197</f>
        <v>1.1705160000000001</v>
      </c>
      <c r="H235" s="294"/>
      <c r="I235" s="294"/>
      <c r="J235" s="294"/>
      <c r="K235" s="294"/>
      <c r="L235" s="294"/>
      <c r="M235" s="311"/>
      <c r="N235" s="337"/>
      <c r="O235" s="352"/>
      <c r="P235" s="338"/>
      <c r="Q235" s="349"/>
    </row>
    <row r="236" spans="1:19" ht="60" x14ac:dyDescent="0.25">
      <c r="A236" s="382"/>
      <c r="B236" s="300"/>
      <c r="C236" s="261" t="s">
        <v>8</v>
      </c>
      <c r="D236" s="261" t="s">
        <v>240</v>
      </c>
      <c r="E236" s="261" t="s">
        <v>10</v>
      </c>
      <c r="F236" s="262" t="s">
        <v>359</v>
      </c>
      <c r="G236" s="143">
        <v>11.338509999999999</v>
      </c>
      <c r="H236" s="292"/>
      <c r="I236" s="292"/>
      <c r="J236" s="292"/>
      <c r="K236" s="292"/>
      <c r="L236" s="292"/>
      <c r="M236" s="311" t="s">
        <v>11</v>
      </c>
      <c r="N236" s="337" t="s">
        <v>241</v>
      </c>
      <c r="O236" s="352" t="s">
        <v>475</v>
      </c>
      <c r="P236" s="338" t="s">
        <v>462</v>
      </c>
      <c r="Q236" s="348">
        <v>44255</v>
      </c>
    </row>
    <row r="237" spans="1:19" x14ac:dyDescent="0.25">
      <c r="A237" s="382"/>
      <c r="B237" s="300"/>
      <c r="C237" s="261" t="s">
        <v>8</v>
      </c>
      <c r="D237" s="261" t="s">
        <v>240</v>
      </c>
      <c r="E237" s="261" t="s">
        <v>16</v>
      </c>
      <c r="F237" s="262" t="s">
        <v>111</v>
      </c>
      <c r="G237" s="163">
        <v>5.0575000000000002E-2</v>
      </c>
      <c r="H237" s="294"/>
      <c r="I237" s="294"/>
      <c r="J237" s="294"/>
      <c r="K237" s="294"/>
      <c r="L237" s="294"/>
      <c r="M237" s="311"/>
      <c r="N237" s="337"/>
      <c r="O237" s="352"/>
      <c r="P237" s="338"/>
      <c r="Q237" s="349"/>
    </row>
    <row r="238" spans="1:19" ht="60" x14ac:dyDescent="0.25">
      <c r="A238" s="382"/>
      <c r="B238" s="300"/>
      <c r="C238" s="261" t="s">
        <v>8</v>
      </c>
      <c r="D238" s="261" t="s">
        <v>70</v>
      </c>
      <c r="E238" s="261" t="s">
        <v>10</v>
      </c>
      <c r="F238" s="262" t="s">
        <v>359</v>
      </c>
      <c r="G238" s="143">
        <v>9</v>
      </c>
      <c r="H238" s="261" t="s">
        <v>511</v>
      </c>
      <c r="I238" s="261" t="s">
        <v>70</v>
      </c>
      <c r="J238" s="261" t="s">
        <v>10</v>
      </c>
      <c r="K238" s="262"/>
      <c r="L238" s="143">
        <v>0.53149500000000005</v>
      </c>
      <c r="M238" s="311" t="s">
        <v>11</v>
      </c>
      <c r="N238" s="337" t="s">
        <v>75</v>
      </c>
      <c r="O238" s="352" t="s">
        <v>475</v>
      </c>
      <c r="P238" s="378" t="s">
        <v>598</v>
      </c>
      <c r="Q238" s="348">
        <v>44255</v>
      </c>
    </row>
    <row r="239" spans="1:19" x14ac:dyDescent="0.25">
      <c r="A239" s="382"/>
      <c r="B239" s="300"/>
      <c r="C239" s="261" t="s">
        <v>8</v>
      </c>
      <c r="D239" s="261" t="s">
        <v>70</v>
      </c>
      <c r="E239" s="261" t="s">
        <v>16</v>
      </c>
      <c r="F239" s="262" t="s">
        <v>111</v>
      </c>
      <c r="G239" s="143">
        <v>6</v>
      </c>
      <c r="H239" s="261" t="s">
        <v>511</v>
      </c>
      <c r="I239" s="261" t="s">
        <v>70</v>
      </c>
      <c r="J239" s="261" t="s">
        <v>16</v>
      </c>
      <c r="K239" s="262" t="s">
        <v>111</v>
      </c>
      <c r="L239" s="143">
        <v>2.3897650000000001</v>
      </c>
      <c r="M239" s="311"/>
      <c r="N239" s="337"/>
      <c r="O239" s="352"/>
      <c r="P239" s="378"/>
      <c r="Q239" s="349"/>
    </row>
    <row r="240" spans="1:19" ht="60" x14ac:dyDescent="0.25">
      <c r="A240" s="382"/>
      <c r="B240" s="300"/>
      <c r="C240" s="261" t="s">
        <v>8</v>
      </c>
      <c r="D240" s="262" t="s">
        <v>242</v>
      </c>
      <c r="E240" s="261" t="s">
        <v>10</v>
      </c>
      <c r="F240" s="262" t="s">
        <v>359</v>
      </c>
      <c r="G240" s="143">
        <v>153.4</v>
      </c>
      <c r="H240" s="261"/>
      <c r="I240" s="262"/>
      <c r="J240" s="261"/>
      <c r="K240" s="262"/>
      <c r="L240" s="143"/>
      <c r="M240" s="261" t="s">
        <v>11</v>
      </c>
      <c r="N240" s="268" t="s">
        <v>223</v>
      </c>
      <c r="O240" s="274" t="s">
        <v>475</v>
      </c>
      <c r="P240" s="278" t="s">
        <v>602</v>
      </c>
      <c r="Q240" s="271">
        <v>44255</v>
      </c>
    </row>
    <row r="241" spans="1:17" ht="60" x14ac:dyDescent="0.25">
      <c r="A241" s="382"/>
      <c r="B241" s="300"/>
      <c r="C241" s="261" t="s">
        <v>8</v>
      </c>
      <c r="D241" s="261" t="s">
        <v>91</v>
      </c>
      <c r="E241" s="261" t="s">
        <v>10</v>
      </c>
      <c r="F241" s="262" t="s">
        <v>359</v>
      </c>
      <c r="G241" s="165">
        <v>1.6E-2</v>
      </c>
      <c r="H241" s="261"/>
      <c r="I241" s="261"/>
      <c r="J241" s="261"/>
      <c r="K241" s="262"/>
      <c r="L241" s="165"/>
      <c r="M241" s="261" t="s">
        <v>11</v>
      </c>
      <c r="N241" s="268" t="s">
        <v>92</v>
      </c>
      <c r="O241" s="262" t="s">
        <v>19</v>
      </c>
      <c r="P241" s="278" t="s">
        <v>388</v>
      </c>
      <c r="Q241" s="271">
        <v>44255</v>
      </c>
    </row>
    <row r="242" spans="1:17" ht="60" x14ac:dyDescent="0.25">
      <c r="A242" s="382"/>
      <c r="B242" s="301"/>
      <c r="C242" s="261" t="s">
        <v>8</v>
      </c>
      <c r="D242" s="262" t="s">
        <v>222</v>
      </c>
      <c r="E242" s="261" t="s">
        <v>10</v>
      </c>
      <c r="F242" s="262" t="s">
        <v>359</v>
      </c>
      <c r="G242" s="143">
        <v>50.7</v>
      </c>
      <c r="H242" s="261"/>
      <c r="I242" s="262"/>
      <c r="J242" s="261"/>
      <c r="K242" s="262"/>
      <c r="L242" s="143"/>
      <c r="M242" s="261" t="s">
        <v>11</v>
      </c>
      <c r="N242" s="268" t="s">
        <v>223</v>
      </c>
      <c r="O242" s="274" t="s">
        <v>475</v>
      </c>
      <c r="P242" s="278" t="s">
        <v>473</v>
      </c>
      <c r="Q242" s="271">
        <v>44255</v>
      </c>
    </row>
    <row r="243" spans="1:17" ht="45" x14ac:dyDescent="0.25">
      <c r="A243" s="279" t="s">
        <v>378</v>
      </c>
      <c r="B243" s="81">
        <v>369</v>
      </c>
      <c r="C243" s="261" t="s">
        <v>42</v>
      </c>
      <c r="D243" s="262" t="s">
        <v>35</v>
      </c>
      <c r="E243" s="261" t="s">
        <v>111</v>
      </c>
      <c r="F243" s="262" t="s">
        <v>357</v>
      </c>
      <c r="G243" s="143" t="s">
        <v>111</v>
      </c>
      <c r="H243" s="261" t="s">
        <v>511</v>
      </c>
      <c r="I243" s="262" t="s">
        <v>35</v>
      </c>
      <c r="J243" s="261" t="s">
        <v>10</v>
      </c>
      <c r="K243" s="59" t="s">
        <v>628</v>
      </c>
      <c r="L243" s="165">
        <v>7.1812000000000001E-2</v>
      </c>
      <c r="M243" s="261" t="s">
        <v>11</v>
      </c>
      <c r="N243" s="268" t="s">
        <v>36</v>
      </c>
      <c r="O243" s="274" t="s">
        <v>475</v>
      </c>
      <c r="P243" s="278" t="s">
        <v>549</v>
      </c>
      <c r="Q243" s="271">
        <v>44255</v>
      </c>
    </row>
    <row r="244" spans="1:17" ht="45" x14ac:dyDescent="0.25">
      <c r="A244" s="279" t="s">
        <v>243</v>
      </c>
      <c r="B244" s="92">
        <v>1019</v>
      </c>
      <c r="C244" s="261" t="s">
        <v>42</v>
      </c>
      <c r="D244" s="262" t="s">
        <v>35</v>
      </c>
      <c r="E244" s="261" t="s">
        <v>111</v>
      </c>
      <c r="F244" s="262" t="s">
        <v>357</v>
      </c>
      <c r="G244" s="143" t="s">
        <v>111</v>
      </c>
      <c r="H244" s="261" t="s">
        <v>511</v>
      </c>
      <c r="I244" s="262" t="s">
        <v>35</v>
      </c>
      <c r="J244" s="261" t="s">
        <v>10</v>
      </c>
      <c r="K244" s="59" t="s">
        <v>628</v>
      </c>
      <c r="L244" s="143">
        <v>645.76074000000006</v>
      </c>
      <c r="M244" s="261" t="s">
        <v>11</v>
      </c>
      <c r="N244" s="268" t="s">
        <v>36</v>
      </c>
      <c r="O244" s="274" t="s">
        <v>475</v>
      </c>
      <c r="P244" s="278" t="s">
        <v>550</v>
      </c>
      <c r="Q244" s="271">
        <v>44255</v>
      </c>
    </row>
    <row r="245" spans="1:17" ht="30" x14ac:dyDescent="0.25">
      <c r="A245" s="382" t="s">
        <v>244</v>
      </c>
      <c r="B245" s="299">
        <v>900</v>
      </c>
      <c r="C245" s="261" t="s">
        <v>26</v>
      </c>
      <c r="D245" s="262" t="s">
        <v>35</v>
      </c>
      <c r="E245" s="261" t="s">
        <v>10</v>
      </c>
      <c r="F245" s="262" t="s">
        <v>357</v>
      </c>
      <c r="G245" s="150">
        <v>912</v>
      </c>
      <c r="H245" s="404"/>
      <c r="I245" s="404"/>
      <c r="J245" s="404"/>
      <c r="K245" s="404"/>
      <c r="L245" s="404"/>
      <c r="M245" s="302" t="s">
        <v>85</v>
      </c>
      <c r="N245" s="302"/>
      <c r="O245" s="299"/>
      <c r="P245" s="353"/>
      <c r="Q245" s="375"/>
    </row>
    <row r="246" spans="1:17" ht="30" x14ac:dyDescent="0.25">
      <c r="A246" s="382"/>
      <c r="B246" s="301"/>
      <c r="C246" s="261" t="s">
        <v>8</v>
      </c>
      <c r="D246" s="262" t="s">
        <v>35</v>
      </c>
      <c r="E246" s="261" t="s">
        <v>10</v>
      </c>
      <c r="F246" s="262" t="s">
        <v>357</v>
      </c>
      <c r="G246" s="143">
        <v>-912</v>
      </c>
      <c r="H246" s="405"/>
      <c r="I246" s="405"/>
      <c r="J246" s="405"/>
      <c r="K246" s="405"/>
      <c r="L246" s="405"/>
      <c r="M246" s="304"/>
      <c r="N246" s="304"/>
      <c r="O246" s="301"/>
      <c r="P246" s="355"/>
      <c r="Q246" s="318"/>
    </row>
    <row r="247" spans="1:17" ht="30" x14ac:dyDescent="0.25">
      <c r="A247" s="382" t="s">
        <v>245</v>
      </c>
      <c r="B247" s="299">
        <v>270</v>
      </c>
      <c r="C247" s="261" t="s">
        <v>26</v>
      </c>
      <c r="D247" s="262" t="s">
        <v>33</v>
      </c>
      <c r="E247" s="261" t="s">
        <v>10</v>
      </c>
      <c r="F247" s="262" t="s">
        <v>357</v>
      </c>
      <c r="G247" s="143">
        <v>269.98689999999999</v>
      </c>
      <c r="H247" s="292"/>
      <c r="I247" s="292"/>
      <c r="J247" s="292"/>
      <c r="K247" s="292"/>
      <c r="L247" s="292"/>
      <c r="M247" s="311" t="s">
        <v>11</v>
      </c>
      <c r="N247" s="337" t="s">
        <v>38</v>
      </c>
      <c r="O247" s="352" t="s">
        <v>475</v>
      </c>
      <c r="P247" s="378" t="s">
        <v>573</v>
      </c>
      <c r="Q247" s="348">
        <v>44255</v>
      </c>
    </row>
    <row r="248" spans="1:17" ht="30" x14ac:dyDescent="0.25">
      <c r="A248" s="382"/>
      <c r="B248" s="300"/>
      <c r="C248" s="261" t="s">
        <v>8</v>
      </c>
      <c r="D248" s="262" t="s">
        <v>33</v>
      </c>
      <c r="E248" s="261" t="s">
        <v>10</v>
      </c>
      <c r="F248" s="262" t="s">
        <v>357</v>
      </c>
      <c r="G248" s="143">
        <v>-7.2362219999999997</v>
      </c>
      <c r="H248" s="293"/>
      <c r="I248" s="293"/>
      <c r="J248" s="293"/>
      <c r="K248" s="293"/>
      <c r="L248" s="293"/>
      <c r="M248" s="311"/>
      <c r="N248" s="337"/>
      <c r="O248" s="352"/>
      <c r="P248" s="378"/>
      <c r="Q248" s="349"/>
    </row>
    <row r="249" spans="1:17" s="54" customFormat="1" x14ac:dyDescent="0.25">
      <c r="A249" s="382"/>
      <c r="B249" s="300"/>
      <c r="C249" s="261" t="s">
        <v>8</v>
      </c>
      <c r="D249" s="262" t="s">
        <v>33</v>
      </c>
      <c r="E249" s="261" t="s">
        <v>16</v>
      </c>
      <c r="F249" s="262" t="s">
        <v>111</v>
      </c>
      <c r="G249" s="143">
        <v>7.2362219999999997</v>
      </c>
      <c r="H249" s="293"/>
      <c r="I249" s="293"/>
      <c r="J249" s="293"/>
      <c r="K249" s="293"/>
      <c r="L249" s="293"/>
      <c r="M249" s="311"/>
      <c r="N249" s="337"/>
      <c r="O249" s="352"/>
      <c r="P249" s="378"/>
      <c r="Q249" s="349"/>
    </row>
    <row r="250" spans="1:17" s="54" customFormat="1" ht="30" x14ac:dyDescent="0.25">
      <c r="A250" s="382"/>
      <c r="B250" s="300"/>
      <c r="C250" s="261" t="s">
        <v>415</v>
      </c>
      <c r="D250" s="262" t="s">
        <v>33</v>
      </c>
      <c r="E250" s="261" t="s">
        <v>10</v>
      </c>
      <c r="F250" s="262" t="s">
        <v>357</v>
      </c>
      <c r="G250" s="143">
        <v>-2.5944470000000002</v>
      </c>
      <c r="H250" s="293"/>
      <c r="I250" s="293"/>
      <c r="J250" s="293"/>
      <c r="K250" s="293"/>
      <c r="L250" s="293"/>
      <c r="M250" s="311"/>
      <c r="N250" s="337"/>
      <c r="O250" s="352"/>
      <c r="P250" s="378"/>
      <c r="Q250" s="349"/>
    </row>
    <row r="251" spans="1:17" x14ac:dyDescent="0.25">
      <c r="A251" s="382"/>
      <c r="B251" s="301"/>
      <c r="C251" s="257" t="s">
        <v>415</v>
      </c>
      <c r="D251" s="262" t="s">
        <v>33</v>
      </c>
      <c r="E251" s="257" t="s">
        <v>16</v>
      </c>
      <c r="F251" s="254" t="s">
        <v>111</v>
      </c>
      <c r="G251" s="151">
        <f>0.397689+2.104984</f>
        <v>2.5026730000000001</v>
      </c>
      <c r="H251" s="294"/>
      <c r="I251" s="294"/>
      <c r="J251" s="294"/>
      <c r="K251" s="294"/>
      <c r="L251" s="294"/>
      <c r="M251" s="311"/>
      <c r="N251" s="337"/>
      <c r="O251" s="352"/>
      <c r="P251" s="378"/>
      <c r="Q251" s="349"/>
    </row>
    <row r="252" spans="1:17" ht="60" x14ac:dyDescent="0.25">
      <c r="A252" s="382" t="s">
        <v>246</v>
      </c>
      <c r="B252" s="299">
        <v>8</v>
      </c>
      <c r="C252" s="261" t="s">
        <v>26</v>
      </c>
      <c r="D252" s="262" t="s">
        <v>17</v>
      </c>
      <c r="E252" s="261" t="s">
        <v>10</v>
      </c>
      <c r="F252" s="262" t="s">
        <v>359</v>
      </c>
      <c r="G252" s="143">
        <v>7.5</v>
      </c>
      <c r="H252" s="292"/>
      <c r="I252" s="292"/>
      <c r="J252" s="292"/>
      <c r="K252" s="292"/>
      <c r="L252" s="292"/>
      <c r="M252" s="311" t="s">
        <v>11</v>
      </c>
      <c r="N252" s="337" t="s">
        <v>80</v>
      </c>
      <c r="O252" s="312" t="s">
        <v>19</v>
      </c>
      <c r="P252" s="378" t="s">
        <v>384</v>
      </c>
      <c r="Q252" s="348">
        <v>44255</v>
      </c>
    </row>
    <row r="253" spans="1:17" ht="60" x14ac:dyDescent="0.25">
      <c r="A253" s="382"/>
      <c r="B253" s="300"/>
      <c r="C253" s="261" t="s">
        <v>8</v>
      </c>
      <c r="D253" s="262" t="s">
        <v>17</v>
      </c>
      <c r="E253" s="261" t="s">
        <v>10</v>
      </c>
      <c r="F253" s="262" t="s">
        <v>359</v>
      </c>
      <c r="G253" s="143">
        <v>-3.299229</v>
      </c>
      <c r="H253" s="293"/>
      <c r="I253" s="293"/>
      <c r="J253" s="293"/>
      <c r="K253" s="293"/>
      <c r="L253" s="293"/>
      <c r="M253" s="311"/>
      <c r="N253" s="337"/>
      <c r="O253" s="312"/>
      <c r="P253" s="378"/>
      <c r="Q253" s="349"/>
    </row>
    <row r="254" spans="1:17" x14ac:dyDescent="0.25">
      <c r="A254" s="382"/>
      <c r="B254" s="301"/>
      <c r="C254" s="261" t="s">
        <v>8</v>
      </c>
      <c r="D254" s="262" t="s">
        <v>17</v>
      </c>
      <c r="E254" s="261" t="s">
        <v>16</v>
      </c>
      <c r="F254" s="262" t="s">
        <v>111</v>
      </c>
      <c r="G254" s="143">
        <v>3.299229</v>
      </c>
      <c r="H254" s="294"/>
      <c r="I254" s="294"/>
      <c r="J254" s="294"/>
      <c r="K254" s="294"/>
      <c r="L254" s="294"/>
      <c r="M254" s="311"/>
      <c r="N254" s="337"/>
      <c r="O254" s="312"/>
      <c r="P254" s="378"/>
      <c r="Q254" s="349"/>
    </row>
    <row r="255" spans="1:17" ht="60" x14ac:dyDescent="0.25">
      <c r="A255" s="279" t="s">
        <v>247</v>
      </c>
      <c r="B255" s="81">
        <v>20</v>
      </c>
      <c r="C255" s="261" t="s">
        <v>26</v>
      </c>
      <c r="D255" s="262" t="s">
        <v>35</v>
      </c>
      <c r="E255" s="261" t="s">
        <v>10</v>
      </c>
      <c r="F255" s="262" t="s">
        <v>359</v>
      </c>
      <c r="G255" s="143">
        <v>20</v>
      </c>
      <c r="H255" s="252"/>
      <c r="I255" s="252"/>
      <c r="J255" s="252"/>
      <c r="K255" s="252"/>
      <c r="L255" s="143"/>
      <c r="M255" s="261" t="s">
        <v>443</v>
      </c>
      <c r="N255" s="261" t="s">
        <v>111</v>
      </c>
      <c r="O255" s="274" t="s">
        <v>475</v>
      </c>
      <c r="P255" s="269" t="s">
        <v>459</v>
      </c>
      <c r="Q255" s="271">
        <v>44255</v>
      </c>
    </row>
    <row r="256" spans="1:17" ht="30" x14ac:dyDescent="0.25">
      <c r="A256" s="279" t="s">
        <v>249</v>
      </c>
      <c r="B256" s="81">
        <v>365</v>
      </c>
      <c r="C256" s="261" t="s">
        <v>42</v>
      </c>
      <c r="D256" s="261" t="s">
        <v>141</v>
      </c>
      <c r="E256" s="261" t="s">
        <v>111</v>
      </c>
      <c r="F256" s="262" t="s">
        <v>357</v>
      </c>
      <c r="G256" s="143" t="s">
        <v>111</v>
      </c>
      <c r="H256" s="261"/>
      <c r="I256" s="261"/>
      <c r="J256" s="261"/>
      <c r="K256" s="262"/>
      <c r="L256" s="143"/>
      <c r="M256" s="261" t="s">
        <v>11</v>
      </c>
      <c r="N256" s="268" t="s">
        <v>163</v>
      </c>
      <c r="O256" s="262" t="s">
        <v>19</v>
      </c>
      <c r="P256" s="278" t="s">
        <v>126</v>
      </c>
      <c r="Q256" s="272"/>
    </row>
    <row r="257" spans="1:17" ht="45" x14ac:dyDescent="0.25">
      <c r="A257" s="279" t="s">
        <v>250</v>
      </c>
      <c r="B257" s="81">
        <v>20</v>
      </c>
      <c r="C257" s="261" t="s">
        <v>8</v>
      </c>
      <c r="D257" s="262" t="s">
        <v>251</v>
      </c>
      <c r="E257" s="261" t="s">
        <v>10</v>
      </c>
      <c r="F257" s="262" t="s">
        <v>361</v>
      </c>
      <c r="G257" s="143">
        <v>20</v>
      </c>
      <c r="H257" s="261"/>
      <c r="I257" s="262"/>
      <c r="J257" s="261"/>
      <c r="K257" s="262"/>
      <c r="L257" s="143"/>
      <c r="M257" s="261" t="s">
        <v>11</v>
      </c>
      <c r="N257" s="268" t="s">
        <v>252</v>
      </c>
      <c r="O257" s="274" t="s">
        <v>475</v>
      </c>
      <c r="P257" s="269" t="s">
        <v>413</v>
      </c>
      <c r="Q257" s="271">
        <v>44255</v>
      </c>
    </row>
    <row r="258" spans="1:17" ht="60" x14ac:dyDescent="0.25">
      <c r="A258" s="279" t="s">
        <v>253</v>
      </c>
      <c r="B258" s="253">
        <v>350</v>
      </c>
      <c r="C258" s="261" t="s">
        <v>26</v>
      </c>
      <c r="D258" s="262" t="s">
        <v>35</v>
      </c>
      <c r="E258" s="261" t="s">
        <v>10</v>
      </c>
      <c r="F258" s="262" t="s">
        <v>359</v>
      </c>
      <c r="G258" s="263">
        <v>350</v>
      </c>
      <c r="H258" s="261"/>
      <c r="I258" s="262"/>
      <c r="J258" s="261"/>
      <c r="K258" s="262"/>
      <c r="L258" s="263"/>
      <c r="M258" s="261" t="s">
        <v>443</v>
      </c>
      <c r="N258" s="173" t="s">
        <v>111</v>
      </c>
      <c r="O258" s="274" t="s">
        <v>475</v>
      </c>
      <c r="P258" s="270" t="s">
        <v>460</v>
      </c>
      <c r="Q258" s="265">
        <v>44255</v>
      </c>
    </row>
    <row r="259" spans="1:17" ht="30" x14ac:dyDescent="0.25">
      <c r="A259" s="319" t="s">
        <v>254</v>
      </c>
      <c r="B259" s="299">
        <f>75+100</f>
        <v>175</v>
      </c>
      <c r="C259" s="261" t="s">
        <v>26</v>
      </c>
      <c r="D259" s="262" t="s">
        <v>89</v>
      </c>
      <c r="E259" s="261" t="s">
        <v>10</v>
      </c>
      <c r="F259" s="262" t="s">
        <v>357</v>
      </c>
      <c r="G259" s="143">
        <v>75</v>
      </c>
      <c r="H259" s="292"/>
      <c r="I259" s="292"/>
      <c r="J259" s="292"/>
      <c r="K259" s="292"/>
      <c r="L259" s="292"/>
      <c r="M259" s="302" t="s">
        <v>11</v>
      </c>
      <c r="N259" s="353" t="s">
        <v>90</v>
      </c>
      <c r="O259" s="342" t="s">
        <v>475</v>
      </c>
      <c r="P259" s="345" t="s">
        <v>543</v>
      </c>
      <c r="Q259" s="316">
        <v>44255</v>
      </c>
    </row>
    <row r="260" spans="1:17" x14ac:dyDescent="0.25">
      <c r="A260" s="320"/>
      <c r="B260" s="300"/>
      <c r="C260" s="261" t="s">
        <v>8</v>
      </c>
      <c r="D260" s="262" t="s">
        <v>236</v>
      </c>
      <c r="E260" s="261" t="s">
        <v>16</v>
      </c>
      <c r="F260" s="262" t="s">
        <v>111</v>
      </c>
      <c r="G260" s="143">
        <v>50</v>
      </c>
      <c r="H260" s="293"/>
      <c r="I260" s="293"/>
      <c r="J260" s="293"/>
      <c r="K260" s="293"/>
      <c r="L260" s="293"/>
      <c r="M260" s="303"/>
      <c r="N260" s="354"/>
      <c r="O260" s="343"/>
      <c r="P260" s="346"/>
      <c r="Q260" s="335"/>
    </row>
    <row r="261" spans="1:17" ht="30" x14ac:dyDescent="0.25">
      <c r="A261" s="320"/>
      <c r="B261" s="300"/>
      <c r="C261" s="261" t="s">
        <v>8</v>
      </c>
      <c r="D261" s="262" t="s">
        <v>236</v>
      </c>
      <c r="E261" s="261" t="s">
        <v>10</v>
      </c>
      <c r="F261" s="262" t="s">
        <v>361</v>
      </c>
      <c r="G261" s="143">
        <v>50</v>
      </c>
      <c r="H261" s="293"/>
      <c r="I261" s="293"/>
      <c r="J261" s="293"/>
      <c r="K261" s="293"/>
      <c r="L261" s="293"/>
      <c r="M261" s="303"/>
      <c r="N261" s="354"/>
      <c r="O261" s="343"/>
      <c r="P261" s="346"/>
      <c r="Q261" s="335"/>
    </row>
    <row r="262" spans="1:17" s="54" customFormat="1" x14ac:dyDescent="0.25">
      <c r="A262" s="320"/>
      <c r="B262" s="300"/>
      <c r="C262" s="261" t="s">
        <v>415</v>
      </c>
      <c r="D262" s="262" t="s">
        <v>236</v>
      </c>
      <c r="E262" s="261" t="s">
        <v>16</v>
      </c>
      <c r="F262" s="262" t="s">
        <v>111</v>
      </c>
      <c r="G262" s="143">
        <v>-30</v>
      </c>
      <c r="H262" s="294"/>
      <c r="I262" s="294"/>
      <c r="J262" s="294"/>
      <c r="K262" s="294"/>
      <c r="L262" s="294"/>
      <c r="M262" s="304"/>
      <c r="N262" s="355"/>
      <c r="O262" s="344"/>
      <c r="P262" s="347"/>
      <c r="Q262" s="336"/>
    </row>
    <row r="263" spans="1:17" s="54" customFormat="1" ht="45" x14ac:dyDescent="0.25">
      <c r="A263" s="321"/>
      <c r="B263" s="301"/>
      <c r="C263" s="261" t="s">
        <v>415</v>
      </c>
      <c r="D263" s="262" t="s">
        <v>33</v>
      </c>
      <c r="E263" s="261" t="s">
        <v>16</v>
      </c>
      <c r="F263" s="262" t="s">
        <v>111</v>
      </c>
      <c r="G263" s="143">
        <v>30</v>
      </c>
      <c r="H263" s="261"/>
      <c r="I263" s="262"/>
      <c r="J263" s="261"/>
      <c r="K263" s="262"/>
      <c r="L263" s="143"/>
      <c r="M263" s="261" t="s">
        <v>11</v>
      </c>
      <c r="N263" s="268" t="s">
        <v>38</v>
      </c>
      <c r="O263" s="274" t="s">
        <v>475</v>
      </c>
      <c r="P263" s="270" t="s">
        <v>569</v>
      </c>
      <c r="Q263" s="265">
        <v>44255</v>
      </c>
    </row>
    <row r="264" spans="1:17" ht="30" x14ac:dyDescent="0.25">
      <c r="A264" s="319" t="s">
        <v>255</v>
      </c>
      <c r="B264" s="299">
        <v>50</v>
      </c>
      <c r="C264" s="261" t="s">
        <v>8</v>
      </c>
      <c r="D264" s="261" t="s">
        <v>256</v>
      </c>
      <c r="E264" s="261" t="s">
        <v>10</v>
      </c>
      <c r="F264" s="262" t="s">
        <v>361</v>
      </c>
      <c r="G264" s="143">
        <v>50</v>
      </c>
      <c r="H264" s="292"/>
      <c r="I264" s="292"/>
      <c r="J264" s="292"/>
      <c r="K264" s="292"/>
      <c r="L264" s="292"/>
      <c r="M264" s="302" t="s">
        <v>11</v>
      </c>
      <c r="N264" s="353" t="s">
        <v>257</v>
      </c>
      <c r="O264" s="302" t="s">
        <v>19</v>
      </c>
      <c r="P264" s="357" t="s">
        <v>626</v>
      </c>
      <c r="Q264" s="316">
        <v>44273</v>
      </c>
    </row>
    <row r="265" spans="1:17" s="54" customFormat="1" ht="30" x14ac:dyDescent="0.25">
      <c r="A265" s="320"/>
      <c r="B265" s="300"/>
      <c r="C265" s="261" t="s">
        <v>415</v>
      </c>
      <c r="D265" s="261" t="s">
        <v>256</v>
      </c>
      <c r="E265" s="261" t="s">
        <v>10</v>
      </c>
      <c r="F265" s="262" t="s">
        <v>361</v>
      </c>
      <c r="G265" s="143">
        <v>-8.6999999999999993</v>
      </c>
      <c r="H265" s="293"/>
      <c r="I265" s="293"/>
      <c r="J265" s="293"/>
      <c r="K265" s="293"/>
      <c r="L265" s="293"/>
      <c r="M265" s="303"/>
      <c r="N265" s="354"/>
      <c r="O265" s="303"/>
      <c r="P265" s="358"/>
      <c r="Q265" s="335"/>
    </row>
    <row r="266" spans="1:17" s="54" customFormat="1" x14ac:dyDescent="0.25">
      <c r="A266" s="321"/>
      <c r="B266" s="301"/>
      <c r="C266" s="261" t="s">
        <v>415</v>
      </c>
      <c r="D266" s="261" t="s">
        <v>256</v>
      </c>
      <c r="E266" s="261" t="s">
        <v>16</v>
      </c>
      <c r="F266" s="262" t="s">
        <v>111</v>
      </c>
      <c r="G266" s="143">
        <v>8.6999999999999993</v>
      </c>
      <c r="H266" s="294"/>
      <c r="I266" s="294"/>
      <c r="J266" s="294"/>
      <c r="K266" s="294"/>
      <c r="L266" s="294"/>
      <c r="M266" s="304"/>
      <c r="N266" s="355"/>
      <c r="O266" s="304"/>
      <c r="P266" s="359"/>
      <c r="Q266" s="336"/>
    </row>
    <row r="267" spans="1:17" x14ac:dyDescent="0.25">
      <c r="A267" s="382" t="s">
        <v>258</v>
      </c>
      <c r="B267" s="299">
        <v>50</v>
      </c>
      <c r="C267" s="261" t="s">
        <v>26</v>
      </c>
      <c r="D267" s="262" t="s">
        <v>256</v>
      </c>
      <c r="E267" s="261" t="s">
        <v>16</v>
      </c>
      <c r="F267" s="262" t="s">
        <v>111</v>
      </c>
      <c r="G267" s="143">
        <v>10</v>
      </c>
      <c r="H267" s="292"/>
      <c r="I267" s="292"/>
      <c r="J267" s="292"/>
      <c r="K267" s="292"/>
      <c r="L267" s="292"/>
      <c r="M267" s="311" t="s">
        <v>11</v>
      </c>
      <c r="N267" s="337" t="s">
        <v>257</v>
      </c>
      <c r="O267" s="312" t="s">
        <v>19</v>
      </c>
      <c r="P267" s="345" t="s">
        <v>448</v>
      </c>
      <c r="Q267" s="316">
        <v>44273</v>
      </c>
    </row>
    <row r="268" spans="1:17" ht="30" x14ac:dyDescent="0.25">
      <c r="A268" s="382"/>
      <c r="B268" s="300"/>
      <c r="C268" s="261" t="s">
        <v>26</v>
      </c>
      <c r="D268" s="262" t="s">
        <v>256</v>
      </c>
      <c r="E268" s="261" t="s">
        <v>10</v>
      </c>
      <c r="F268" s="262" t="s">
        <v>357</v>
      </c>
      <c r="G268" s="143">
        <v>30</v>
      </c>
      <c r="H268" s="294"/>
      <c r="I268" s="294"/>
      <c r="J268" s="294"/>
      <c r="K268" s="294"/>
      <c r="L268" s="294"/>
      <c r="M268" s="311"/>
      <c r="N268" s="337"/>
      <c r="O268" s="312"/>
      <c r="P268" s="347"/>
      <c r="Q268" s="336"/>
    </row>
    <row r="269" spans="1:17" ht="45" x14ac:dyDescent="0.25">
      <c r="A269" s="382"/>
      <c r="B269" s="301"/>
      <c r="C269" s="261" t="s">
        <v>26</v>
      </c>
      <c r="D269" s="262" t="s">
        <v>33</v>
      </c>
      <c r="E269" s="261" t="s">
        <v>10</v>
      </c>
      <c r="F269" s="262" t="s">
        <v>357</v>
      </c>
      <c r="G269" s="143">
        <v>10</v>
      </c>
      <c r="H269" s="261"/>
      <c r="I269" s="262"/>
      <c r="J269" s="261"/>
      <c r="K269" s="262"/>
      <c r="L269" s="143"/>
      <c r="M269" s="261" t="s">
        <v>11</v>
      </c>
      <c r="N269" s="268" t="s">
        <v>38</v>
      </c>
      <c r="O269" s="274" t="s">
        <v>475</v>
      </c>
      <c r="P269" s="278" t="s">
        <v>572</v>
      </c>
      <c r="Q269" s="271">
        <v>44255</v>
      </c>
    </row>
    <row r="270" spans="1:17" ht="29.25" customHeight="1" x14ac:dyDescent="0.25">
      <c r="A270" s="279" t="s">
        <v>260</v>
      </c>
      <c r="B270" s="81">
        <v>5</v>
      </c>
      <c r="C270" s="261" t="s">
        <v>42</v>
      </c>
      <c r="D270" s="261" t="s">
        <v>33</v>
      </c>
      <c r="E270" s="261" t="s">
        <v>111</v>
      </c>
      <c r="F270" s="262" t="s">
        <v>111</v>
      </c>
      <c r="G270" s="143" t="s">
        <v>111</v>
      </c>
      <c r="H270" s="261"/>
      <c r="I270" s="261"/>
      <c r="J270" s="261"/>
      <c r="K270" s="262"/>
      <c r="L270" s="143"/>
      <c r="M270" s="261" t="s">
        <v>11</v>
      </c>
      <c r="N270" s="268" t="s">
        <v>38</v>
      </c>
      <c r="O270" s="262" t="s">
        <v>219</v>
      </c>
      <c r="P270" s="278" t="s">
        <v>259</v>
      </c>
      <c r="Q270" s="272"/>
    </row>
    <row r="271" spans="1:17" ht="45" x14ac:dyDescent="0.25">
      <c r="A271" s="279" t="s">
        <v>261</v>
      </c>
      <c r="B271" s="92">
        <v>1500</v>
      </c>
      <c r="C271" s="261" t="s">
        <v>8</v>
      </c>
      <c r="D271" s="262" t="s">
        <v>35</v>
      </c>
      <c r="E271" s="261" t="s">
        <v>10</v>
      </c>
      <c r="F271" s="262" t="s">
        <v>361</v>
      </c>
      <c r="G271" s="149">
        <v>1500</v>
      </c>
      <c r="H271" s="261"/>
      <c r="I271" s="262"/>
      <c r="J271" s="261"/>
      <c r="K271" s="262"/>
      <c r="L271" s="148"/>
      <c r="M271" s="261" t="s">
        <v>11</v>
      </c>
      <c r="N271" s="268" t="s">
        <v>36</v>
      </c>
      <c r="O271" s="274" t="s">
        <v>475</v>
      </c>
      <c r="P271" s="269" t="s">
        <v>461</v>
      </c>
      <c r="Q271" s="271">
        <v>44255</v>
      </c>
    </row>
    <row r="272" spans="1:17" x14ac:dyDescent="0.25">
      <c r="A272" s="319" t="s">
        <v>262</v>
      </c>
      <c r="B272" s="299">
        <v>758</v>
      </c>
      <c r="C272" s="261" t="s">
        <v>8</v>
      </c>
      <c r="D272" s="262" t="s">
        <v>173</v>
      </c>
      <c r="E272" s="261" t="s">
        <v>16</v>
      </c>
      <c r="F272" s="262" t="s">
        <v>111</v>
      </c>
      <c r="G272" s="148">
        <v>253.75</v>
      </c>
      <c r="H272" s="302" t="s">
        <v>511</v>
      </c>
      <c r="I272" s="299" t="s">
        <v>173</v>
      </c>
      <c r="J272" s="302" t="s">
        <v>16</v>
      </c>
      <c r="K272" s="299" t="s">
        <v>111</v>
      </c>
      <c r="L272" s="292">
        <v>258</v>
      </c>
      <c r="M272" s="302" t="s">
        <v>11</v>
      </c>
      <c r="N272" s="353" t="s">
        <v>184</v>
      </c>
      <c r="O272" s="342" t="s">
        <v>475</v>
      </c>
      <c r="P272" s="345" t="s">
        <v>533</v>
      </c>
      <c r="Q272" s="316">
        <v>44255</v>
      </c>
    </row>
    <row r="273" spans="1:17" ht="30" x14ac:dyDescent="0.25">
      <c r="A273" s="320"/>
      <c r="B273" s="300"/>
      <c r="C273" s="261" t="s">
        <v>8</v>
      </c>
      <c r="D273" s="262" t="s">
        <v>173</v>
      </c>
      <c r="E273" s="261" t="s">
        <v>10</v>
      </c>
      <c r="F273" s="262" t="s">
        <v>361</v>
      </c>
      <c r="G273" s="148">
        <v>503.75</v>
      </c>
      <c r="H273" s="303"/>
      <c r="I273" s="300"/>
      <c r="J273" s="303"/>
      <c r="K273" s="300"/>
      <c r="L273" s="293"/>
      <c r="M273" s="303"/>
      <c r="N273" s="354"/>
      <c r="O273" s="343"/>
      <c r="P273" s="346"/>
      <c r="Q273" s="335"/>
    </row>
    <row r="274" spans="1:17" s="54" customFormat="1" ht="30" x14ac:dyDescent="0.25">
      <c r="A274" s="320"/>
      <c r="B274" s="300"/>
      <c r="C274" s="261" t="s">
        <v>415</v>
      </c>
      <c r="D274" s="262" t="s">
        <v>173</v>
      </c>
      <c r="E274" s="261" t="s">
        <v>10</v>
      </c>
      <c r="F274" s="262" t="s">
        <v>361</v>
      </c>
      <c r="G274" s="149">
        <v>-3.4807480000000002</v>
      </c>
      <c r="H274" s="303"/>
      <c r="I274" s="300"/>
      <c r="J274" s="303"/>
      <c r="K274" s="300"/>
      <c r="L274" s="293"/>
      <c r="M274" s="303"/>
      <c r="N274" s="354"/>
      <c r="O274" s="343"/>
      <c r="P274" s="346"/>
      <c r="Q274" s="335"/>
    </row>
    <row r="275" spans="1:17" s="54" customFormat="1" x14ac:dyDescent="0.25">
      <c r="A275" s="321"/>
      <c r="B275" s="301"/>
      <c r="C275" s="261" t="s">
        <v>415</v>
      </c>
      <c r="D275" s="262" t="s">
        <v>173</v>
      </c>
      <c r="E275" s="261" t="s">
        <v>16</v>
      </c>
      <c r="F275" s="262" t="s">
        <v>111</v>
      </c>
      <c r="G275" s="148">
        <v>3.4807480000000002</v>
      </c>
      <c r="H275" s="304"/>
      <c r="I275" s="301"/>
      <c r="J275" s="304"/>
      <c r="K275" s="301"/>
      <c r="L275" s="294"/>
      <c r="M275" s="304"/>
      <c r="N275" s="355"/>
      <c r="O275" s="344"/>
      <c r="P275" s="347"/>
      <c r="Q275" s="336"/>
    </row>
    <row r="276" spans="1:17" ht="45" x14ac:dyDescent="0.25">
      <c r="A276" s="279" t="s">
        <v>263</v>
      </c>
      <c r="B276" s="81">
        <v>31</v>
      </c>
      <c r="C276" s="261" t="s">
        <v>8</v>
      </c>
      <c r="D276" s="262" t="s">
        <v>212</v>
      </c>
      <c r="E276" s="261" t="s">
        <v>16</v>
      </c>
      <c r="F276" s="262" t="s">
        <v>111</v>
      </c>
      <c r="G276" s="149">
        <f>30+0.511094</f>
        <v>30.511094</v>
      </c>
      <c r="H276" s="261"/>
      <c r="I276" s="262"/>
      <c r="J276" s="261"/>
      <c r="K276" s="262"/>
      <c r="L276" s="148"/>
      <c r="M276" s="261" t="s">
        <v>11</v>
      </c>
      <c r="N276" s="268" t="s">
        <v>239</v>
      </c>
      <c r="O276" s="274" t="s">
        <v>475</v>
      </c>
      <c r="P276" s="278" t="s">
        <v>582</v>
      </c>
      <c r="Q276" s="271">
        <v>44255</v>
      </c>
    </row>
    <row r="277" spans="1:17" x14ac:dyDescent="0.25">
      <c r="A277" s="319" t="s">
        <v>264</v>
      </c>
      <c r="B277" s="299">
        <v>10</v>
      </c>
      <c r="C277" s="302" t="s">
        <v>415</v>
      </c>
      <c r="D277" s="299" t="s">
        <v>156</v>
      </c>
      <c r="E277" s="302" t="s">
        <v>16</v>
      </c>
      <c r="F277" s="299" t="s">
        <v>111</v>
      </c>
      <c r="G277" s="438">
        <f>0.235939+0.024684</f>
        <v>0.26062299999999999</v>
      </c>
      <c r="H277" s="261" t="s">
        <v>511</v>
      </c>
      <c r="I277" s="262" t="s">
        <v>156</v>
      </c>
      <c r="J277" s="261" t="s">
        <v>16</v>
      </c>
      <c r="K277" s="262" t="s">
        <v>111</v>
      </c>
      <c r="L277" s="143">
        <v>0.74947299999999994</v>
      </c>
      <c r="M277" s="302" t="s">
        <v>11</v>
      </c>
      <c r="N277" s="353" t="s">
        <v>160</v>
      </c>
      <c r="O277" s="299" t="s">
        <v>219</v>
      </c>
      <c r="P277" s="302"/>
      <c r="Q277" s="375"/>
    </row>
    <row r="278" spans="1:17" s="54" customFormat="1" x14ac:dyDescent="0.25">
      <c r="A278" s="320"/>
      <c r="B278" s="300"/>
      <c r="C278" s="304"/>
      <c r="D278" s="301"/>
      <c r="E278" s="304"/>
      <c r="F278" s="301"/>
      <c r="G278" s="439"/>
      <c r="H278" s="261" t="s">
        <v>511</v>
      </c>
      <c r="I278" s="262" t="s">
        <v>156</v>
      </c>
      <c r="J278" s="261" t="s">
        <v>10</v>
      </c>
      <c r="K278" s="262"/>
      <c r="L278" s="165">
        <v>9.9109999999999997E-3</v>
      </c>
      <c r="M278" s="303"/>
      <c r="N278" s="354"/>
      <c r="O278" s="300"/>
      <c r="P278" s="303"/>
      <c r="Q278" s="317"/>
    </row>
    <row r="279" spans="1:17" s="54" customFormat="1" x14ac:dyDescent="0.25">
      <c r="A279" s="320"/>
      <c r="B279" s="300"/>
      <c r="C279" s="302" t="s">
        <v>42</v>
      </c>
      <c r="D279" s="299" t="s">
        <v>66</v>
      </c>
      <c r="E279" s="302" t="s">
        <v>111</v>
      </c>
      <c r="F279" s="299" t="s">
        <v>111</v>
      </c>
      <c r="G279" s="440" t="s">
        <v>111</v>
      </c>
      <c r="H279" s="261" t="s">
        <v>511</v>
      </c>
      <c r="I279" s="262" t="s">
        <v>66</v>
      </c>
      <c r="J279" s="261" t="s">
        <v>16</v>
      </c>
      <c r="K279" s="262" t="s">
        <v>111</v>
      </c>
      <c r="L279" s="143">
        <v>1.420876</v>
      </c>
      <c r="M279" s="303"/>
      <c r="N279" s="354"/>
      <c r="O279" s="300"/>
      <c r="P279" s="303"/>
      <c r="Q279" s="317"/>
    </row>
    <row r="280" spans="1:17" s="54" customFormat="1" x14ac:dyDescent="0.25">
      <c r="A280" s="320"/>
      <c r="B280" s="300"/>
      <c r="C280" s="304"/>
      <c r="D280" s="301"/>
      <c r="E280" s="304"/>
      <c r="F280" s="301"/>
      <c r="G280" s="441"/>
      <c r="H280" s="261" t="s">
        <v>511</v>
      </c>
      <c r="I280" s="262" t="s">
        <v>66</v>
      </c>
      <c r="J280" s="261" t="s">
        <v>10</v>
      </c>
      <c r="K280" s="262"/>
      <c r="L280" s="163">
        <v>6.6338999999999995E-2</v>
      </c>
      <c r="M280" s="303"/>
      <c r="N280" s="354"/>
      <c r="O280" s="300"/>
      <c r="P280" s="303"/>
      <c r="Q280" s="317"/>
    </row>
    <row r="281" spans="1:17" s="54" customFormat="1" ht="30" x14ac:dyDescent="0.25">
      <c r="A281" s="320"/>
      <c r="B281" s="300"/>
      <c r="C281" s="302" t="s">
        <v>42</v>
      </c>
      <c r="D281" s="299" t="s">
        <v>68</v>
      </c>
      <c r="E281" s="302" t="s">
        <v>111</v>
      </c>
      <c r="F281" s="299" t="s">
        <v>111</v>
      </c>
      <c r="G281" s="440" t="s">
        <v>111</v>
      </c>
      <c r="H281" s="261" t="s">
        <v>511</v>
      </c>
      <c r="I281" s="262" t="s">
        <v>68</v>
      </c>
      <c r="J281" s="261" t="s">
        <v>16</v>
      </c>
      <c r="K281" s="262" t="s">
        <v>111</v>
      </c>
      <c r="L281" s="143">
        <v>2.6719569999999999</v>
      </c>
      <c r="M281" s="303"/>
      <c r="N281" s="354"/>
      <c r="O281" s="300"/>
      <c r="P281" s="303"/>
      <c r="Q281" s="317"/>
    </row>
    <row r="282" spans="1:17" s="54" customFormat="1" ht="30" x14ac:dyDescent="0.25">
      <c r="A282" s="320"/>
      <c r="B282" s="300"/>
      <c r="C282" s="304"/>
      <c r="D282" s="301"/>
      <c r="E282" s="304"/>
      <c r="F282" s="301"/>
      <c r="G282" s="441"/>
      <c r="H282" s="261" t="s">
        <v>511</v>
      </c>
      <c r="I282" s="262" t="s">
        <v>68</v>
      </c>
      <c r="J282" s="261" t="s">
        <v>10</v>
      </c>
      <c r="K282" s="262"/>
      <c r="L282" s="165">
        <v>2.5597000000000002E-2</v>
      </c>
      <c r="M282" s="303"/>
      <c r="N282" s="354"/>
      <c r="O282" s="300"/>
      <c r="P282" s="303"/>
      <c r="Q282" s="317"/>
    </row>
    <row r="283" spans="1:17" s="54" customFormat="1" ht="30" x14ac:dyDescent="0.25">
      <c r="A283" s="320"/>
      <c r="B283" s="300"/>
      <c r="C283" s="302" t="s">
        <v>415</v>
      </c>
      <c r="D283" s="299" t="s">
        <v>158</v>
      </c>
      <c r="E283" s="302" t="s">
        <v>16</v>
      </c>
      <c r="F283" s="299" t="s">
        <v>111</v>
      </c>
      <c r="G283" s="438">
        <v>0.10349999999999999</v>
      </c>
      <c r="H283" s="261" t="s">
        <v>511</v>
      </c>
      <c r="I283" s="262" t="s">
        <v>158</v>
      </c>
      <c r="J283" s="261" t="s">
        <v>16</v>
      </c>
      <c r="K283" s="262" t="s">
        <v>111</v>
      </c>
      <c r="L283" s="143">
        <v>3.861256</v>
      </c>
      <c r="M283" s="303"/>
      <c r="N283" s="354"/>
      <c r="O283" s="300"/>
      <c r="P283" s="303"/>
      <c r="Q283" s="317"/>
    </row>
    <row r="284" spans="1:17" s="54" customFormat="1" ht="30" x14ac:dyDescent="0.25">
      <c r="A284" s="320"/>
      <c r="B284" s="300"/>
      <c r="C284" s="304"/>
      <c r="D284" s="301"/>
      <c r="E284" s="304"/>
      <c r="F284" s="301"/>
      <c r="G284" s="439"/>
      <c r="H284" s="261" t="s">
        <v>511</v>
      </c>
      <c r="I284" s="262" t="s">
        <v>158</v>
      </c>
      <c r="J284" s="261" t="s">
        <v>10</v>
      </c>
      <c r="K284" s="262"/>
      <c r="L284" s="165">
        <v>2.5597000000000002E-2</v>
      </c>
      <c r="M284" s="303"/>
      <c r="N284" s="354"/>
      <c r="O284" s="300"/>
      <c r="P284" s="303"/>
      <c r="Q284" s="317"/>
    </row>
    <row r="285" spans="1:17" s="54" customFormat="1" ht="28.5" customHeight="1" x14ac:dyDescent="0.25">
      <c r="A285" s="320"/>
      <c r="B285" s="300"/>
      <c r="C285" s="302" t="s">
        <v>42</v>
      </c>
      <c r="D285" s="299" t="s">
        <v>159</v>
      </c>
      <c r="E285" s="302" t="s">
        <v>111</v>
      </c>
      <c r="F285" s="299" t="s">
        <v>111</v>
      </c>
      <c r="G285" s="440" t="s">
        <v>111</v>
      </c>
      <c r="H285" s="261" t="s">
        <v>511</v>
      </c>
      <c r="I285" s="262" t="s">
        <v>159</v>
      </c>
      <c r="J285" s="261" t="s">
        <v>16</v>
      </c>
      <c r="K285" s="262" t="s">
        <v>111</v>
      </c>
      <c r="L285" s="143">
        <v>8.1332140000000006</v>
      </c>
      <c r="M285" s="303"/>
      <c r="N285" s="354"/>
      <c r="O285" s="300"/>
      <c r="P285" s="303"/>
      <c r="Q285" s="317"/>
    </row>
    <row r="286" spans="1:17" s="54" customFormat="1" ht="30" x14ac:dyDescent="0.25">
      <c r="A286" s="321"/>
      <c r="B286" s="301"/>
      <c r="C286" s="304"/>
      <c r="D286" s="301"/>
      <c r="E286" s="304"/>
      <c r="F286" s="301"/>
      <c r="G286" s="441"/>
      <c r="H286" s="261" t="s">
        <v>511</v>
      </c>
      <c r="I286" s="262" t="s">
        <v>159</v>
      </c>
      <c r="J286" s="261" t="s">
        <v>10</v>
      </c>
      <c r="K286" s="262"/>
      <c r="L286" s="165">
        <v>7.6789999999999997E-2</v>
      </c>
      <c r="M286" s="304"/>
      <c r="N286" s="355"/>
      <c r="O286" s="301"/>
      <c r="P286" s="304"/>
      <c r="Q286" s="318"/>
    </row>
    <row r="287" spans="1:17" s="54" customFormat="1" x14ac:dyDescent="0.25">
      <c r="A287" s="319" t="s">
        <v>265</v>
      </c>
      <c r="B287" s="299">
        <v>151</v>
      </c>
      <c r="C287" s="302" t="s">
        <v>415</v>
      </c>
      <c r="D287" s="302" t="s">
        <v>355</v>
      </c>
      <c r="E287" s="302" t="s">
        <v>16</v>
      </c>
      <c r="F287" s="299" t="s">
        <v>111</v>
      </c>
      <c r="G287" s="292">
        <v>135.75823500000001</v>
      </c>
      <c r="H287" s="261" t="s">
        <v>511</v>
      </c>
      <c r="I287" s="262" t="s">
        <v>355</v>
      </c>
      <c r="J287" s="261" t="s">
        <v>16</v>
      </c>
      <c r="K287" s="262" t="s">
        <v>111</v>
      </c>
      <c r="L287" s="239">
        <v>11.838437000000001</v>
      </c>
      <c r="M287" s="302" t="s">
        <v>11</v>
      </c>
      <c r="N287" s="353" t="s">
        <v>400</v>
      </c>
      <c r="O287" s="299" t="s">
        <v>19</v>
      </c>
      <c r="P287" s="357" t="s">
        <v>446</v>
      </c>
      <c r="Q287" s="316">
        <v>44265</v>
      </c>
    </row>
    <row r="288" spans="1:17" x14ac:dyDescent="0.25">
      <c r="A288" s="321"/>
      <c r="B288" s="301"/>
      <c r="C288" s="304"/>
      <c r="D288" s="304"/>
      <c r="E288" s="304"/>
      <c r="F288" s="301"/>
      <c r="G288" s="294"/>
      <c r="H288" s="261" t="s">
        <v>511</v>
      </c>
      <c r="I288" s="261" t="s">
        <v>355</v>
      </c>
      <c r="J288" s="261" t="s">
        <v>10</v>
      </c>
      <c r="K288" s="262"/>
      <c r="L288" s="143">
        <v>3.1963780000000002</v>
      </c>
      <c r="M288" s="304"/>
      <c r="N288" s="355"/>
      <c r="O288" s="301"/>
      <c r="P288" s="359"/>
      <c r="Q288" s="336"/>
    </row>
    <row r="289" spans="1:17" x14ac:dyDescent="0.25">
      <c r="A289" s="319" t="s">
        <v>266</v>
      </c>
      <c r="B289" s="299">
        <f>74+54</f>
        <v>128</v>
      </c>
      <c r="C289" s="261" t="s">
        <v>8</v>
      </c>
      <c r="D289" s="261" t="s">
        <v>267</v>
      </c>
      <c r="E289" s="261" t="s">
        <v>16</v>
      </c>
      <c r="F289" s="262" t="s">
        <v>111</v>
      </c>
      <c r="G289" s="143">
        <v>74.099999999999994</v>
      </c>
      <c r="H289" s="292"/>
      <c r="I289" s="292"/>
      <c r="J289" s="292"/>
      <c r="K289" s="408"/>
      <c r="L289" s="292"/>
      <c r="M289" s="302" t="s">
        <v>11</v>
      </c>
      <c r="N289" s="353" t="s">
        <v>268</v>
      </c>
      <c r="O289" s="352" t="s">
        <v>475</v>
      </c>
      <c r="P289" s="345" t="s">
        <v>463</v>
      </c>
      <c r="Q289" s="413">
        <v>44255</v>
      </c>
    </row>
    <row r="290" spans="1:17" s="54" customFormat="1" x14ac:dyDescent="0.25">
      <c r="A290" s="321"/>
      <c r="B290" s="301"/>
      <c r="C290" s="261" t="s">
        <v>415</v>
      </c>
      <c r="D290" s="261" t="s">
        <v>267</v>
      </c>
      <c r="E290" s="261" t="s">
        <v>16</v>
      </c>
      <c r="F290" s="262" t="s">
        <v>111</v>
      </c>
      <c r="G290" s="143">
        <v>54.1</v>
      </c>
      <c r="H290" s="294"/>
      <c r="I290" s="294"/>
      <c r="J290" s="294"/>
      <c r="K290" s="410"/>
      <c r="L290" s="294"/>
      <c r="M290" s="304"/>
      <c r="N290" s="355"/>
      <c r="O290" s="352"/>
      <c r="P290" s="347"/>
      <c r="Q290" s="414"/>
    </row>
    <row r="291" spans="1:17" ht="45" x14ac:dyDescent="0.25">
      <c r="A291" s="279" t="s">
        <v>269</v>
      </c>
      <c r="B291" s="81">
        <v>5</v>
      </c>
      <c r="C291" s="261" t="s">
        <v>415</v>
      </c>
      <c r="D291" s="262" t="s">
        <v>353</v>
      </c>
      <c r="E291" s="261" t="s">
        <v>16</v>
      </c>
      <c r="F291" s="262" t="s">
        <v>111</v>
      </c>
      <c r="G291" s="143">
        <v>1.944599</v>
      </c>
      <c r="H291" s="261"/>
      <c r="I291" s="262"/>
      <c r="J291" s="261"/>
      <c r="K291" s="262"/>
      <c r="L291" s="143"/>
      <c r="M291" s="261" t="s">
        <v>11</v>
      </c>
      <c r="N291" s="268" t="s">
        <v>401</v>
      </c>
      <c r="O291" s="274" t="s">
        <v>475</v>
      </c>
      <c r="P291" s="278" t="s">
        <v>595</v>
      </c>
      <c r="Q291" s="271">
        <v>44255</v>
      </c>
    </row>
    <row r="292" spans="1:17" ht="30" x14ac:dyDescent="0.25">
      <c r="A292" s="279" t="s">
        <v>270</v>
      </c>
      <c r="B292" s="81">
        <v>25</v>
      </c>
      <c r="C292" s="261" t="s">
        <v>42</v>
      </c>
      <c r="D292" s="262" t="s">
        <v>22</v>
      </c>
      <c r="E292" s="261" t="s">
        <v>111</v>
      </c>
      <c r="F292" s="262" t="s">
        <v>111</v>
      </c>
      <c r="G292" s="143" t="s">
        <v>111</v>
      </c>
      <c r="H292" s="261"/>
      <c r="I292" s="262"/>
      <c r="J292" s="261"/>
      <c r="K292" s="262"/>
      <c r="L292" s="143"/>
      <c r="M292" s="261" t="s">
        <v>11</v>
      </c>
      <c r="N292" s="273" t="s">
        <v>23</v>
      </c>
      <c r="O292" s="261" t="s">
        <v>13</v>
      </c>
      <c r="P292" s="278"/>
      <c r="Q292" s="272"/>
    </row>
    <row r="293" spans="1:17" ht="30" x14ac:dyDescent="0.25">
      <c r="A293" s="279" t="s">
        <v>271</v>
      </c>
      <c r="B293" s="81">
        <v>26</v>
      </c>
      <c r="C293" s="261" t="s">
        <v>415</v>
      </c>
      <c r="D293" s="262" t="s">
        <v>35</v>
      </c>
      <c r="E293" s="261" t="s">
        <v>16</v>
      </c>
      <c r="F293" s="262" t="s">
        <v>111</v>
      </c>
      <c r="G293" s="143">
        <v>2.5999460000000001</v>
      </c>
      <c r="H293" s="261" t="s">
        <v>511</v>
      </c>
      <c r="I293" s="262" t="s">
        <v>35</v>
      </c>
      <c r="J293" s="261" t="s">
        <v>10</v>
      </c>
      <c r="K293" s="262"/>
      <c r="L293" s="143">
        <v>0.813523</v>
      </c>
      <c r="M293" s="261" t="s">
        <v>11</v>
      </c>
      <c r="N293" s="268" t="s">
        <v>402</v>
      </c>
      <c r="O293" s="262" t="s">
        <v>219</v>
      </c>
      <c r="P293" s="278"/>
      <c r="Q293" s="272"/>
    </row>
    <row r="294" spans="1:17" ht="30" x14ac:dyDescent="0.25">
      <c r="A294" s="279" t="s">
        <v>272</v>
      </c>
      <c r="B294" s="81">
        <v>16</v>
      </c>
      <c r="C294" s="261" t="s">
        <v>42</v>
      </c>
      <c r="D294" s="262" t="s">
        <v>35</v>
      </c>
      <c r="E294" s="261" t="s">
        <v>111</v>
      </c>
      <c r="F294" s="262" t="s">
        <v>111</v>
      </c>
      <c r="G294" s="143" t="s">
        <v>111</v>
      </c>
      <c r="H294" s="261"/>
      <c r="I294" s="262"/>
      <c r="J294" s="261"/>
      <c r="K294" s="262"/>
      <c r="L294" s="143"/>
      <c r="M294" s="261" t="s">
        <v>11</v>
      </c>
      <c r="N294" s="268" t="s">
        <v>402</v>
      </c>
      <c r="O294" s="262" t="s">
        <v>219</v>
      </c>
      <c r="P294" s="278"/>
      <c r="Q294" s="272"/>
    </row>
    <row r="295" spans="1:17" x14ac:dyDescent="0.25">
      <c r="A295" s="279" t="s">
        <v>273</v>
      </c>
      <c r="B295" s="81">
        <v>46</v>
      </c>
      <c r="C295" s="261" t="s">
        <v>415</v>
      </c>
      <c r="D295" s="262" t="s">
        <v>277</v>
      </c>
      <c r="E295" s="261" t="s">
        <v>16</v>
      </c>
      <c r="F295" s="262" t="s">
        <v>111</v>
      </c>
      <c r="G295" s="143">
        <v>46</v>
      </c>
      <c r="H295" s="261"/>
      <c r="I295" s="262"/>
      <c r="J295" s="261"/>
      <c r="K295" s="262"/>
      <c r="L295" s="143"/>
      <c r="M295" s="261" t="s">
        <v>11</v>
      </c>
      <c r="N295" s="268" t="s">
        <v>404</v>
      </c>
      <c r="O295" s="262" t="s">
        <v>219</v>
      </c>
      <c r="P295" s="278"/>
      <c r="Q295" s="272"/>
    </row>
    <row r="296" spans="1:17" ht="30" customHeight="1" x14ac:dyDescent="0.25">
      <c r="A296" s="319" t="s">
        <v>274</v>
      </c>
      <c r="B296" s="299">
        <v>50</v>
      </c>
      <c r="C296" s="261" t="s">
        <v>415</v>
      </c>
      <c r="D296" s="262" t="s">
        <v>421</v>
      </c>
      <c r="E296" s="261" t="s">
        <v>16</v>
      </c>
      <c r="F296" s="262" t="s">
        <v>111</v>
      </c>
      <c r="G296" s="143">
        <v>5.5008489999999997</v>
      </c>
      <c r="H296" s="261"/>
      <c r="I296" s="262"/>
      <c r="J296" s="261"/>
      <c r="K296" s="262"/>
      <c r="L296" s="143"/>
      <c r="M296" s="302" t="s">
        <v>11</v>
      </c>
      <c r="N296" s="353" t="s">
        <v>404</v>
      </c>
      <c r="O296" s="274" t="s">
        <v>475</v>
      </c>
      <c r="P296" s="206" t="s">
        <v>540</v>
      </c>
      <c r="Q296" s="280">
        <v>44255</v>
      </c>
    </row>
    <row r="297" spans="1:17" s="54" customFormat="1" ht="30" customHeight="1" x14ac:dyDescent="0.25">
      <c r="A297" s="320"/>
      <c r="B297" s="300"/>
      <c r="C297" s="302" t="s">
        <v>415</v>
      </c>
      <c r="D297" s="299" t="s">
        <v>422</v>
      </c>
      <c r="E297" s="302" t="s">
        <v>16</v>
      </c>
      <c r="F297" s="299" t="s">
        <v>111</v>
      </c>
      <c r="G297" s="292">
        <v>0.50501499999999999</v>
      </c>
      <c r="H297" s="256" t="s">
        <v>511</v>
      </c>
      <c r="I297" s="262" t="s">
        <v>422</v>
      </c>
      <c r="J297" s="261" t="s">
        <v>16</v>
      </c>
      <c r="K297" s="262" t="s">
        <v>111</v>
      </c>
      <c r="L297" s="163">
        <v>6.6402000000000003E-2</v>
      </c>
      <c r="M297" s="303"/>
      <c r="N297" s="354"/>
      <c r="O297" s="352" t="s">
        <v>475</v>
      </c>
      <c r="P297" s="345" t="s">
        <v>604</v>
      </c>
      <c r="Q297" s="413">
        <v>44255</v>
      </c>
    </row>
    <row r="298" spans="1:17" s="54" customFormat="1" x14ac:dyDescent="0.25">
      <c r="A298" s="321"/>
      <c r="B298" s="301"/>
      <c r="C298" s="304"/>
      <c r="D298" s="301"/>
      <c r="E298" s="304"/>
      <c r="F298" s="301"/>
      <c r="G298" s="294"/>
      <c r="H298" s="256" t="s">
        <v>511</v>
      </c>
      <c r="I298" s="262" t="s">
        <v>422</v>
      </c>
      <c r="J298" s="261" t="s">
        <v>10</v>
      </c>
      <c r="K298" s="262"/>
      <c r="L298" s="165">
        <v>1.7929E-2</v>
      </c>
      <c r="M298" s="304"/>
      <c r="N298" s="355"/>
      <c r="O298" s="352"/>
      <c r="P298" s="347"/>
      <c r="Q298" s="437"/>
    </row>
    <row r="299" spans="1:17" x14ac:dyDescent="0.25">
      <c r="A299" s="319" t="s">
        <v>275</v>
      </c>
      <c r="B299" s="299">
        <v>0</v>
      </c>
      <c r="C299" s="302" t="s">
        <v>42</v>
      </c>
      <c r="D299" s="258" t="s">
        <v>141</v>
      </c>
      <c r="E299" s="146" t="s">
        <v>111</v>
      </c>
      <c r="F299" s="255" t="s">
        <v>111</v>
      </c>
      <c r="G299" s="143" t="s">
        <v>111</v>
      </c>
      <c r="H299" s="203"/>
      <c r="I299" s="258"/>
      <c r="J299" s="261"/>
      <c r="K299" s="255"/>
      <c r="L299" s="143"/>
      <c r="M299" s="261" t="s">
        <v>377</v>
      </c>
      <c r="N299" s="261"/>
      <c r="O299" s="261"/>
      <c r="P299" s="278"/>
      <c r="Q299" s="272"/>
    </row>
    <row r="300" spans="1:17" s="54" customFormat="1" ht="30" x14ac:dyDescent="0.25">
      <c r="A300" s="320"/>
      <c r="B300" s="300"/>
      <c r="C300" s="303"/>
      <c r="D300" s="299" t="s">
        <v>35</v>
      </c>
      <c r="E300" s="311" t="s">
        <v>111</v>
      </c>
      <c r="F300" s="299" t="s">
        <v>111</v>
      </c>
      <c r="G300" s="305" t="s">
        <v>111</v>
      </c>
      <c r="H300" s="261" t="s">
        <v>511</v>
      </c>
      <c r="I300" s="262" t="s">
        <v>35</v>
      </c>
      <c r="J300" s="261" t="s">
        <v>16</v>
      </c>
      <c r="K300" s="254" t="s">
        <v>111</v>
      </c>
      <c r="L300" s="259">
        <v>92.579048999999998</v>
      </c>
      <c r="M300" s="302" t="s">
        <v>377</v>
      </c>
      <c r="N300" s="302"/>
      <c r="O300" s="302"/>
      <c r="P300" s="302"/>
      <c r="Q300" s="375"/>
    </row>
    <row r="301" spans="1:17" s="54" customFormat="1" ht="30" x14ac:dyDescent="0.25">
      <c r="A301" s="321"/>
      <c r="B301" s="301"/>
      <c r="C301" s="304"/>
      <c r="D301" s="301"/>
      <c r="E301" s="311"/>
      <c r="F301" s="301"/>
      <c r="G301" s="307"/>
      <c r="H301" s="261" t="s">
        <v>511</v>
      </c>
      <c r="I301" s="262" t="s">
        <v>35</v>
      </c>
      <c r="J301" s="261" t="s">
        <v>10</v>
      </c>
      <c r="K301" s="253"/>
      <c r="L301" s="259">
        <v>5.9055989999999996</v>
      </c>
      <c r="M301" s="304"/>
      <c r="N301" s="304"/>
      <c r="O301" s="304"/>
      <c r="P301" s="304"/>
      <c r="Q301" s="318"/>
    </row>
    <row r="302" spans="1:17" ht="45.75" thickBot="1" x14ac:dyDescent="0.3">
      <c r="A302" s="266" t="s">
        <v>276</v>
      </c>
      <c r="B302" s="97">
        <v>188</v>
      </c>
      <c r="C302" s="256" t="s">
        <v>415</v>
      </c>
      <c r="D302" s="253" t="s">
        <v>354</v>
      </c>
      <c r="E302" s="256" t="s">
        <v>16</v>
      </c>
      <c r="F302" s="253" t="s">
        <v>111</v>
      </c>
      <c r="G302" s="259">
        <v>187.5</v>
      </c>
      <c r="H302" s="256"/>
      <c r="I302" s="253"/>
      <c r="J302" s="256"/>
      <c r="K302" s="253"/>
      <c r="L302" s="259"/>
      <c r="M302" s="261" t="s">
        <v>11</v>
      </c>
      <c r="N302" s="275" t="s">
        <v>403</v>
      </c>
      <c r="O302" s="274" t="s">
        <v>475</v>
      </c>
      <c r="P302" s="276" t="s">
        <v>608</v>
      </c>
      <c r="Q302" s="265">
        <v>44255</v>
      </c>
    </row>
    <row r="303" spans="1:17" ht="15.75" thickBot="1" x14ac:dyDescent="0.3">
      <c r="A303" s="25" t="s">
        <v>352</v>
      </c>
      <c r="B303" s="87">
        <f>SUM(B4:B302)</f>
        <v>232278</v>
      </c>
      <c r="C303" s="22"/>
      <c r="D303" s="22"/>
      <c r="E303" s="22"/>
      <c r="F303" s="22"/>
      <c r="G303" s="38">
        <f>SUM(G4:G302)</f>
        <v>113011.999396</v>
      </c>
      <c r="H303" s="22"/>
      <c r="I303" s="22"/>
      <c r="J303" s="22"/>
      <c r="K303" s="22"/>
      <c r="L303" s="38">
        <f>SUM(L4:L302)</f>
        <v>12366.440100999993</v>
      </c>
      <c r="M303" s="22"/>
      <c r="N303" s="22"/>
      <c r="O303" s="22"/>
      <c r="P303" s="22"/>
      <c r="Q303" s="23"/>
    </row>
    <row r="304" spans="1:17" s="54" customFormat="1" ht="15.75" thickBot="1" x14ac:dyDescent="0.3">
      <c r="A304" s="25" t="s">
        <v>516</v>
      </c>
      <c r="B304" s="76"/>
      <c r="C304" s="22"/>
      <c r="D304" s="22"/>
      <c r="E304" s="22"/>
      <c r="F304" s="22"/>
      <c r="G304" s="38">
        <f>SUMIF(C4:C302,"*Supps A*",G4:G302)</f>
        <v>77334.329612999994</v>
      </c>
      <c r="H304" s="22"/>
      <c r="I304" s="22"/>
      <c r="J304" s="22"/>
      <c r="K304" s="22"/>
      <c r="L304" s="38"/>
      <c r="M304" s="67"/>
      <c r="N304" s="22"/>
      <c r="O304" s="22"/>
      <c r="P304" s="22"/>
      <c r="Q304" s="23"/>
    </row>
    <row r="305" spans="1:17" s="54" customFormat="1" ht="15.75" thickBot="1" x14ac:dyDescent="0.3">
      <c r="A305" s="25" t="s">
        <v>517</v>
      </c>
      <c r="B305" s="76"/>
      <c r="C305" s="22"/>
      <c r="D305" s="22"/>
      <c r="E305" s="22"/>
      <c r="F305" s="22"/>
      <c r="G305" s="38">
        <f>SUMIF(C4:C302,"*Supps B*",G4:G302)</f>
        <v>36072.668049000007</v>
      </c>
      <c r="H305" s="22"/>
      <c r="I305" s="22"/>
      <c r="J305" s="22"/>
      <c r="K305" s="22"/>
      <c r="L305" s="38"/>
      <c r="M305" s="22"/>
      <c r="N305" s="22"/>
      <c r="O305" s="22"/>
      <c r="P305" s="22"/>
      <c r="Q305" s="23"/>
    </row>
    <row r="306" spans="1:17" s="54" customFormat="1" ht="18" customHeight="1" thickBot="1" x14ac:dyDescent="0.3">
      <c r="A306" s="63" t="s">
        <v>518</v>
      </c>
      <c r="B306" s="245"/>
      <c r="C306" s="64"/>
      <c r="D306" s="64"/>
      <c r="E306" s="64"/>
      <c r="F306" s="64"/>
      <c r="G306" s="65">
        <f>SUMIF(C4:C302,"*Supps C*",G4:G302)</f>
        <v>-394.99826600000245</v>
      </c>
      <c r="H306" s="64"/>
      <c r="I306" s="64"/>
      <c r="J306" s="64"/>
      <c r="K306" s="64"/>
      <c r="L306" s="65"/>
      <c r="M306" s="64"/>
      <c r="N306" s="64"/>
      <c r="O306" s="64"/>
      <c r="P306" s="64"/>
      <c r="Q306" s="66"/>
    </row>
    <row r="307" spans="1:17" ht="15.75" thickBot="1" x14ac:dyDescent="0.3">
      <c r="A307" s="244" t="s">
        <v>519</v>
      </c>
      <c r="B307" s="22"/>
      <c r="C307" s="22"/>
      <c r="D307" s="22"/>
      <c r="E307" s="22"/>
      <c r="F307" s="22"/>
      <c r="G307" s="22"/>
      <c r="H307" s="22"/>
      <c r="I307" s="22"/>
      <c r="J307" s="22"/>
      <c r="K307" s="22"/>
      <c r="L307" s="38">
        <f>SUMIF(H4:H302,"*Mains*",L4:L302)</f>
        <v>12366.440100999993</v>
      </c>
      <c r="M307" s="22"/>
      <c r="N307" s="22"/>
      <c r="O307" s="22"/>
      <c r="P307" s="22"/>
      <c r="Q307" s="23"/>
    </row>
    <row r="308" spans="1:17" s="54" customFormat="1" x14ac:dyDescent="0.25"/>
    <row r="309" spans="1:17" s="54" customFormat="1" ht="17.25" x14ac:dyDescent="0.25">
      <c r="A309" s="88" t="s">
        <v>383</v>
      </c>
    </row>
    <row r="310" spans="1:17" s="54" customFormat="1" x14ac:dyDescent="0.25">
      <c r="A310" s="88" t="s">
        <v>625</v>
      </c>
    </row>
    <row r="311" spans="1:17" x14ac:dyDescent="0.25">
      <c r="A311" s="56" t="s">
        <v>390</v>
      </c>
      <c r="B311" s="56"/>
    </row>
    <row r="312" spans="1:17" s="54" customFormat="1" x14ac:dyDescent="0.25">
      <c r="A312" s="53" t="s">
        <v>472</v>
      </c>
      <c r="B312" s="56"/>
    </row>
    <row r="313" spans="1:17" x14ac:dyDescent="0.25">
      <c r="A313" s="53" t="s">
        <v>506</v>
      </c>
    </row>
    <row r="314" spans="1:17" x14ac:dyDescent="0.25">
      <c r="A314" s="53" t="s">
        <v>496</v>
      </c>
    </row>
  </sheetData>
  <mergeCells count="681">
    <mergeCell ref="M204:M206"/>
    <mergeCell ref="N204:N206"/>
    <mergeCell ref="O204:O206"/>
    <mergeCell ref="P204:P206"/>
    <mergeCell ref="Q204:Q206"/>
    <mergeCell ref="E277:E278"/>
    <mergeCell ref="F277:F278"/>
    <mergeCell ref="G277:G278"/>
    <mergeCell ref="C279:C280"/>
    <mergeCell ref="D279:D280"/>
    <mergeCell ref="M277:M286"/>
    <mergeCell ref="N277:N286"/>
    <mergeCell ref="O277:O286"/>
    <mergeCell ref="P277:P286"/>
    <mergeCell ref="Q277:Q286"/>
    <mergeCell ref="C277:C278"/>
    <mergeCell ref="D277:D278"/>
    <mergeCell ref="F279:F280"/>
    <mergeCell ref="G279:G280"/>
    <mergeCell ref="J272:J275"/>
    <mergeCell ref="K272:K275"/>
    <mergeCell ref="L272:L275"/>
    <mergeCell ref="O228:O229"/>
    <mergeCell ref="N230:N233"/>
    <mergeCell ref="A287:A288"/>
    <mergeCell ref="B287:B288"/>
    <mergeCell ref="C287:C288"/>
    <mergeCell ref="D287:D288"/>
    <mergeCell ref="E287:E288"/>
    <mergeCell ref="F287:F288"/>
    <mergeCell ref="G287:G288"/>
    <mergeCell ref="A277:A286"/>
    <mergeCell ref="B277:B286"/>
    <mergeCell ref="C285:C286"/>
    <mergeCell ref="D285:D286"/>
    <mergeCell ref="E285:E286"/>
    <mergeCell ref="F285:F286"/>
    <mergeCell ref="G285:G286"/>
    <mergeCell ref="C281:C282"/>
    <mergeCell ref="E281:E282"/>
    <mergeCell ref="F281:F282"/>
    <mergeCell ref="G281:G282"/>
    <mergeCell ref="D281:D282"/>
    <mergeCell ref="C283:C284"/>
    <mergeCell ref="D283:D284"/>
    <mergeCell ref="E283:E284"/>
    <mergeCell ref="F283:F284"/>
    <mergeCell ref="G283:G284"/>
    <mergeCell ref="C297:C298"/>
    <mergeCell ref="D297:D298"/>
    <mergeCell ref="E297:E298"/>
    <mergeCell ref="F297:F298"/>
    <mergeCell ref="G297:G298"/>
    <mergeCell ref="O297:O298"/>
    <mergeCell ref="P297:P298"/>
    <mergeCell ref="Q297:Q298"/>
    <mergeCell ref="O287:O288"/>
    <mergeCell ref="P287:P288"/>
    <mergeCell ref="Q287:Q288"/>
    <mergeCell ref="M287:M288"/>
    <mergeCell ref="N287:N288"/>
    <mergeCell ref="O289:O290"/>
    <mergeCell ref="P289:P290"/>
    <mergeCell ref="Q289:Q290"/>
    <mergeCell ref="L289:L290"/>
    <mergeCell ref="H289:H290"/>
    <mergeCell ref="I289:I290"/>
    <mergeCell ref="J289:J290"/>
    <mergeCell ref="K289:K290"/>
    <mergeCell ref="N296:N298"/>
    <mergeCell ref="H190:H191"/>
    <mergeCell ref="I190:I191"/>
    <mergeCell ref="J190:J191"/>
    <mergeCell ref="K190:K191"/>
    <mergeCell ref="L190:L191"/>
    <mergeCell ref="H119:H122"/>
    <mergeCell ref="I119:I122"/>
    <mergeCell ref="D123:D124"/>
    <mergeCell ref="E79:E80"/>
    <mergeCell ref="F79:F80"/>
    <mergeCell ref="K136:K138"/>
    <mergeCell ref="L141:L142"/>
    <mergeCell ref="L100:L101"/>
    <mergeCell ref="H100:H101"/>
    <mergeCell ref="I100:I101"/>
    <mergeCell ref="J100:J101"/>
    <mergeCell ref="K100:K101"/>
    <mergeCell ref="J102:J105"/>
    <mergeCell ref="K102:K105"/>
    <mergeCell ref="L111:L115"/>
    <mergeCell ref="H111:H115"/>
    <mergeCell ref="I111:I115"/>
    <mergeCell ref="J111:J115"/>
    <mergeCell ref="K111:K115"/>
    <mergeCell ref="D300:D301"/>
    <mergeCell ref="E300:E301"/>
    <mergeCell ref="F300:F301"/>
    <mergeCell ref="G300:G301"/>
    <mergeCell ref="M300:M301"/>
    <mergeCell ref="N300:N301"/>
    <mergeCell ref="O300:O301"/>
    <mergeCell ref="P300:P301"/>
    <mergeCell ref="Q300:Q301"/>
    <mergeCell ref="M75:M86"/>
    <mergeCell ref="N75:N86"/>
    <mergeCell ref="O75:O86"/>
    <mergeCell ref="P75:P86"/>
    <mergeCell ref="Q75:Q86"/>
    <mergeCell ref="A75:A86"/>
    <mergeCell ref="B75:B86"/>
    <mergeCell ref="C85:C86"/>
    <mergeCell ref="D85:D86"/>
    <mergeCell ref="E85:E86"/>
    <mergeCell ref="F85:F86"/>
    <mergeCell ref="G85:G86"/>
    <mergeCell ref="D77:D78"/>
    <mergeCell ref="E77:E78"/>
    <mergeCell ref="F77:F78"/>
    <mergeCell ref="G77:G78"/>
    <mergeCell ref="C79:C80"/>
    <mergeCell ref="D79:D80"/>
    <mergeCell ref="A156:A162"/>
    <mergeCell ref="A164:A169"/>
    <mergeCell ref="A100:A101"/>
    <mergeCell ref="A119:A122"/>
    <mergeCell ref="G81:G82"/>
    <mergeCell ref="C83:C84"/>
    <mergeCell ref="D83:D84"/>
    <mergeCell ref="E83:E84"/>
    <mergeCell ref="F83:F84"/>
    <mergeCell ref="G83:G84"/>
    <mergeCell ref="A123:A124"/>
    <mergeCell ref="B123:B124"/>
    <mergeCell ref="C123:C124"/>
    <mergeCell ref="E123:E124"/>
    <mergeCell ref="F123:F124"/>
    <mergeCell ref="G123:G124"/>
    <mergeCell ref="A125:A130"/>
    <mergeCell ref="A136:A145"/>
    <mergeCell ref="B136:B145"/>
    <mergeCell ref="A108:A110"/>
    <mergeCell ref="A93:A97"/>
    <mergeCell ref="A148:A155"/>
    <mergeCell ref="A111:A115"/>
    <mergeCell ref="B93:B97"/>
    <mergeCell ref="M123:M124"/>
    <mergeCell ref="N123:N124"/>
    <mergeCell ref="O123:O124"/>
    <mergeCell ref="P123:P124"/>
    <mergeCell ref="Q123:Q124"/>
    <mergeCell ref="J211:J213"/>
    <mergeCell ref="K211:K213"/>
    <mergeCell ref="L211:L213"/>
    <mergeCell ref="O245:O246"/>
    <mergeCell ref="P245:P246"/>
    <mergeCell ref="Q245:Q246"/>
    <mergeCell ref="P172:P174"/>
    <mergeCell ref="Q172:Q174"/>
    <mergeCell ref="Q216:Q217"/>
    <mergeCell ref="P236:P237"/>
    <mergeCell ref="Q236:Q237"/>
    <mergeCell ref="Q211:Q213"/>
    <mergeCell ref="P238:P239"/>
    <mergeCell ref="Q238:Q239"/>
    <mergeCell ref="O199:O202"/>
    <mergeCell ref="P199:P202"/>
    <mergeCell ref="O141:O142"/>
    <mergeCell ref="N236:N237"/>
    <mergeCell ref="O236:O237"/>
    <mergeCell ref="M4:M5"/>
    <mergeCell ref="N4:N5"/>
    <mergeCell ref="O4:O5"/>
    <mergeCell ref="P4:P5"/>
    <mergeCell ref="Q4:Q5"/>
    <mergeCell ref="G79:G80"/>
    <mergeCell ref="C81:C82"/>
    <mergeCell ref="D81:D82"/>
    <mergeCell ref="E81:E82"/>
    <mergeCell ref="F81:F82"/>
    <mergeCell ref="L4:L5"/>
    <mergeCell ref="H4:H5"/>
    <mergeCell ref="I4:I5"/>
    <mergeCell ref="J4:J5"/>
    <mergeCell ref="K4:K5"/>
    <mergeCell ref="L12:L13"/>
    <mergeCell ref="H12:H13"/>
    <mergeCell ref="I12:I13"/>
    <mergeCell ref="J12:J13"/>
    <mergeCell ref="K12:K13"/>
    <mergeCell ref="I15:I22"/>
    <mergeCell ref="J15:J22"/>
    <mergeCell ref="K15:K22"/>
    <mergeCell ref="L23:L26"/>
    <mergeCell ref="C2:G2"/>
    <mergeCell ref="H2:L2"/>
    <mergeCell ref="H108:H110"/>
    <mergeCell ref="I108:I110"/>
    <mergeCell ref="J108:J110"/>
    <mergeCell ref="K108:K110"/>
    <mergeCell ref="L108:L110"/>
    <mergeCell ref="C170:C171"/>
    <mergeCell ref="D170:D171"/>
    <mergeCell ref="E170:E171"/>
    <mergeCell ref="F170:F171"/>
    <mergeCell ref="G170:G171"/>
    <mergeCell ref="C75:C76"/>
    <mergeCell ref="D75:D76"/>
    <mergeCell ref="E75:E76"/>
    <mergeCell ref="F75:F76"/>
    <mergeCell ref="G75:G76"/>
    <mergeCell ref="C77:C78"/>
    <mergeCell ref="K119:K122"/>
    <mergeCell ref="K131:K134"/>
    <mergeCell ref="L136:L138"/>
    <mergeCell ref="H136:H138"/>
    <mergeCell ref="I136:I138"/>
    <mergeCell ref="J136:J138"/>
    <mergeCell ref="N12:N13"/>
    <mergeCell ref="O12:O13"/>
    <mergeCell ref="P12:P13"/>
    <mergeCell ref="Q12:Q13"/>
    <mergeCell ref="M12:M13"/>
    <mergeCell ref="Q69:Q70"/>
    <mergeCell ref="M15:M65"/>
    <mergeCell ref="N15:N65"/>
    <mergeCell ref="O15:O65"/>
    <mergeCell ref="P15:P22"/>
    <mergeCell ref="Q15:Q22"/>
    <mergeCell ref="P23:P26"/>
    <mergeCell ref="Q23:Q26"/>
    <mergeCell ref="P27:P37"/>
    <mergeCell ref="Q27:Q37"/>
    <mergeCell ref="Q93:Q97"/>
    <mergeCell ref="M93:M97"/>
    <mergeCell ref="N72:N74"/>
    <mergeCell ref="O72:O74"/>
    <mergeCell ref="P102:P105"/>
    <mergeCell ref="N192:N193"/>
    <mergeCell ref="O164:O169"/>
    <mergeCell ref="P148:P149"/>
    <mergeCell ref="Q148:Q149"/>
    <mergeCell ref="Q143:Q144"/>
    <mergeCell ref="N143:N144"/>
    <mergeCell ref="Q185:Q188"/>
    <mergeCell ref="N170:N171"/>
    <mergeCell ref="O170:O171"/>
    <mergeCell ref="O192:O193"/>
    <mergeCell ref="P192:P193"/>
    <mergeCell ref="O148:O155"/>
    <mergeCell ref="P164:P169"/>
    <mergeCell ref="O100:O101"/>
    <mergeCell ref="N141:N142"/>
    <mergeCell ref="N148:N155"/>
    <mergeCell ref="Q150:Q153"/>
    <mergeCell ref="P154:P155"/>
    <mergeCell ref="Q154:Q155"/>
    <mergeCell ref="A67:A68"/>
    <mergeCell ref="A69:A70"/>
    <mergeCell ref="P72:P74"/>
    <mergeCell ref="Q72:Q74"/>
    <mergeCell ref="P38:P47"/>
    <mergeCell ref="Q38:Q47"/>
    <mergeCell ref="P48:P54"/>
    <mergeCell ref="Q48:Q54"/>
    <mergeCell ref="P55:P65"/>
    <mergeCell ref="Q55:Q65"/>
    <mergeCell ref="C67:C68"/>
    <mergeCell ref="M69:M70"/>
    <mergeCell ref="N69:N70"/>
    <mergeCell ref="O69:O70"/>
    <mergeCell ref="A15:A65"/>
    <mergeCell ref="B15:B65"/>
    <mergeCell ref="B67:B68"/>
    <mergeCell ref="B69:B70"/>
    <mergeCell ref="P69:P70"/>
    <mergeCell ref="B72:B74"/>
    <mergeCell ref="M72:M74"/>
    <mergeCell ref="L15:L22"/>
    <mergeCell ref="H15:H22"/>
    <mergeCell ref="A72:A74"/>
    <mergeCell ref="B131:B134"/>
    <mergeCell ref="N108:N110"/>
    <mergeCell ref="P108:P110"/>
    <mergeCell ref="B100:B101"/>
    <mergeCell ref="M100:M101"/>
    <mergeCell ref="O93:O97"/>
    <mergeCell ref="N93:N97"/>
    <mergeCell ref="P93:P97"/>
    <mergeCell ref="M125:M130"/>
    <mergeCell ref="M102:M105"/>
    <mergeCell ref="B108:B110"/>
    <mergeCell ref="B102:B106"/>
    <mergeCell ref="M131:M134"/>
    <mergeCell ref="N111:N115"/>
    <mergeCell ref="N125:N130"/>
    <mergeCell ref="O125:O130"/>
    <mergeCell ref="N131:N134"/>
    <mergeCell ref="N119:N122"/>
    <mergeCell ref="B125:B130"/>
    <mergeCell ref="B119:B122"/>
    <mergeCell ref="J119:J122"/>
    <mergeCell ref="P100:P101"/>
    <mergeCell ref="P111:P115"/>
    <mergeCell ref="N100:N101"/>
    <mergeCell ref="Q119:Q122"/>
    <mergeCell ref="P131:P134"/>
    <mergeCell ref="Q131:Q134"/>
    <mergeCell ref="O102:O103"/>
    <mergeCell ref="N102:N105"/>
    <mergeCell ref="Q141:Q142"/>
    <mergeCell ref="Q102:Q105"/>
    <mergeCell ref="Q100:Q101"/>
    <mergeCell ref="Q111:Q115"/>
    <mergeCell ref="Q136:Q138"/>
    <mergeCell ref="P141:P142"/>
    <mergeCell ref="Q108:Q110"/>
    <mergeCell ref="O111:O115"/>
    <mergeCell ref="O131:O134"/>
    <mergeCell ref="O230:O233"/>
    <mergeCell ref="P230:P233"/>
    <mergeCell ref="Q230:Q233"/>
    <mergeCell ref="N218:N221"/>
    <mergeCell ref="O218:O221"/>
    <mergeCell ref="P218:P221"/>
    <mergeCell ref="Q218:Q221"/>
    <mergeCell ref="N234:N235"/>
    <mergeCell ref="O234:O235"/>
    <mergeCell ref="P234:P235"/>
    <mergeCell ref="Q234:Q235"/>
    <mergeCell ref="N228:N229"/>
    <mergeCell ref="P228:P229"/>
    <mergeCell ref="Q228:Q229"/>
    <mergeCell ref="N222:N225"/>
    <mergeCell ref="O222:O225"/>
    <mergeCell ref="P222:P225"/>
    <mergeCell ref="Q222:Q225"/>
    <mergeCell ref="A299:A301"/>
    <mergeCell ref="C299:C301"/>
    <mergeCell ref="B299:B301"/>
    <mergeCell ref="A245:A246"/>
    <mergeCell ref="A247:A251"/>
    <mergeCell ref="M247:M251"/>
    <mergeCell ref="A252:A254"/>
    <mergeCell ref="M252:M254"/>
    <mergeCell ref="A264:A266"/>
    <mergeCell ref="B264:B266"/>
    <mergeCell ref="A267:A269"/>
    <mergeCell ref="M267:M268"/>
    <mergeCell ref="B267:B269"/>
    <mergeCell ref="A272:A275"/>
    <mergeCell ref="B272:B275"/>
    <mergeCell ref="M272:M275"/>
    <mergeCell ref="B252:B254"/>
    <mergeCell ref="B247:B251"/>
    <mergeCell ref="A296:A298"/>
    <mergeCell ref="B296:B298"/>
    <mergeCell ref="M296:M298"/>
    <mergeCell ref="H272:H275"/>
    <mergeCell ref="I272:I275"/>
    <mergeCell ref="E279:E280"/>
    <mergeCell ref="A211:A214"/>
    <mergeCell ref="B211:B214"/>
    <mergeCell ref="A189:A191"/>
    <mergeCell ref="A199:A203"/>
    <mergeCell ref="A194:A197"/>
    <mergeCell ref="A192:A193"/>
    <mergeCell ref="A170:A171"/>
    <mergeCell ref="M170:M171"/>
    <mergeCell ref="A177:A188"/>
    <mergeCell ref="B177:B188"/>
    <mergeCell ref="M177:M179"/>
    <mergeCell ref="M172:M176"/>
    <mergeCell ref="B194:B197"/>
    <mergeCell ref="B172:B176"/>
    <mergeCell ref="B192:B193"/>
    <mergeCell ref="B170:B171"/>
    <mergeCell ref="H211:H213"/>
    <mergeCell ref="I211:I213"/>
    <mergeCell ref="B204:B207"/>
    <mergeCell ref="B199:B203"/>
    <mergeCell ref="L172:L176"/>
    <mergeCell ref="H172:H176"/>
    <mergeCell ref="I172:I176"/>
    <mergeCell ref="J172:J176"/>
    <mergeCell ref="M143:M144"/>
    <mergeCell ref="A131:A134"/>
    <mergeCell ref="M111:M115"/>
    <mergeCell ref="P267:P268"/>
    <mergeCell ref="O194:O197"/>
    <mergeCell ref="P194:P197"/>
    <mergeCell ref="O264:O266"/>
    <mergeCell ref="P264:P266"/>
    <mergeCell ref="Q264:Q266"/>
    <mergeCell ref="N247:N251"/>
    <mergeCell ref="O267:O268"/>
    <mergeCell ref="N216:N217"/>
    <mergeCell ref="O216:O217"/>
    <mergeCell ref="P216:P217"/>
    <mergeCell ref="N238:N239"/>
    <mergeCell ref="M264:M266"/>
    <mergeCell ref="N245:N246"/>
    <mergeCell ref="M136:M138"/>
    <mergeCell ref="N136:N138"/>
    <mergeCell ref="O136:O138"/>
    <mergeCell ref="P136:P138"/>
    <mergeCell ref="P180:P182"/>
    <mergeCell ref="P183:P184"/>
    <mergeCell ref="P143:P144"/>
    <mergeCell ref="N272:N275"/>
    <mergeCell ref="O272:O275"/>
    <mergeCell ref="O247:O251"/>
    <mergeCell ref="P247:P251"/>
    <mergeCell ref="Q247:Q251"/>
    <mergeCell ref="P272:P275"/>
    <mergeCell ref="Q259:Q262"/>
    <mergeCell ref="Q252:Q254"/>
    <mergeCell ref="Q272:Q275"/>
    <mergeCell ref="N267:N268"/>
    <mergeCell ref="N252:N254"/>
    <mergeCell ref="P259:P262"/>
    <mergeCell ref="P252:P254"/>
    <mergeCell ref="N264:N266"/>
    <mergeCell ref="Q267:Q268"/>
    <mergeCell ref="N211:N213"/>
    <mergeCell ref="O211:O213"/>
    <mergeCell ref="P211:P213"/>
    <mergeCell ref="Q199:Q202"/>
    <mergeCell ref="Q164:Q169"/>
    <mergeCell ref="Q175:Q176"/>
    <mergeCell ref="Q194:Q197"/>
    <mergeCell ref="N177:N179"/>
    <mergeCell ref="Q189:Q191"/>
    <mergeCell ref="Q192:Q193"/>
    <mergeCell ref="N172:N176"/>
    <mergeCell ref="O172:O176"/>
    <mergeCell ref="O177:O179"/>
    <mergeCell ref="Q177:Q179"/>
    <mergeCell ref="P185:P188"/>
    <mergeCell ref="Q180:Q182"/>
    <mergeCell ref="Q183:Q184"/>
    <mergeCell ref="N189:N191"/>
    <mergeCell ref="O189:O191"/>
    <mergeCell ref="P189:P191"/>
    <mergeCell ref="P170:P171"/>
    <mergeCell ref="Q170:Q171"/>
    <mergeCell ref="N164:N169"/>
    <mergeCell ref="A289:A290"/>
    <mergeCell ref="B289:B290"/>
    <mergeCell ref="M289:M290"/>
    <mergeCell ref="N289:N290"/>
    <mergeCell ref="B189:B191"/>
    <mergeCell ref="M194:M197"/>
    <mergeCell ref="N194:N197"/>
    <mergeCell ref="M192:M193"/>
    <mergeCell ref="N199:N202"/>
    <mergeCell ref="M238:M239"/>
    <mergeCell ref="M230:M233"/>
    <mergeCell ref="M216:M217"/>
    <mergeCell ref="L192:L193"/>
    <mergeCell ref="H192:H193"/>
    <mergeCell ref="I192:I193"/>
    <mergeCell ref="J192:J193"/>
    <mergeCell ref="K192:K193"/>
    <mergeCell ref="L194:L197"/>
    <mergeCell ref="H194:H197"/>
    <mergeCell ref="I194:I197"/>
    <mergeCell ref="J194:J197"/>
    <mergeCell ref="K194:K197"/>
    <mergeCell ref="L199:L202"/>
    <mergeCell ref="H199:H202"/>
    <mergeCell ref="A172:A176"/>
    <mergeCell ref="M141:M142"/>
    <mergeCell ref="B245:B246"/>
    <mergeCell ref="B216:B242"/>
    <mergeCell ref="M218:M221"/>
    <mergeCell ref="M236:M237"/>
    <mergeCell ref="M199:M202"/>
    <mergeCell ref="O119:O122"/>
    <mergeCell ref="P119:P122"/>
    <mergeCell ref="M119:M122"/>
    <mergeCell ref="M164:M169"/>
    <mergeCell ref="B156:B162"/>
    <mergeCell ref="M180:M188"/>
    <mergeCell ref="M189:M191"/>
    <mergeCell ref="N180:N188"/>
    <mergeCell ref="O180:O188"/>
    <mergeCell ref="P175:P176"/>
    <mergeCell ref="B164:B169"/>
    <mergeCell ref="O143:O144"/>
    <mergeCell ref="P150:P153"/>
    <mergeCell ref="L131:L134"/>
    <mergeCell ref="H131:H134"/>
    <mergeCell ref="I131:I134"/>
    <mergeCell ref="J131:J134"/>
    <mergeCell ref="O238:O239"/>
    <mergeCell ref="O104:O105"/>
    <mergeCell ref="O109:O110"/>
    <mergeCell ref="A259:A263"/>
    <mergeCell ref="A216:A242"/>
    <mergeCell ref="M234:M235"/>
    <mergeCell ref="A102:A106"/>
    <mergeCell ref="B259:B263"/>
    <mergeCell ref="M259:M262"/>
    <mergeCell ref="N259:N262"/>
    <mergeCell ref="O259:O262"/>
    <mergeCell ref="O252:O254"/>
    <mergeCell ref="M108:M110"/>
    <mergeCell ref="M148:M155"/>
    <mergeCell ref="B148:B155"/>
    <mergeCell ref="M222:M225"/>
    <mergeCell ref="M211:M213"/>
    <mergeCell ref="M228:M229"/>
    <mergeCell ref="M245:M246"/>
    <mergeCell ref="B111:B115"/>
    <mergeCell ref="A204:A207"/>
    <mergeCell ref="L102:L105"/>
    <mergeCell ref="H102:H105"/>
    <mergeCell ref="I102:I105"/>
    <mergeCell ref="H23:H26"/>
    <mergeCell ref="I23:I26"/>
    <mergeCell ref="J23:J26"/>
    <mergeCell ref="K23:K26"/>
    <mergeCell ref="L27:L37"/>
    <mergeCell ref="H27:H37"/>
    <mergeCell ref="I27:I37"/>
    <mergeCell ref="J27:J37"/>
    <mergeCell ref="K27:K37"/>
    <mergeCell ref="L38:L47"/>
    <mergeCell ref="H38:H47"/>
    <mergeCell ref="I38:I47"/>
    <mergeCell ref="J38:J47"/>
    <mergeCell ref="K38:K47"/>
    <mergeCell ref="L48:L54"/>
    <mergeCell ref="H48:H54"/>
    <mergeCell ref="I48:I54"/>
    <mergeCell ref="J48:J54"/>
    <mergeCell ref="K48:K54"/>
    <mergeCell ref="L55:L65"/>
    <mergeCell ref="H55:H65"/>
    <mergeCell ref="I55:I65"/>
    <mergeCell ref="J55:J65"/>
    <mergeCell ref="K55:K65"/>
    <mergeCell ref="L69:L70"/>
    <mergeCell ref="H69:H70"/>
    <mergeCell ref="I69:I70"/>
    <mergeCell ref="J69:J70"/>
    <mergeCell ref="K69:K70"/>
    <mergeCell ref="L72:L74"/>
    <mergeCell ref="H72:H74"/>
    <mergeCell ref="I72:I74"/>
    <mergeCell ref="J72:J74"/>
    <mergeCell ref="K72:K74"/>
    <mergeCell ref="L93:L97"/>
    <mergeCell ref="H93:H97"/>
    <mergeCell ref="I93:I97"/>
    <mergeCell ref="J93:J97"/>
    <mergeCell ref="K93:K97"/>
    <mergeCell ref="L119:L122"/>
    <mergeCell ref="H141:H142"/>
    <mergeCell ref="I141:I142"/>
    <mergeCell ref="J141:J142"/>
    <mergeCell ref="K141:K142"/>
    <mergeCell ref="H143:H144"/>
    <mergeCell ref="I143:I144"/>
    <mergeCell ref="J143:J144"/>
    <mergeCell ref="K143:K144"/>
    <mergeCell ref="L143:L144"/>
    <mergeCell ref="L148:L149"/>
    <mergeCell ref="H148:H149"/>
    <mergeCell ref="I148:I149"/>
    <mergeCell ref="J148:J149"/>
    <mergeCell ref="K148:K149"/>
    <mergeCell ref="L150:L153"/>
    <mergeCell ref="H150:H153"/>
    <mergeCell ref="I150:I153"/>
    <mergeCell ref="J150:J153"/>
    <mergeCell ref="K150:K153"/>
    <mergeCell ref="L154:L155"/>
    <mergeCell ref="H154:H155"/>
    <mergeCell ref="I154:I155"/>
    <mergeCell ref="J154:J155"/>
    <mergeCell ref="K154:K155"/>
    <mergeCell ref="L164:L169"/>
    <mergeCell ref="H164:H169"/>
    <mergeCell ref="I164:I169"/>
    <mergeCell ref="J164:J169"/>
    <mergeCell ref="K164:K169"/>
    <mergeCell ref="K172:K176"/>
    <mergeCell ref="L177:L179"/>
    <mergeCell ref="H177:H179"/>
    <mergeCell ref="I177:I179"/>
    <mergeCell ref="J177:J179"/>
    <mergeCell ref="K177:K179"/>
    <mergeCell ref="L180:L182"/>
    <mergeCell ref="H180:H182"/>
    <mergeCell ref="I180:I182"/>
    <mergeCell ref="J180:J182"/>
    <mergeCell ref="K180:K182"/>
    <mergeCell ref="L183:L184"/>
    <mergeCell ref="H183:H184"/>
    <mergeCell ref="I183:I184"/>
    <mergeCell ref="J183:J184"/>
    <mergeCell ref="K183:K184"/>
    <mergeCell ref="L185:L188"/>
    <mergeCell ref="H185:H188"/>
    <mergeCell ref="I185:I188"/>
    <mergeCell ref="J185:J188"/>
    <mergeCell ref="K185:K188"/>
    <mergeCell ref="I199:I202"/>
    <mergeCell ref="J199:J202"/>
    <mergeCell ref="K199:K202"/>
    <mergeCell ref="L216:L217"/>
    <mergeCell ref="H216:H217"/>
    <mergeCell ref="I216:I217"/>
    <mergeCell ref="J216:J217"/>
    <mergeCell ref="K216:K217"/>
    <mergeCell ref="H205:H206"/>
    <mergeCell ref="I205:I206"/>
    <mergeCell ref="J205:J206"/>
    <mergeCell ref="K205:K206"/>
    <mergeCell ref="L205:L206"/>
    <mergeCell ref="L218:L221"/>
    <mergeCell ref="H218:H221"/>
    <mergeCell ref="I218:I221"/>
    <mergeCell ref="J218:J221"/>
    <mergeCell ref="K218:K221"/>
    <mergeCell ref="H222:H225"/>
    <mergeCell ref="I222:I225"/>
    <mergeCell ref="J222:J225"/>
    <mergeCell ref="K222:K225"/>
    <mergeCell ref="L222:L225"/>
    <mergeCell ref="L228:L229"/>
    <mergeCell ref="H228:H229"/>
    <mergeCell ref="I228:I229"/>
    <mergeCell ref="J228:J229"/>
    <mergeCell ref="K228:K229"/>
    <mergeCell ref="L230:L233"/>
    <mergeCell ref="H230:H233"/>
    <mergeCell ref="I230:I233"/>
    <mergeCell ref="J230:J233"/>
    <mergeCell ref="K230:K233"/>
    <mergeCell ref="L234:L235"/>
    <mergeCell ref="H234:H235"/>
    <mergeCell ref="I234:I235"/>
    <mergeCell ref="J234:J235"/>
    <mergeCell ref="K234:K235"/>
    <mergeCell ref="H236:H237"/>
    <mergeCell ref="I236:I237"/>
    <mergeCell ref="J236:J237"/>
    <mergeCell ref="K236:K237"/>
    <mergeCell ref="L236:L237"/>
    <mergeCell ref="L245:L246"/>
    <mergeCell ref="H245:H246"/>
    <mergeCell ref="I245:I246"/>
    <mergeCell ref="J245:J246"/>
    <mergeCell ref="K245:K246"/>
    <mergeCell ref="L247:L251"/>
    <mergeCell ref="H247:H251"/>
    <mergeCell ref="I247:I251"/>
    <mergeCell ref="J247:J251"/>
    <mergeCell ref="K247:K251"/>
    <mergeCell ref="L252:L254"/>
    <mergeCell ref="H252:H254"/>
    <mergeCell ref="I252:I254"/>
    <mergeCell ref="J252:J254"/>
    <mergeCell ref="K252:K254"/>
    <mergeCell ref="L259:L262"/>
    <mergeCell ref="H259:H262"/>
    <mergeCell ref="I259:I262"/>
    <mergeCell ref="J259:J262"/>
    <mergeCell ref="K259:K262"/>
    <mergeCell ref="L264:L266"/>
    <mergeCell ref="H264:H266"/>
    <mergeCell ref="I264:I266"/>
    <mergeCell ref="J264:J266"/>
    <mergeCell ref="K264:K266"/>
    <mergeCell ref="L267:L268"/>
    <mergeCell ref="H267:H268"/>
    <mergeCell ref="I267:I268"/>
    <mergeCell ref="J267:J268"/>
    <mergeCell ref="K267:K268"/>
  </mergeCells>
  <hyperlinks>
    <hyperlink ref="N69" r:id="rId1" xr:uid="{A0E46438-20B5-40B6-9AAA-8D0F5AE29481}"/>
    <hyperlink ref="N72" r:id="rId2" xr:uid="{05C9A3AE-8728-49BE-8EB6-B98A6899C20B}"/>
    <hyperlink ref="N91" r:id="rId3" xr:uid="{8C35B821-F546-4B4F-B54F-0A2267F132B6}"/>
    <hyperlink ref="N93" r:id="rId4" xr:uid="{C65A66EB-BD7A-42B9-96EF-20DE8A2C0A14}"/>
    <hyperlink ref="N98" r:id="rId5" xr:uid="{1C1BE423-FB38-4FA0-834E-4BF16728271B}"/>
    <hyperlink ref="O4" r:id="rId6" display="CEWS data" xr:uid="{53CEED76-105E-49E1-94A6-52F4934B453B}"/>
    <hyperlink ref="N4" r:id="rId7" xr:uid="{5BA4DEEE-EEE9-4973-97EE-477583E975B0}"/>
    <hyperlink ref="O9" r:id="rId8" display="CRB data" xr:uid="{D46A86DC-F440-4F6E-856D-8B8A7F8A2B24}"/>
    <hyperlink ref="O10" r:id="rId9" display="CRSB data" xr:uid="{D54C8E4E-CA75-4F6E-832B-FCE84432AF28}"/>
    <hyperlink ref="O11" r:id="rId10" display="CRCB data" xr:uid="{0ECF4E2E-8CCE-4C74-9407-1BF622FA1EAE}"/>
    <hyperlink ref="N15" r:id="rId11" display="https://www.pbo-dpb.gc.ca/web/default/files/Documents/Info%20Requests/2020/IR0471_ISED_COVID-19_Measures_request_e_signed.pdf" xr:uid="{58634BD7-2770-4836-9D0D-CF09CCB8AC55}"/>
    <hyperlink ref="N15:N51" r:id="rId12" display="IR0471" xr:uid="{1818005C-9911-43CA-AF9D-51F09FC4598B}"/>
    <hyperlink ref="N99" r:id="rId13" xr:uid="{701C3778-E3AB-4B8A-9EE5-58383E38560D}"/>
    <hyperlink ref="N100:N101" r:id="rId14" display="IR0550" xr:uid="{823A6A3B-E1A3-4EAC-97B3-0D06E66CC8D9}"/>
    <hyperlink ref="N102" r:id="rId15" xr:uid="{C69F7341-22BA-4100-8DDC-A1C92968F1F8}"/>
    <hyperlink ref="O102" r:id="rId16" display="https://www.canada.ca/en/services/benefits/ei/claims-report.html" xr:uid="{FED88BC1-4016-4470-80B5-8D300D350360}"/>
    <hyperlink ref="N107" r:id="rId17" xr:uid="{B5921EB3-758B-4034-8BEA-787511C38753}"/>
    <hyperlink ref="O108" r:id="rId18" display="CESB data" xr:uid="{4408DE60-755B-4ADA-96BD-ED246E4BA809}"/>
    <hyperlink ref="N111" r:id="rId19" xr:uid="{C3AA0382-0350-43E3-89C3-886B0E0B34E4}"/>
    <hyperlink ref="N117" r:id="rId20" xr:uid="{B1FF6B23-3D45-4961-AAE8-F0C1155EDD9C}"/>
    <hyperlink ref="N118" r:id="rId21" xr:uid="{AEB87BE1-90AA-4A1C-9965-EEDB3D1CB1A9}"/>
    <hyperlink ref="N119" r:id="rId22" xr:uid="{77309BF5-5852-4530-94C2-45312216B4E8}"/>
    <hyperlink ref="N125" r:id="rId23" xr:uid="{EDE7E4CF-F08C-4A65-B38C-B8A1BDCA674A}"/>
    <hyperlink ref="N131" r:id="rId24" xr:uid="{6A6EB690-EB5F-429C-BF14-F8697F816BBD}"/>
    <hyperlink ref="N135" r:id="rId25" xr:uid="{A33D10C7-2B07-4BFD-9B42-820718DBF04F}"/>
    <hyperlink ref="N136" r:id="rId26" xr:uid="{25C2D6F6-8DF3-419F-9E8A-CE016CB38E0B}"/>
    <hyperlink ref="N136:N137" r:id="rId27" display="IR0540" xr:uid="{54EBCF92-A2F3-43E3-88ED-E9AC4B793065}"/>
    <hyperlink ref="N143" r:id="rId28" xr:uid="{B466CBC8-B236-498A-BB6F-8DD499165ABC}"/>
    <hyperlink ref="N140" r:id="rId29" xr:uid="{6DB99D24-5DFB-4620-9FF5-39388C859E06}"/>
    <hyperlink ref="N141" r:id="rId30" xr:uid="{26C98431-143D-44F2-99C6-F6D1DB986A32}"/>
    <hyperlink ref="N139" r:id="rId31" xr:uid="{2CD236D1-9DA9-48B4-A428-7867FA3B4851}"/>
    <hyperlink ref="N147" r:id="rId32" xr:uid="{93A7F9C0-07CB-4312-A0FE-5D9AAC016A8B}"/>
    <hyperlink ref="N148" r:id="rId33" display="https://www.pbo-dpb.gc.ca/web/default/files/Documents/Info%20Requests/2020/IR0469_Heritage_COVID-19_Measures_request_e_signed.pdf" xr:uid="{756872DB-AC7E-4F4C-A338-01036987C2C0}"/>
    <hyperlink ref="N148:N154" r:id="rId34" display="IR0469" xr:uid="{E76540D6-91C3-45D9-BB9E-6F863C5E79C9}"/>
    <hyperlink ref="N164" r:id="rId35" display="https://www.pbo-dpb.gc.ca/web/default/files/Documents/Info%20Requests/2020/IR0494_FIN_COVID-19_Measures_request_e.pdf" xr:uid="{5525AD14-74B3-49D9-88E1-2F1A3CD4C80F}"/>
    <hyperlink ref="N164:N169" r:id="rId36" display="IR0494" xr:uid="{22B98C89-8B39-449A-B32B-1237CAE2A617}"/>
    <hyperlink ref="N170" r:id="rId37" xr:uid="{8DB0F1CB-CE44-46D5-9FE1-8DAD0B015500}"/>
    <hyperlink ref="N172" r:id="rId38" display="https://www.pbo-dpb.gc.ca/web/default/files/Documents/Info%20Requests/2020/IR0456_AAFC_COVID-19_Allocations_request_e_signed.pdf" xr:uid="{EC02BA72-4086-4225-B2AD-EDEF0A7814AB}"/>
    <hyperlink ref="N172:N176" r:id="rId39" display="IR0456" xr:uid="{9E63DED9-DB40-4550-B633-DBAC3DED164F}"/>
    <hyperlink ref="N180" r:id="rId40" display="https://www.pbo-dpb.gc.ca/web/default/files/Documents/Info%20Requests/2020/IR0539_ISED_COVID-19_Funding_request_e.pdf" xr:uid="{06F43086-9144-46E2-8899-CD482D1804FF}"/>
    <hyperlink ref="N180:N186" r:id="rId41" display="IR0539" xr:uid="{2B31DC9B-9DCB-4764-BC38-C6AF4E93476F}"/>
    <hyperlink ref="N177" r:id="rId42" display="https://www.pbo-dpb.gc.ca/web/default/files/Documents/Info%20Requests/2020/IR0482_FOC_COVID-19_ltr_e.pdf" xr:uid="{AA11D4EF-7023-4819-993F-E63B610F57DD}"/>
    <hyperlink ref="N177:N178" r:id="rId43" display="IR0482" xr:uid="{07AFDBEF-A896-4740-86F6-734306AB49C0}"/>
    <hyperlink ref="N189" r:id="rId44" xr:uid="{18AAF52C-3248-4B3D-8423-F614B3603352}"/>
    <hyperlink ref="N192" r:id="rId45" xr:uid="{A8B78020-C3F6-4948-A54C-CE68AF26C8EA}"/>
    <hyperlink ref="N194" r:id="rId46" xr:uid="{03753284-181D-44FC-A748-BC9911A756BB}"/>
    <hyperlink ref="N199:N200" r:id="rId47" display="IR0547" xr:uid="{5DA40522-4A26-4B32-A96E-D8CC085FF862}"/>
    <hyperlink ref="N203" r:id="rId48" xr:uid="{23FCD39C-AED0-473F-8CD1-609045A04EB5}"/>
    <hyperlink ref="N204" r:id="rId49" xr:uid="{DD8D86DF-8BCF-4622-A529-03931D77F145}"/>
    <hyperlink ref="N208" r:id="rId50" xr:uid="{D09998F6-001C-4BD7-AFC4-67D54A768F14}"/>
    <hyperlink ref="N209" r:id="rId51" xr:uid="{7294EF4B-6078-4AE8-8A74-1FB85BE81105}"/>
    <hyperlink ref="N210" r:id="rId52" xr:uid="{A16029DA-9566-465F-9DD1-DABCE25F6E8E}"/>
    <hyperlink ref="N211:N212" r:id="rId53" display="IR0549" xr:uid="{097AE9F7-8C41-4B6B-8DFF-35DFC2E60F36}"/>
    <hyperlink ref="N218" r:id="rId54" display="https://www.pbo-dpb.gc.ca/web/default/files/Documents/Info%20Requests/2020/IR0456_AAFC_COVID-19_Allocations_request_e_signed.pdf" xr:uid="{A7767BFB-BE54-4BA5-916E-9F67977B8A13}"/>
    <hyperlink ref="N218:N219" r:id="rId55" display="IR0456" xr:uid="{0196BF95-6D1D-4716-9047-EB3A2C83F00E}"/>
    <hyperlink ref="N222" r:id="rId56" display="https://www.pbo-dpb.gc.ca/web/default/files/Documents/Info%20Requests/2020/IR0516_CMHC_COVID19_update_2_request_e.pdf" xr:uid="{7DE53DC8-0E92-4D92-85F9-3291D47C969E}"/>
    <hyperlink ref="N222:N223" r:id="rId57" display="IR0516" xr:uid="{8F4D998F-D5E4-4E2C-87CD-D58ECF69BE51}"/>
    <hyperlink ref="N228" r:id="rId58" display="https://www.pbo-dpb.gc.ca/web/default/files/Documents/Info%20Requests/2020/IR0523_ISC_COVID19_update_2_request_e.pdf" xr:uid="{E3785309-4555-41A7-9040-693B9DBF6213}"/>
    <hyperlink ref="N228:N229" r:id="rId59" display="IR0523" xr:uid="{A02028C2-6210-4F27-AFDF-D1C6692AD1E6}"/>
    <hyperlink ref="N230" r:id="rId60" display="https://www.pbo-dpb.gc.ca/web/default/files/Documents/Info%20Requests/2020/IR0524_ISED_COVID19_update_2_request_e.pdf" xr:uid="{61CCC48B-16B3-4FA9-ABF5-DA5D594A96F1}"/>
    <hyperlink ref="N230:N231" r:id="rId61" display="IR0524" xr:uid="{92FF3AC4-DA9C-4AE8-A133-7C59FA6D04C0}"/>
    <hyperlink ref="N238" r:id="rId62" display="https://www.pbo-dpb.gc.ca/web/default/files/Documents/Info%20Requests/2020/IR0526_NRCCan_COVID19_update_2_request_e.pdf" xr:uid="{64D5DB96-728B-4836-9359-B238EE849BE2}"/>
    <hyperlink ref="N238:N239" r:id="rId63" display="IR0526" xr:uid="{F11E918A-614C-4DCE-8C51-67D57D3C50FB}"/>
    <hyperlink ref="N240" r:id="rId64" xr:uid="{095079C4-43A7-4C58-A8FA-8D02DC3A010A}"/>
    <hyperlink ref="N242" r:id="rId65" xr:uid="{9FB69F9F-7940-4AA2-9288-A45DCCFC4BDC}"/>
    <hyperlink ref="N226" r:id="rId66" xr:uid="{22BF7537-99E3-493C-B253-581EC657118A}"/>
    <hyperlink ref="N234:N235" r:id="rId67" display="IR0552" xr:uid="{C5F42711-CEEC-4D06-A1B9-F68E1F16D3CF}"/>
    <hyperlink ref="N216:N217" r:id="rId68" display="IR0549" xr:uid="{5D6DD822-8D3B-4D8E-B4FE-741BE507E538}"/>
    <hyperlink ref="N236:N237" r:id="rId69" display="IR0557" xr:uid="{7DCF0E0E-00C8-4E5C-B889-9B7EBF09AFE3}"/>
    <hyperlink ref="N227" r:id="rId70" xr:uid="{117122ED-24E8-4385-A68F-4A542280B41E}"/>
    <hyperlink ref="N241" r:id="rId71" xr:uid="{78A913E8-8DBB-4160-878B-6768CAEBD8C3}"/>
    <hyperlink ref="N243" r:id="rId72" xr:uid="{9E45E98B-BB4D-4427-AB5A-D11C94F088D1}"/>
    <hyperlink ref="N244" r:id="rId73" xr:uid="{331C8271-1E76-40DD-850A-A519E9E061DF}"/>
    <hyperlink ref="N247" r:id="rId74" xr:uid="{8C388146-D2E5-49C1-8F48-AE65DD874C18}"/>
    <hyperlink ref="N252" r:id="rId75" xr:uid="{A4F42B33-068E-4A60-8825-7D8325A2368D}"/>
    <hyperlink ref="N256" r:id="rId76" xr:uid="{110A4714-C81B-45C8-88FA-D98117EB8963}"/>
    <hyperlink ref="N257" r:id="rId77" xr:uid="{9DFBAE31-FEB3-4BDC-B7B1-0392CA7E491A}"/>
    <hyperlink ref="N259" r:id="rId78" xr:uid="{56B794CC-9E07-4982-B58A-3F30781A92D1}"/>
    <hyperlink ref="N264" r:id="rId79" xr:uid="{CFB7D3FA-9D2E-4ECA-B7D3-C5A43CF696EA}"/>
    <hyperlink ref="N267" r:id="rId80" display="https://www.pbo-dpb.gc.ca/web/default/files/Documents/Info%20Requests/2020/IR0475_WAGE_COVID-19_Measures_request_e_signed.pdf" xr:uid="{B92A90DC-E7F4-4699-9D8E-FFE8B21E6AD4}"/>
    <hyperlink ref="N267:N268" r:id="rId81" display="IR0475" xr:uid="{A37078D8-BD05-49A3-AED5-8A0565CC9151}"/>
    <hyperlink ref="N269" r:id="rId82" xr:uid="{783F237B-09A2-4EEC-8EF3-CA389824058E}"/>
    <hyperlink ref="N270" r:id="rId83" xr:uid="{63D8AB19-29A0-43F4-8707-A9798BF47C34}"/>
    <hyperlink ref="N271" r:id="rId84" xr:uid="{AD53CA69-EB35-4B05-83A5-0D692E8AB5A7}"/>
    <hyperlink ref="N272" r:id="rId85" xr:uid="{DE47EE6A-A506-441E-956E-A68179BCB42D}"/>
    <hyperlink ref="N276" r:id="rId86" xr:uid="{6FB0F167-A3E1-427B-8F00-B606B213766B}"/>
    <hyperlink ref="N277" r:id="rId87" xr:uid="{D22B9FEB-8201-423C-AA77-6A011EC113BA}"/>
    <hyperlink ref="N289" r:id="rId88" xr:uid="{10219D95-ABEE-450A-B9B8-44C8015167FE}"/>
    <hyperlink ref="N8" r:id="rId89" xr:uid="{21A4DA44-E851-4D08-9864-D1ABA3BD5E80}"/>
    <hyperlink ref="N14" r:id="rId90" xr:uid="{C2755199-89DA-4BFA-810D-E6570B8D6EDF}"/>
    <hyperlink ref="O14" r:id="rId91" display="CEBA data" xr:uid="{613E2DE2-F4F0-4464-B32B-05CCCB7B16A9}"/>
    <hyperlink ref="F8" r:id="rId92" xr:uid="{35984EF2-9CB5-40A2-A9B1-8C8E60C70CB9}"/>
    <hyperlink ref="N66" r:id="rId93" xr:uid="{46843F36-8CDF-4AEF-AA9B-91B6BFE0FE39}"/>
    <hyperlink ref="N75" r:id="rId94" xr:uid="{8F77106C-AD9B-430B-80D6-D39BE5E2BB7D}"/>
    <hyperlink ref="N89" r:id="rId95" xr:uid="{E601454F-6EA3-4A28-A6DD-DBAFF166B4F8}"/>
    <hyperlink ref="N7" r:id="rId96" xr:uid="{85525B30-2580-41F4-98EC-3CBA0C8D6112}"/>
    <hyperlink ref="N123" r:id="rId97" xr:uid="{1A65898B-3FF1-43B4-BE63-781291839F2B}"/>
    <hyperlink ref="N198" r:id="rId98" xr:uid="{DCE2C195-246F-4796-82CF-D8C11FBF71D9}"/>
    <hyperlink ref="N215" r:id="rId99" xr:uid="{BD54B2EC-A1E1-47D2-AA09-AB1AF7826EA8}"/>
    <hyperlink ref="N287" r:id="rId100" xr:uid="{A8F07CDD-BDF0-4B77-BEFA-8A4036D543A5}"/>
    <hyperlink ref="N291" r:id="rId101" xr:uid="{67D6D80D-0446-48AC-8738-AB384AFE4581}"/>
    <hyperlink ref="N293" r:id="rId102" xr:uid="{4A3555F8-2085-4CCD-AE5F-B98F08A717A2}"/>
    <hyperlink ref="N294" r:id="rId103" xr:uid="{7FA04975-CAB9-42E5-AFEB-456B76FD4036}"/>
    <hyperlink ref="N302" r:id="rId104" xr:uid="{29136BAA-C9AA-4825-8001-84E28CA93624}"/>
    <hyperlink ref="N295" r:id="rId105" xr:uid="{985A4B47-6196-4451-885C-B835B625B7ED}"/>
    <hyperlink ref="N296" r:id="rId106" xr:uid="{92706733-5909-4183-AB1D-FFECAB5AE731}"/>
    <hyperlink ref="N292" r:id="rId107" xr:uid="{3BEA52A1-24AD-416A-A239-05563CE0604E}"/>
    <hyperlink ref="N145" r:id="rId108" xr:uid="{FF5BA102-6D66-427C-BCE0-9C29C7DB9A29}"/>
    <hyperlink ref="O12" r:id="rId109" xr:uid="{7A3FD43C-2ABB-463C-BE35-3ADD490DF3A6}"/>
    <hyperlink ref="N92" r:id="rId110" xr:uid="{A866F098-3E8E-49C6-91E3-2714CFE92E24}"/>
    <hyperlink ref="N263" r:id="rId111" xr:uid="{BBF9E219-A925-46D4-9543-1E4921547743}"/>
    <hyperlink ref="O69:O70" r:id="rId112" display="TBS Data: COVID-19 Economic Response Plan - Estimated Expenditures" xr:uid="{81E634D5-EFE4-4B9D-9ABF-EDE9A27DC211}"/>
    <hyperlink ref="O72:O74" r:id="rId113" display="TBS Data: COVID-19 Economic Response Plan - Estimated Expenditures" xr:uid="{D86D4405-2087-4A9F-B824-BB88C5975634}"/>
    <hyperlink ref="O93:O97" r:id="rId114" display="TBS Data: COVID-19 Economic Response Plan - Estimated Expenditures" xr:uid="{43429EF4-2B94-483D-A125-B33954CF06EA}"/>
    <hyperlink ref="O104:O105" r:id="rId115" display="TBS Data: COVID-19 Economic Response Plan - Estimated Expenditures" xr:uid="{C25AC492-9573-4B60-AF9C-2ABFED1BF75A}"/>
    <hyperlink ref="O109:O110" r:id="rId116" display="TBS Data: COVID-19 Economic Response Plan - Estimated Expenditures" xr:uid="{62B8C13F-69CE-43C5-8C3C-6A2923A1E649}"/>
    <hyperlink ref="O106" r:id="rId117" xr:uid="{265507FB-CB70-47AE-98E5-1B8D7CBA8B2C}"/>
    <hyperlink ref="O117" r:id="rId118" xr:uid="{1F1E056E-5C02-478A-B5D2-0B449A000B71}"/>
    <hyperlink ref="O118" r:id="rId119" xr:uid="{85FA885F-54E1-424A-83EA-89B9B2058FA0}"/>
    <hyperlink ref="O135" r:id="rId120" xr:uid="{BE1C4500-D007-44B5-848C-566E0B5520B7}"/>
    <hyperlink ref="O139" r:id="rId121" xr:uid="{E46925D4-678F-438B-8960-5384B0854738}"/>
    <hyperlink ref="O145" r:id="rId122" xr:uid="{14E39ADB-83A6-4DF0-979A-6139B3FF53C0}"/>
    <hyperlink ref="O147" r:id="rId123" xr:uid="{CD09C380-2D78-4FC7-AD0B-65B105EED773}"/>
    <hyperlink ref="O156" r:id="rId124" xr:uid="{224CB54E-F649-4FF1-B6D9-F2C3DABF2639}"/>
    <hyperlink ref="O170" r:id="rId125" xr:uid="{50B24474-CDDC-4FF8-8A61-ED7BE1DED3B0}"/>
    <hyperlink ref="O164:O169" r:id="rId126" display="TBS Data: COVID-19 Economic Response Plan - Estimated Expenditures" xr:uid="{B66E5912-A178-426E-8FA6-77F86E54C673}"/>
    <hyperlink ref="O136:O138" r:id="rId127" display="TBS Data: COVID-19 Economic Response Plan - Estimated Expenditures" xr:uid="{7533BB7B-0D95-4D04-B46E-C4393A287D10}"/>
    <hyperlink ref="O189:O191" r:id="rId128" display="TBS Data: COVID-19 Economic Response Plan - Estimated Expenditures" xr:uid="{DD39B89C-1A56-45E1-BC6B-1EBDE847E841}"/>
    <hyperlink ref="O211:O213" r:id="rId129" display="TBS Data: COVID-19 Economic Response Plan - Estimated Expenditures" xr:uid="{F712DDA4-FFCD-4AF2-A516-83FEDC97D9C5}"/>
    <hyperlink ref="O296" r:id="rId130" xr:uid="{305F64E0-A426-4DC6-9D37-D5B42D1010F3}"/>
    <hyperlink ref="O291" r:id="rId131" xr:uid="{CC4FD736-8484-4148-9C98-619B1B48FFC3}"/>
    <hyperlink ref="O276" r:id="rId132" xr:uid="{71CB251B-A6DE-4D5B-B8AD-D29425002C1C}"/>
    <hyperlink ref="O271" r:id="rId133" xr:uid="{595E30D7-00E0-4E27-9DA0-E02C9BE96A2B}"/>
    <hyperlink ref="O269" r:id="rId134" xr:uid="{F4BA6CD1-E0B0-41BB-BA7E-7F7C51D4C881}"/>
    <hyperlink ref="O263" r:id="rId135" xr:uid="{7E0E5E89-FA96-4D4B-9BBB-245A8E5A315C}"/>
    <hyperlink ref="O258" r:id="rId136" xr:uid="{C6DBA475-ADBF-4D21-8E89-13F99C494DF3}"/>
    <hyperlink ref="O257" r:id="rId137" xr:uid="{53EFC41C-2A0A-4756-8D61-A9FC1550D90C}"/>
    <hyperlink ref="O255" r:id="rId138" xr:uid="{2BC63185-B945-42C7-AD6D-DAC0B6CDE524}"/>
    <hyperlink ref="O242" r:id="rId139" xr:uid="{DC10CD3F-D8DE-4C9C-AE24-42A0B1C08031}"/>
    <hyperlink ref="O240" r:id="rId140" xr:uid="{A1E4F9AD-359B-4F56-9D61-230D61E28D51}"/>
    <hyperlink ref="O214" r:id="rId141" xr:uid="{2A5C0772-2510-4D00-A57C-902977BC9BDE}"/>
    <hyperlink ref="O210" r:id="rId142" xr:uid="{888C5FDF-AF0F-4801-9309-A34A74CE5A24}"/>
    <hyperlink ref="O198" r:id="rId143" xr:uid="{8938FBC8-0558-480F-A924-70591AD3006E}"/>
    <hyperlink ref="O289:O290" r:id="rId144" display="TBS Data: COVID-19 Economic Response Plan - Estimated Expenditures" xr:uid="{2B80132B-2A70-4D85-9A3E-7560A190FBBD}"/>
    <hyperlink ref="O238:O239" r:id="rId145" display="TBS Data: COVID-19 Economic Response Plan - Estimated Expenditures" xr:uid="{EEFDCE50-5AAE-41B6-BBCD-E0638E5F737F}"/>
    <hyperlink ref="O236:O237" r:id="rId146" display="TBS Data: COVID-19 Economic Response Plan - Estimated Expenditures" xr:uid="{738C0F89-F943-496B-BB64-CEAA17A3B87C}"/>
    <hyperlink ref="O234:O235" r:id="rId147" display="TBS Data: COVID-19 Economic Response Plan - Estimated Expenditures" xr:uid="{C8E5F0DB-0F1A-4416-96C4-FFB14635A2EB}"/>
    <hyperlink ref="O228:O229" r:id="rId148" display="TBS Data: COVID-19 Economic Response Plan - Estimated Expenditures" xr:uid="{7AE71E92-C064-46C2-AC3F-D002074BBE82}"/>
    <hyperlink ref="O216:O217" r:id="rId149" display="TBS Data: COVID-19 Economic Response Plan - Estimated Expenditures" xr:uid="{0B65DF21-5001-44B0-BC50-3A75E2F1BFEE}"/>
    <hyperlink ref="O192:O193" r:id="rId150" display="TBS Data: COVID-19 Economic Response Plan - Estimated Expenditures" xr:uid="{90A1BC50-54C3-4AEB-8CB9-DA17C220D320}"/>
    <hyperlink ref="O141:O142" r:id="rId151" display="TBS Data: COVID-19 Economic Response Plan - Estimated Expenditures" xr:uid="{8FDB785B-6F62-4971-B49D-ADD61B700F14}"/>
    <hyperlink ref="O247:O251" r:id="rId152" display="TBS Data: COVID-19 Economic Response Plan - Estimated Expenditures" xr:uid="{B9C4DE78-9BB7-4A56-9C2E-B156E22A3438}"/>
    <hyperlink ref="O230:O233" r:id="rId153" display="TBS Data: COVID-19 Economic Response Plan - Estimated Expenditures" xr:uid="{3F7E3380-BB11-4761-8FF7-503BA46606BE}"/>
    <hyperlink ref="O222:O225" r:id="rId154" display="TBS Data: COVID-19 Economic Response Plan - Estimated Expenditures" xr:uid="{BF8BEE6C-191B-4C1A-AFEE-F2398B58737D}"/>
    <hyperlink ref="O227" r:id="rId155" xr:uid="{F694829C-03AA-4006-8C05-7FACB4BB2293}"/>
    <hyperlink ref="O194:O197" r:id="rId156" display="TBS Data: COVID-19 Economic Response Plan - Estimated Expenditures" xr:uid="{4791575B-35E1-4D2E-8A46-842B6B9777F4}"/>
    <hyperlink ref="O180:O188" r:id="rId157" display="TBS Data: COVID-19 Economic Response Plan - Estimated Expenditures" xr:uid="{EC333F1A-A714-4C18-902C-F4433D9DD0CC}"/>
    <hyperlink ref="O148:O155" r:id="rId158" display="TBS Data: COVID-19 Economic Response Plan - Estimated Expenditures" xr:uid="{DCCFDC5C-8102-42D6-BB5A-CFD7B3175CE8}"/>
    <hyperlink ref="O125:O130" r:id="rId159" display="TBS Data: COVID-19 Economic Response Plan - Estimated Expenditures" xr:uid="{4CE80664-5FA9-4855-84BA-F3F408A6C89F}"/>
    <hyperlink ref="O111:O115" r:id="rId160" display="TBS Data: COVID-19 Economic Response Plan - Estimated Expenditures" xr:uid="{8EB2C25F-833D-491E-96F5-29DA7AF81F7F}"/>
    <hyperlink ref="O119:O122" r:id="rId161" display="TBS Data: COVID-19 Economic Response Plan - Estimated Expenditures" xr:uid="{934685E6-5760-4BC0-93CD-0FE6A2006448}"/>
    <hyperlink ref="O226" r:id="rId162" xr:uid="{44E064DB-F0D4-4C54-86B9-5E5CED80B24F}"/>
    <hyperlink ref="O243" r:id="rId163" xr:uid="{A15E94A9-1E70-42A0-A4C0-3912D83A0CAD}"/>
    <hyperlink ref="O244" r:id="rId164" xr:uid="{0B03BC53-861B-4F26-B920-50DB4217DDA8}"/>
    <hyperlink ref="O272:O275" r:id="rId165" display="TBS Data: COVID-19 Economic Response Plan - Estimated Expenditures" xr:uid="{7CE97C5D-5124-42F5-AE1B-E554E7A9379F}"/>
    <hyperlink ref="O15:O65" r:id="rId166" display="TBS Data: COVID-19 Economic Response Plan - Estimated Expenditures" xr:uid="{2DE2C830-EC1D-44F9-8A29-9EB3EB61F2F4}"/>
    <hyperlink ref="O157" r:id="rId167" xr:uid="{502C8F80-0F54-43CD-830A-64A716ED2BF0}"/>
    <hyperlink ref="O158" r:id="rId168" xr:uid="{3BFC7362-AFE2-4585-A71A-6A7476F4B958}"/>
    <hyperlink ref="O159" r:id="rId169" xr:uid="{1D0CC9B9-5452-4F80-A431-F55197F07D77}"/>
    <hyperlink ref="O160" r:id="rId170" xr:uid="{B4328EBC-F191-425D-B666-38B461A2917E}"/>
    <hyperlink ref="O161" r:id="rId171" xr:uid="{F0EB3535-F0D6-4C08-9AE6-B45C47B77BE2}"/>
    <hyperlink ref="O162" r:id="rId172" xr:uid="{C41292FF-C0E1-485A-B59A-EA62508CFA8A}"/>
    <hyperlink ref="O163" r:id="rId173" xr:uid="{843EE109-F02F-43A7-92CF-62FCDF0EBBDE}"/>
    <hyperlink ref="O170:O171" r:id="rId174" display="TBS Data: COVID-19 Economic Response Plan - Estimated Expenditures" xr:uid="{4D1D1B4D-6B7A-47BB-B458-80C71C9A38FC}"/>
    <hyperlink ref="O259:O262" r:id="rId175" display="TBS Data: COVID-19 Economic Response Plan - Estimated Expenditures" xr:uid="{20E0C624-E58C-40B4-B150-5A15E9C43965}"/>
    <hyperlink ref="O218:O221" r:id="rId176" display="TBS Data: COVID-19 Economic Response Plan - Estimated Expenditures" xr:uid="{669374F9-F1FA-4B12-9816-2E8C82B4DE67}"/>
    <hyperlink ref="O199:O202" r:id="rId177" display="TBS Data: COVID-19 Economic Response Plan - Estimated Expenditures" xr:uid="{EA06B067-551D-4680-8DF9-A678C7DB822B}"/>
    <hyperlink ref="O123:O124" r:id="rId178" display="TBS Data: COVID-19 Economic Response Plan - Estimated Expenditures" xr:uid="{E6FA324B-80D9-4A97-9448-4E4DC54F50B1}"/>
    <hyperlink ref="O297:O298" r:id="rId179" display="TBS Data: COVID-19 Economic Response Plan - Estimated Expenditures" xr:uid="{3BB445C6-7EC8-4B2B-8FBC-07FDDEF00F6B}"/>
    <hyperlink ref="O302" r:id="rId180" xr:uid="{CA0069C8-10AB-44DF-B4AE-1EF23D8A2AF3}"/>
  </hyperlinks>
  <pageMargins left="0.7" right="0.7" top="0.75" bottom="0.75" header="0.3" footer="0.3"/>
  <pageSetup orientation="portrait" r:id="rId18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E673E-02CE-49F0-919C-70AD3423F227}">
  <sheetPr>
    <tabColor theme="4"/>
  </sheetPr>
  <dimension ref="A1:L14"/>
  <sheetViews>
    <sheetView showGridLines="0" zoomScale="70" zoomScaleNormal="70" workbookViewId="0"/>
  </sheetViews>
  <sheetFormatPr defaultRowHeight="15" x14ac:dyDescent="0.25"/>
  <cols>
    <col min="1" max="1" width="82.7109375" customWidth="1"/>
    <col min="2" max="2" width="42.7109375" style="54" bestFit="1" customWidth="1"/>
    <col min="3" max="3" width="26.5703125" bestFit="1" customWidth="1"/>
    <col min="4" max="4" width="33.7109375" customWidth="1"/>
    <col min="5" max="5" width="24.85546875" bestFit="1" customWidth="1"/>
    <col min="6" max="6" width="39" style="54" bestFit="1" customWidth="1"/>
    <col min="7" max="7" width="37.85546875" bestFit="1" customWidth="1"/>
    <col min="8" max="8" width="14.42578125" bestFit="1" customWidth="1"/>
    <col min="9" max="9" width="14" bestFit="1" customWidth="1"/>
    <col min="10" max="10" width="18.28515625" bestFit="1" customWidth="1"/>
    <col min="11" max="11" width="57.28515625" customWidth="1"/>
    <col min="12" max="12" width="12.42578125" bestFit="1" customWidth="1"/>
  </cols>
  <sheetData>
    <row r="1" spans="1:12" ht="15.75" thickBot="1" x14ac:dyDescent="0.3">
      <c r="A1" s="26" t="s">
        <v>50</v>
      </c>
      <c r="B1" s="26"/>
    </row>
    <row r="2" spans="1:12" ht="15.75" thickBot="1" x14ac:dyDescent="0.3">
      <c r="B2" s="1"/>
      <c r="C2" s="431" t="s">
        <v>507</v>
      </c>
      <c r="D2" s="432"/>
      <c r="E2" s="432"/>
      <c r="F2" s="432"/>
      <c r="G2" s="432"/>
    </row>
    <row r="3" spans="1:12" ht="17.25" x14ac:dyDescent="0.25">
      <c r="A3" s="40" t="s">
        <v>335</v>
      </c>
      <c r="B3" s="75" t="s">
        <v>381</v>
      </c>
      <c r="C3" s="290" t="s">
        <v>509</v>
      </c>
      <c r="D3" s="290" t="s">
        <v>1</v>
      </c>
      <c r="E3" s="290" t="s">
        <v>515</v>
      </c>
      <c r="F3" s="28" t="s">
        <v>344</v>
      </c>
      <c r="G3" s="290" t="s">
        <v>512</v>
      </c>
      <c r="H3" s="29" t="s">
        <v>2</v>
      </c>
      <c r="I3" s="29" t="s">
        <v>3</v>
      </c>
      <c r="J3" s="29" t="s">
        <v>4</v>
      </c>
      <c r="K3" s="29" t="s">
        <v>5</v>
      </c>
      <c r="L3" s="30" t="s">
        <v>6</v>
      </c>
    </row>
    <row r="4" spans="1:12" x14ac:dyDescent="0.25">
      <c r="A4" s="42" t="s">
        <v>302</v>
      </c>
      <c r="B4" s="77"/>
      <c r="C4" s="43"/>
      <c r="D4" s="43"/>
      <c r="E4" s="43"/>
      <c r="F4" s="43"/>
      <c r="G4" s="43"/>
      <c r="H4" s="43"/>
      <c r="I4" s="43"/>
      <c r="J4" s="43"/>
      <c r="K4" s="43"/>
      <c r="L4" s="44"/>
    </row>
    <row r="5" spans="1:12" x14ac:dyDescent="0.25">
      <c r="A5" s="45" t="s">
        <v>303</v>
      </c>
      <c r="B5" s="85" t="s">
        <v>126</v>
      </c>
      <c r="C5" s="6" t="s">
        <v>42</v>
      </c>
      <c r="D5" s="6" t="s">
        <v>141</v>
      </c>
      <c r="E5" s="6" t="s">
        <v>111</v>
      </c>
      <c r="F5" s="57" t="s">
        <v>373</v>
      </c>
      <c r="G5" s="6" t="s">
        <v>111</v>
      </c>
      <c r="H5" s="6" t="s">
        <v>11</v>
      </c>
      <c r="I5" s="11" t="s">
        <v>166</v>
      </c>
      <c r="J5" s="6" t="s">
        <v>19</v>
      </c>
      <c r="K5" s="19" t="s">
        <v>126</v>
      </c>
      <c r="L5" s="9"/>
    </row>
    <row r="6" spans="1:12" ht="30" x14ac:dyDescent="0.25">
      <c r="A6" s="447" t="s">
        <v>304</v>
      </c>
      <c r="B6" s="445" t="s">
        <v>126</v>
      </c>
      <c r="C6" s="445" t="s">
        <v>42</v>
      </c>
      <c r="D6" s="445" t="s">
        <v>117</v>
      </c>
      <c r="E6" s="445" t="s">
        <v>111</v>
      </c>
      <c r="F6" s="302" t="s">
        <v>374</v>
      </c>
      <c r="G6" s="445" t="s">
        <v>111</v>
      </c>
      <c r="H6" s="445" t="s">
        <v>11</v>
      </c>
      <c r="I6" s="443" t="s">
        <v>118</v>
      </c>
      <c r="J6" s="445" t="s">
        <v>19</v>
      </c>
      <c r="K6" s="20" t="s">
        <v>305</v>
      </c>
      <c r="L6" s="46">
        <v>44027</v>
      </c>
    </row>
    <row r="7" spans="1:12" ht="45" x14ac:dyDescent="0.25">
      <c r="A7" s="448"/>
      <c r="B7" s="446"/>
      <c r="C7" s="446"/>
      <c r="D7" s="446"/>
      <c r="E7" s="446"/>
      <c r="F7" s="304"/>
      <c r="G7" s="446"/>
      <c r="H7" s="446"/>
      <c r="I7" s="444"/>
      <c r="J7" s="446"/>
      <c r="K7" s="10" t="s">
        <v>306</v>
      </c>
      <c r="L7" s="47">
        <v>44044</v>
      </c>
    </row>
    <row r="8" spans="1:12" ht="15.75" thickBot="1" x14ac:dyDescent="0.3">
      <c r="A8" s="48" t="s">
        <v>307</v>
      </c>
      <c r="B8" s="84" t="s">
        <v>126</v>
      </c>
      <c r="C8" s="7" t="s">
        <v>42</v>
      </c>
      <c r="D8" s="7" t="s">
        <v>308</v>
      </c>
      <c r="E8" s="93" t="s">
        <v>111</v>
      </c>
      <c r="F8" s="168" t="s">
        <v>111</v>
      </c>
      <c r="G8" s="7" t="s">
        <v>111</v>
      </c>
      <c r="H8" s="7" t="s">
        <v>11</v>
      </c>
      <c r="I8" s="12" t="s">
        <v>15</v>
      </c>
      <c r="J8" s="8" t="s">
        <v>219</v>
      </c>
      <c r="K8" s="7"/>
      <c r="L8" s="49"/>
    </row>
    <row r="9" spans="1:12" ht="15.75" thickBot="1" x14ac:dyDescent="0.3">
      <c r="A9" s="25" t="s">
        <v>309</v>
      </c>
      <c r="B9" s="68">
        <f>SUM(B5:B8)</f>
        <v>0</v>
      </c>
      <c r="C9" s="22"/>
      <c r="D9" s="22"/>
      <c r="E9" s="22"/>
      <c r="F9" s="22"/>
      <c r="G9" s="68">
        <f>SUM(G5:G8)</f>
        <v>0</v>
      </c>
      <c r="H9" s="22"/>
      <c r="I9" s="22"/>
      <c r="J9" s="22"/>
      <c r="K9" s="22"/>
      <c r="L9" s="23"/>
    </row>
    <row r="11" spans="1:12" ht="17.25" x14ac:dyDescent="0.25">
      <c r="A11" s="56" t="s">
        <v>382</v>
      </c>
      <c r="B11" s="1"/>
    </row>
    <row r="13" spans="1:12" x14ac:dyDescent="0.25">
      <c r="A13" s="1"/>
      <c r="B13" s="1"/>
    </row>
    <row r="14" spans="1:12" x14ac:dyDescent="0.25">
      <c r="A14" s="1"/>
      <c r="B14" s="1"/>
    </row>
  </sheetData>
  <mergeCells count="11">
    <mergeCell ref="C2:G2"/>
    <mergeCell ref="I6:I7"/>
    <mergeCell ref="J6:J7"/>
    <mergeCell ref="A6:A7"/>
    <mergeCell ref="C6:C7"/>
    <mergeCell ref="D6:D7"/>
    <mergeCell ref="E6:E7"/>
    <mergeCell ref="G6:G7"/>
    <mergeCell ref="H6:H7"/>
    <mergeCell ref="F6:F7"/>
    <mergeCell ref="B6:B7"/>
  </mergeCells>
  <hyperlinks>
    <hyperlink ref="I5" r:id="rId1" xr:uid="{377346CD-197E-46BB-B601-CA9E2FD5FD51}"/>
    <hyperlink ref="I6" r:id="rId2" xr:uid="{3F92ED71-0FED-428C-8452-65D972078570}"/>
    <hyperlink ref="I8" r:id="rId3" xr:uid="{682A5356-3463-4301-B1B2-67D779748B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8FEF4-095B-44DB-ACC4-4D83993D8CC9}">
  <sheetPr>
    <tabColor theme="4"/>
  </sheetPr>
  <dimension ref="A1:L26"/>
  <sheetViews>
    <sheetView showGridLines="0" zoomScale="70" zoomScaleNormal="70" workbookViewId="0"/>
  </sheetViews>
  <sheetFormatPr defaultRowHeight="15" x14ac:dyDescent="0.25"/>
  <cols>
    <col min="1" max="1" width="88.85546875" bestFit="1" customWidth="1"/>
    <col min="2" max="2" width="38.28515625" style="54" bestFit="1" customWidth="1"/>
    <col min="3" max="3" width="25.28515625" bestFit="1" customWidth="1"/>
    <col min="4" max="4" width="27.5703125" customWidth="1"/>
    <col min="5" max="5" width="25.28515625" bestFit="1" customWidth="1"/>
    <col min="6" max="6" width="36.5703125" style="54" customWidth="1"/>
    <col min="7" max="7" width="36.5703125" bestFit="1" customWidth="1"/>
    <col min="8" max="8" width="13.5703125" bestFit="1" customWidth="1"/>
    <col min="9" max="9" width="13" bestFit="1" customWidth="1"/>
    <col min="10" max="10" width="22.7109375" customWidth="1"/>
    <col min="11" max="11" width="48.28515625" customWidth="1"/>
    <col min="12" max="12" width="12.7109375" bestFit="1" customWidth="1"/>
  </cols>
  <sheetData>
    <row r="1" spans="1:12" ht="15.75" thickBot="1" x14ac:dyDescent="0.3">
      <c r="A1" s="26" t="s">
        <v>51</v>
      </c>
      <c r="B1" s="26"/>
    </row>
    <row r="2" spans="1:12" ht="15.75" thickBot="1" x14ac:dyDescent="0.3">
      <c r="B2" s="1"/>
      <c r="C2" s="431" t="s">
        <v>507</v>
      </c>
      <c r="D2" s="432"/>
      <c r="E2" s="432"/>
      <c r="F2" s="432"/>
      <c r="G2" s="432"/>
    </row>
    <row r="3" spans="1:12" ht="17.25" x14ac:dyDescent="0.25">
      <c r="A3" s="40" t="s">
        <v>333</v>
      </c>
      <c r="B3" s="75" t="s">
        <v>381</v>
      </c>
      <c r="C3" s="290" t="s">
        <v>509</v>
      </c>
      <c r="D3" s="290" t="s">
        <v>1</v>
      </c>
      <c r="E3" s="290" t="s">
        <v>515</v>
      </c>
      <c r="F3" s="28" t="s">
        <v>344</v>
      </c>
      <c r="G3" s="290" t="s">
        <v>512</v>
      </c>
      <c r="H3" s="29" t="s">
        <v>2</v>
      </c>
      <c r="I3" s="29" t="s">
        <v>3</v>
      </c>
      <c r="J3" s="29" t="s">
        <v>4</v>
      </c>
      <c r="K3" s="29" t="s">
        <v>5</v>
      </c>
      <c r="L3" s="30" t="s">
        <v>6</v>
      </c>
    </row>
    <row r="4" spans="1:12" x14ac:dyDescent="0.25">
      <c r="A4" s="50" t="s">
        <v>310</v>
      </c>
      <c r="B4" s="78"/>
      <c r="C4" s="55"/>
      <c r="D4" s="69"/>
      <c r="E4" s="55"/>
      <c r="F4" s="55"/>
      <c r="G4" s="55"/>
      <c r="H4" s="55"/>
      <c r="I4" s="55"/>
      <c r="J4" s="69"/>
      <c r="K4" s="55"/>
      <c r="L4" s="60"/>
    </row>
    <row r="5" spans="1:12" ht="93.75" customHeight="1" x14ac:dyDescent="0.25">
      <c r="A5" s="33" t="s">
        <v>311</v>
      </c>
      <c r="B5" s="82" t="s">
        <v>126</v>
      </c>
      <c r="C5" s="69" t="s">
        <v>42</v>
      </c>
      <c r="D5" s="59" t="s">
        <v>312</v>
      </c>
      <c r="E5" s="69" t="s">
        <v>111</v>
      </c>
      <c r="F5" s="136" t="s">
        <v>357</v>
      </c>
      <c r="G5" s="161" t="s">
        <v>111</v>
      </c>
      <c r="H5" s="69" t="s">
        <v>11</v>
      </c>
      <c r="I5" s="140" t="s">
        <v>313</v>
      </c>
      <c r="J5" s="69" t="s">
        <v>19</v>
      </c>
      <c r="K5" s="70" t="s">
        <v>485</v>
      </c>
      <c r="L5" s="210">
        <v>44267</v>
      </c>
    </row>
    <row r="6" spans="1:12" ht="45" x14ac:dyDescent="0.25">
      <c r="A6" s="33" t="s">
        <v>314</v>
      </c>
      <c r="B6" s="82" t="s">
        <v>126</v>
      </c>
      <c r="C6" s="69" t="s">
        <v>42</v>
      </c>
      <c r="D6" s="69" t="s">
        <v>315</v>
      </c>
      <c r="E6" s="69" t="s">
        <v>111</v>
      </c>
      <c r="F6" s="136" t="s">
        <v>357</v>
      </c>
      <c r="G6" s="161" t="s">
        <v>111</v>
      </c>
      <c r="H6" s="69" t="s">
        <v>11</v>
      </c>
      <c r="I6" s="140" t="s">
        <v>316</v>
      </c>
      <c r="J6" s="59" t="s">
        <v>19</v>
      </c>
      <c r="K6" s="70" t="s">
        <v>455</v>
      </c>
      <c r="L6" s="58">
        <v>44227</v>
      </c>
    </row>
    <row r="7" spans="1:12" ht="45.75" customHeight="1" x14ac:dyDescent="0.25">
      <c r="A7" s="33" t="s">
        <v>317</v>
      </c>
      <c r="B7" s="82" t="s">
        <v>126</v>
      </c>
      <c r="C7" s="69" t="s">
        <v>42</v>
      </c>
      <c r="D7" s="69" t="s">
        <v>315</v>
      </c>
      <c r="E7" s="69" t="s">
        <v>111</v>
      </c>
      <c r="F7" s="136" t="s">
        <v>357</v>
      </c>
      <c r="G7" s="161" t="s">
        <v>111</v>
      </c>
      <c r="H7" s="69" t="s">
        <v>11</v>
      </c>
      <c r="I7" s="140" t="s">
        <v>316</v>
      </c>
      <c r="J7" s="211" t="s">
        <v>318</v>
      </c>
      <c r="K7" s="213" t="s">
        <v>618</v>
      </c>
      <c r="L7" s="212">
        <v>44301</v>
      </c>
    </row>
    <row r="8" spans="1:12" ht="108.75" customHeight="1" x14ac:dyDescent="0.25">
      <c r="A8" s="447" t="s">
        <v>319</v>
      </c>
      <c r="B8" s="445" t="s">
        <v>111</v>
      </c>
      <c r="C8" s="69" t="s">
        <v>42</v>
      </c>
      <c r="D8" s="59" t="s">
        <v>312</v>
      </c>
      <c r="E8" s="69" t="s">
        <v>111</v>
      </c>
      <c r="F8" s="136" t="s">
        <v>357</v>
      </c>
      <c r="G8" s="161" t="s">
        <v>111</v>
      </c>
      <c r="H8" s="69" t="s">
        <v>11</v>
      </c>
      <c r="I8" s="140" t="s">
        <v>313</v>
      </c>
      <c r="J8" s="69" t="s">
        <v>19</v>
      </c>
      <c r="K8" s="70" t="s">
        <v>485</v>
      </c>
      <c r="L8" s="210">
        <v>44267</v>
      </c>
    </row>
    <row r="9" spans="1:12" ht="45" x14ac:dyDescent="0.25">
      <c r="A9" s="448"/>
      <c r="B9" s="446"/>
      <c r="C9" s="69" t="s">
        <v>42</v>
      </c>
      <c r="D9" s="69" t="s">
        <v>315</v>
      </c>
      <c r="E9" s="69" t="s">
        <v>111</v>
      </c>
      <c r="F9" s="136" t="s">
        <v>357</v>
      </c>
      <c r="G9" s="161" t="s">
        <v>111</v>
      </c>
      <c r="H9" s="69" t="s">
        <v>11</v>
      </c>
      <c r="I9" s="140" t="s">
        <v>316</v>
      </c>
      <c r="J9" s="51" t="s">
        <v>73</v>
      </c>
      <c r="K9" s="70"/>
      <c r="L9" s="60"/>
    </row>
    <row r="10" spans="1:12" x14ac:dyDescent="0.25">
      <c r="A10" s="31" t="s">
        <v>320</v>
      </c>
      <c r="B10" s="79"/>
      <c r="C10" s="69"/>
      <c r="D10" s="69"/>
      <c r="E10" s="55"/>
      <c r="F10" s="55"/>
      <c r="G10" s="161"/>
      <c r="H10" s="69"/>
      <c r="I10" s="140"/>
      <c r="J10" s="69"/>
      <c r="K10" s="70"/>
      <c r="L10" s="60"/>
    </row>
    <row r="11" spans="1:12" ht="45" x14ac:dyDescent="0.25">
      <c r="A11" s="33" t="s">
        <v>321</v>
      </c>
      <c r="B11" s="82" t="s">
        <v>111</v>
      </c>
      <c r="C11" s="69" t="s">
        <v>42</v>
      </c>
      <c r="D11" s="69" t="s">
        <v>322</v>
      </c>
      <c r="E11" s="69" t="s">
        <v>111</v>
      </c>
      <c r="F11" s="136" t="s">
        <v>357</v>
      </c>
      <c r="G11" s="161" t="s">
        <v>111</v>
      </c>
      <c r="H11" s="69" t="s">
        <v>11</v>
      </c>
      <c r="I11" s="140" t="s">
        <v>323</v>
      </c>
      <c r="J11" s="69" t="s">
        <v>19</v>
      </c>
      <c r="K11" s="70" t="s">
        <v>126</v>
      </c>
      <c r="L11" s="60"/>
    </row>
    <row r="12" spans="1:12" ht="30" x14ac:dyDescent="0.25">
      <c r="A12" s="33" t="s">
        <v>324</v>
      </c>
      <c r="B12" s="82" t="s">
        <v>111</v>
      </c>
      <c r="C12" s="69" t="s">
        <v>42</v>
      </c>
      <c r="D12" s="59" t="s">
        <v>89</v>
      </c>
      <c r="E12" s="69" t="s">
        <v>111</v>
      </c>
      <c r="F12" s="136" t="s">
        <v>371</v>
      </c>
      <c r="G12" s="161" t="s">
        <v>111</v>
      </c>
      <c r="H12" s="69" t="s">
        <v>11</v>
      </c>
      <c r="I12" s="140" t="s">
        <v>90</v>
      </c>
      <c r="J12" s="59" t="s">
        <v>19</v>
      </c>
      <c r="K12" s="70" t="s">
        <v>483</v>
      </c>
      <c r="L12" s="58">
        <v>44251</v>
      </c>
    </row>
    <row r="13" spans="1:12" ht="48.75" customHeight="1" x14ac:dyDescent="0.25">
      <c r="A13" s="457" t="s">
        <v>325</v>
      </c>
      <c r="B13" s="445" t="s">
        <v>111</v>
      </c>
      <c r="C13" s="69" t="s">
        <v>42</v>
      </c>
      <c r="D13" s="59" t="s">
        <v>326</v>
      </c>
      <c r="E13" s="69" t="s">
        <v>111</v>
      </c>
      <c r="F13" s="136" t="s">
        <v>357</v>
      </c>
      <c r="G13" s="161" t="s">
        <v>111</v>
      </c>
      <c r="H13" s="69" t="s">
        <v>11</v>
      </c>
      <c r="I13" s="135" t="s">
        <v>327</v>
      </c>
      <c r="J13" s="135" t="s">
        <v>328</v>
      </c>
      <c r="K13" s="72" t="s">
        <v>619</v>
      </c>
      <c r="L13" s="139">
        <v>44300</v>
      </c>
    </row>
    <row r="14" spans="1:12" s="54" customFormat="1" ht="48.75" customHeight="1" x14ac:dyDescent="0.25">
      <c r="A14" s="458"/>
      <c r="B14" s="446"/>
      <c r="C14" s="69" t="s">
        <v>415</v>
      </c>
      <c r="D14" s="59" t="s">
        <v>14</v>
      </c>
      <c r="E14" s="69" t="s">
        <v>10</v>
      </c>
      <c r="F14" s="166" t="s">
        <v>440</v>
      </c>
      <c r="G14" s="144">
        <v>200</v>
      </c>
      <c r="H14" s="137" t="s">
        <v>11</v>
      </c>
      <c r="I14" s="135" t="s">
        <v>15</v>
      </c>
      <c r="J14" s="162" t="s">
        <v>13</v>
      </c>
      <c r="K14" s="70"/>
      <c r="L14" s="58"/>
    </row>
    <row r="15" spans="1:12" x14ac:dyDescent="0.25">
      <c r="A15" s="31" t="s">
        <v>329</v>
      </c>
      <c r="B15" s="79"/>
      <c r="C15" s="69"/>
      <c r="D15" s="69"/>
      <c r="E15" s="55"/>
      <c r="F15" s="55"/>
      <c r="G15" s="161"/>
      <c r="H15" s="69"/>
      <c r="I15" s="69"/>
      <c r="J15" s="69"/>
      <c r="K15" s="70"/>
      <c r="L15" s="60"/>
    </row>
    <row r="16" spans="1:12" x14ac:dyDescent="0.25">
      <c r="A16" s="457" t="s">
        <v>330</v>
      </c>
      <c r="B16" s="445" t="s">
        <v>111</v>
      </c>
      <c r="C16" s="445" t="s">
        <v>42</v>
      </c>
      <c r="D16" s="419" t="s">
        <v>173</v>
      </c>
      <c r="E16" s="445" t="s">
        <v>111</v>
      </c>
      <c r="F16" s="299" t="s">
        <v>357</v>
      </c>
      <c r="G16" s="451" t="s">
        <v>111</v>
      </c>
      <c r="H16" s="445" t="s">
        <v>11</v>
      </c>
      <c r="I16" s="453" t="s">
        <v>174</v>
      </c>
      <c r="J16" s="138" t="s">
        <v>19</v>
      </c>
      <c r="K16" s="455" t="s">
        <v>331</v>
      </c>
      <c r="L16" s="449">
        <v>44196</v>
      </c>
    </row>
    <row r="17" spans="1:12" s="54" customFormat="1" x14ac:dyDescent="0.25">
      <c r="A17" s="458"/>
      <c r="B17" s="446"/>
      <c r="C17" s="446"/>
      <c r="D17" s="421"/>
      <c r="E17" s="446"/>
      <c r="F17" s="301"/>
      <c r="G17" s="452"/>
      <c r="H17" s="446"/>
      <c r="I17" s="454"/>
      <c r="J17" s="74" t="s">
        <v>375</v>
      </c>
      <c r="K17" s="456"/>
      <c r="L17" s="450"/>
    </row>
    <row r="18" spans="1:12" ht="37.5" customHeight="1" x14ac:dyDescent="0.25">
      <c r="A18" s="169" t="s">
        <v>332</v>
      </c>
      <c r="B18" s="82" t="s">
        <v>111</v>
      </c>
      <c r="C18" s="138" t="s">
        <v>42</v>
      </c>
      <c r="D18" s="138"/>
      <c r="E18" s="69" t="s">
        <v>111</v>
      </c>
      <c r="F18" s="167" t="s">
        <v>357</v>
      </c>
      <c r="G18" s="161" t="s">
        <v>111</v>
      </c>
      <c r="H18" s="138"/>
      <c r="I18" s="138"/>
      <c r="J18" s="73"/>
      <c r="K18" s="71"/>
      <c r="L18" s="49"/>
    </row>
    <row r="19" spans="1:12" ht="45.75" thickBot="1" x14ac:dyDescent="0.3">
      <c r="A19" s="169" t="s">
        <v>341</v>
      </c>
      <c r="B19" s="82" t="s">
        <v>111</v>
      </c>
      <c r="C19" s="138" t="s">
        <v>42</v>
      </c>
      <c r="D19" s="59" t="s">
        <v>312</v>
      </c>
      <c r="E19" s="69" t="s">
        <v>111</v>
      </c>
      <c r="F19" s="167" t="s">
        <v>357</v>
      </c>
      <c r="G19" s="161" t="s">
        <v>111</v>
      </c>
      <c r="H19" s="138" t="s">
        <v>85</v>
      </c>
      <c r="I19" s="135"/>
      <c r="J19" s="138"/>
      <c r="K19" s="52"/>
      <c r="L19" s="49"/>
    </row>
    <row r="20" spans="1:12" ht="14.65" customHeight="1" thickBot="1" x14ac:dyDescent="0.3">
      <c r="A20" s="62" t="s">
        <v>334</v>
      </c>
      <c r="B20" s="68">
        <f>SUM(B5:B9,B11:B13,B17:B19)</f>
        <v>0</v>
      </c>
      <c r="C20" s="22"/>
      <c r="D20" s="22"/>
      <c r="E20" s="22"/>
      <c r="F20" s="22"/>
      <c r="G20" s="68">
        <f>SUM(G5:G9,G11:G13,G16:G19)</f>
        <v>0</v>
      </c>
      <c r="H20" s="22"/>
      <c r="I20" s="22"/>
      <c r="J20" s="22"/>
      <c r="K20" s="22"/>
      <c r="L20" s="23"/>
    </row>
    <row r="21" spans="1:12" s="54" customFormat="1" ht="15.75" thickBot="1" x14ac:dyDescent="0.3">
      <c r="A21" s="62" t="s">
        <v>525</v>
      </c>
      <c r="B21" s="68"/>
      <c r="C21" s="22"/>
      <c r="D21" s="22"/>
      <c r="E21" s="22"/>
      <c r="F21" s="22"/>
      <c r="G21" s="68">
        <f>SUMIF(C3:C19,"*Supps C*",G3:G19)</f>
        <v>200</v>
      </c>
      <c r="H21" s="22"/>
      <c r="I21" s="22"/>
      <c r="J21" s="22"/>
      <c r="K21" s="22"/>
      <c r="L21" s="23"/>
    </row>
    <row r="23" spans="1:12" ht="17.25" x14ac:dyDescent="0.25">
      <c r="A23" s="56" t="s">
        <v>382</v>
      </c>
      <c r="B23" s="1"/>
    </row>
    <row r="25" spans="1:12" x14ac:dyDescent="0.25">
      <c r="A25" s="1"/>
      <c r="B25" s="1"/>
    </row>
    <row r="26" spans="1:12" x14ac:dyDescent="0.25">
      <c r="A26" s="1"/>
      <c r="B26" s="1"/>
    </row>
  </sheetData>
  <mergeCells count="16">
    <mergeCell ref="A8:A9"/>
    <mergeCell ref="A16:A17"/>
    <mergeCell ref="C16:C17"/>
    <mergeCell ref="D16:D17"/>
    <mergeCell ref="E16:E17"/>
    <mergeCell ref="B8:B9"/>
    <mergeCell ref="B16:B17"/>
    <mergeCell ref="A13:A14"/>
    <mergeCell ref="B13:B14"/>
    <mergeCell ref="C2:G2"/>
    <mergeCell ref="L16:L17"/>
    <mergeCell ref="F16:F17"/>
    <mergeCell ref="G16:G17"/>
    <mergeCell ref="H16:H17"/>
    <mergeCell ref="I16:I17"/>
    <mergeCell ref="K16:K17"/>
  </mergeCells>
  <hyperlinks>
    <hyperlink ref="I7" r:id="rId1" xr:uid="{1540B2A2-2984-48E7-A871-D135B0C046DA}"/>
    <hyperlink ref="I6" r:id="rId2" xr:uid="{286F0B26-41AA-436A-A80D-E9A9C492B5AC}"/>
    <hyperlink ref="I16" r:id="rId3" xr:uid="{9EE20607-2354-4D42-B7F2-CA1442D3DAF9}"/>
    <hyperlink ref="I5" r:id="rId4" xr:uid="{A4B9BE79-9D7A-438B-8D49-5EB155EA6847}"/>
    <hyperlink ref="I8" r:id="rId5" xr:uid="{671A4BFC-D553-4509-A213-915B076CAD5A}"/>
    <hyperlink ref="I11" r:id="rId6" xr:uid="{7B89B830-7E53-4A32-9F15-69687737F0D7}"/>
    <hyperlink ref="J13" r:id="rId7" xr:uid="{4EE352B4-79D3-4780-B88E-FCD45B299FC5}"/>
    <hyperlink ref="I13" r:id="rId8" xr:uid="{D9264DA8-B5B3-4F05-A7DC-95494BD0FF53}"/>
    <hyperlink ref="I12" r:id="rId9" xr:uid="{A04A0D1E-9A7C-4C93-BF60-569F4CCF3323}"/>
    <hyperlink ref="I9" r:id="rId10" xr:uid="{9FEDA449-E3FC-4175-92FE-3D8BBE7DC6FB}"/>
    <hyperlink ref="J17" r:id="rId11" xr:uid="{C35F458D-C09C-4469-83A3-39ED1141ADC7}"/>
    <hyperlink ref="I14" r:id="rId12" xr:uid="{8D78F163-DF9F-4B9F-B0BA-8051DE2EB60D}"/>
    <hyperlink ref="J7" r:id="rId13" display="CEBA data" xr:uid="{C9275DAD-2A63-47F5-B32D-C13B0D762590}"/>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56"/>
  <sheetViews>
    <sheetView showGridLines="0" zoomScale="70" zoomScaleNormal="70" workbookViewId="0"/>
  </sheetViews>
  <sheetFormatPr defaultRowHeight="15" x14ac:dyDescent="0.25"/>
  <cols>
    <col min="1" max="1" width="68.85546875" customWidth="1"/>
    <col min="2" max="2" width="38.28515625" style="54" bestFit="1" customWidth="1"/>
    <col min="3" max="3" width="26.140625" bestFit="1" customWidth="1"/>
    <col min="4" max="4" width="46.5703125" customWidth="1"/>
    <col min="5" max="5" width="25.28515625" bestFit="1" customWidth="1"/>
    <col min="6" max="6" width="42.7109375" style="54" bestFit="1" customWidth="1"/>
    <col min="7" max="7" width="37.28515625" bestFit="1" customWidth="1"/>
    <col min="8" max="8" width="14.140625" bestFit="1" customWidth="1"/>
    <col min="9" max="9" width="13.7109375" bestFit="1" customWidth="1"/>
    <col min="10" max="10" width="21.140625" bestFit="1" customWidth="1"/>
    <col min="11" max="11" width="30.7109375" customWidth="1"/>
    <col min="12" max="12" width="18.42578125" bestFit="1" customWidth="1"/>
  </cols>
  <sheetData>
    <row r="1" spans="1:12" ht="15.75" thickBot="1" x14ac:dyDescent="0.3">
      <c r="A1" s="41" t="s">
        <v>348</v>
      </c>
      <c r="B1" s="41"/>
    </row>
    <row r="2" spans="1:12" ht="15.75" thickBot="1" x14ac:dyDescent="0.3">
      <c r="B2" s="1"/>
      <c r="C2" s="431" t="s">
        <v>507</v>
      </c>
      <c r="D2" s="432"/>
      <c r="E2" s="432"/>
      <c r="F2" s="432"/>
      <c r="G2" s="432"/>
    </row>
    <row r="3" spans="1:12" ht="17.25" x14ac:dyDescent="0.25">
      <c r="A3" s="40" t="s">
        <v>349</v>
      </c>
      <c r="B3" s="75" t="s">
        <v>381</v>
      </c>
      <c r="C3" s="290" t="s">
        <v>509</v>
      </c>
      <c r="D3" s="290" t="s">
        <v>1</v>
      </c>
      <c r="E3" s="290" t="s">
        <v>515</v>
      </c>
      <c r="F3" s="28" t="s">
        <v>344</v>
      </c>
      <c r="G3" s="290" t="s">
        <v>512</v>
      </c>
      <c r="H3" s="29" t="s">
        <v>2</v>
      </c>
      <c r="I3" s="29" t="s">
        <v>3</v>
      </c>
      <c r="J3" s="29" t="s">
        <v>4</v>
      </c>
      <c r="K3" s="29" t="s">
        <v>5</v>
      </c>
      <c r="L3" s="30" t="s">
        <v>6</v>
      </c>
    </row>
    <row r="4" spans="1:12" ht="32.25" customHeight="1" x14ac:dyDescent="0.25">
      <c r="A4" s="382" t="s">
        <v>301</v>
      </c>
      <c r="B4" s="299"/>
      <c r="C4" s="130" t="s">
        <v>26</v>
      </c>
      <c r="D4" s="99" t="s">
        <v>300</v>
      </c>
      <c r="E4" s="130" t="s">
        <v>16</v>
      </c>
      <c r="F4" s="130" t="s">
        <v>111</v>
      </c>
      <c r="G4" s="143">
        <v>-20</v>
      </c>
      <c r="H4" s="459" t="s">
        <v>85</v>
      </c>
      <c r="I4" s="459"/>
      <c r="J4" s="459"/>
      <c r="K4" s="459"/>
      <c r="L4" s="464"/>
    </row>
    <row r="5" spans="1:12" ht="36" customHeight="1" x14ac:dyDescent="0.25">
      <c r="A5" s="382"/>
      <c r="B5" s="301"/>
      <c r="C5" s="130" t="s">
        <v>26</v>
      </c>
      <c r="D5" s="99" t="s">
        <v>300</v>
      </c>
      <c r="E5" s="130" t="s">
        <v>16</v>
      </c>
      <c r="F5" s="130" t="s">
        <v>111</v>
      </c>
      <c r="G5" s="143">
        <v>20</v>
      </c>
      <c r="H5" s="459"/>
      <c r="I5" s="459"/>
      <c r="J5" s="459"/>
      <c r="K5" s="459"/>
      <c r="L5" s="464"/>
    </row>
    <row r="6" spans="1:12" x14ac:dyDescent="0.25">
      <c r="A6" s="129" t="s">
        <v>299</v>
      </c>
      <c r="B6" s="104">
        <v>112</v>
      </c>
      <c r="C6" s="114" t="s">
        <v>42</v>
      </c>
      <c r="D6" s="114" t="s">
        <v>37</v>
      </c>
      <c r="E6" s="130" t="s">
        <v>111</v>
      </c>
      <c r="F6" s="130"/>
      <c r="G6" s="143" t="s">
        <v>111</v>
      </c>
      <c r="H6" s="114" t="s">
        <v>11</v>
      </c>
      <c r="I6" s="119" t="s">
        <v>38</v>
      </c>
      <c r="J6" s="116" t="s">
        <v>180</v>
      </c>
      <c r="K6" s="96"/>
      <c r="L6" s="103"/>
    </row>
    <row r="7" spans="1:12" x14ac:dyDescent="0.25">
      <c r="A7" s="111" t="s">
        <v>298</v>
      </c>
      <c r="B7" s="105"/>
      <c r="C7" s="114" t="s">
        <v>8</v>
      </c>
      <c r="D7" s="114" t="s">
        <v>17</v>
      </c>
      <c r="E7" s="114" t="s">
        <v>16</v>
      </c>
      <c r="F7" s="130" t="s">
        <v>111</v>
      </c>
      <c r="G7" s="143">
        <v>6.4198120000000003</v>
      </c>
      <c r="H7" s="114" t="s">
        <v>11</v>
      </c>
      <c r="I7" s="115" t="s">
        <v>18</v>
      </c>
      <c r="J7" s="116" t="s">
        <v>13</v>
      </c>
      <c r="K7" s="96"/>
      <c r="L7" s="103"/>
    </row>
    <row r="8" spans="1:12" ht="45" x14ac:dyDescent="0.25">
      <c r="A8" s="111" t="s">
        <v>297</v>
      </c>
      <c r="B8" s="105"/>
      <c r="C8" s="114" t="s">
        <v>8</v>
      </c>
      <c r="D8" s="116" t="s">
        <v>242</v>
      </c>
      <c r="E8" s="114" t="s">
        <v>16</v>
      </c>
      <c r="F8" s="130" t="s">
        <v>111</v>
      </c>
      <c r="G8" s="143">
        <v>5</v>
      </c>
      <c r="H8" s="114" t="s">
        <v>11</v>
      </c>
      <c r="I8" s="115" t="s">
        <v>223</v>
      </c>
      <c r="J8" s="116" t="s">
        <v>73</v>
      </c>
      <c r="K8" s="96"/>
      <c r="L8" s="103"/>
    </row>
    <row r="9" spans="1:12" ht="30" customHeight="1" x14ac:dyDescent="0.25">
      <c r="A9" s="382" t="s">
        <v>296</v>
      </c>
      <c r="B9" s="299"/>
      <c r="C9" s="114" t="s">
        <v>8</v>
      </c>
      <c r="D9" s="116" t="s">
        <v>295</v>
      </c>
      <c r="E9" s="114" t="s">
        <v>16</v>
      </c>
      <c r="F9" s="130" t="s">
        <v>111</v>
      </c>
      <c r="G9" s="143">
        <v>-3.3290000000000002</v>
      </c>
      <c r="H9" s="311" t="s">
        <v>85</v>
      </c>
      <c r="I9" s="311"/>
      <c r="J9" s="311"/>
      <c r="K9" s="466"/>
      <c r="L9" s="465"/>
    </row>
    <row r="10" spans="1:12" ht="30" customHeight="1" x14ac:dyDescent="0.25">
      <c r="A10" s="382"/>
      <c r="B10" s="301"/>
      <c r="C10" s="114" t="s">
        <v>8</v>
      </c>
      <c r="D10" s="114" t="s">
        <v>295</v>
      </c>
      <c r="E10" s="114" t="s">
        <v>16</v>
      </c>
      <c r="F10" s="130" t="s">
        <v>111</v>
      </c>
      <c r="G10" s="143">
        <v>3.3290000000000002</v>
      </c>
      <c r="H10" s="311"/>
      <c r="I10" s="311"/>
      <c r="J10" s="311"/>
      <c r="K10" s="466"/>
      <c r="L10" s="465"/>
    </row>
    <row r="11" spans="1:12" x14ac:dyDescent="0.25">
      <c r="A11" s="382" t="s">
        <v>294</v>
      </c>
      <c r="B11" s="299"/>
      <c r="C11" s="114" t="s">
        <v>8</v>
      </c>
      <c r="D11" s="114" t="s">
        <v>293</v>
      </c>
      <c r="E11" s="114" t="s">
        <v>16</v>
      </c>
      <c r="F11" s="130" t="s">
        <v>111</v>
      </c>
      <c r="G11" s="143">
        <v>-33.732999999999997</v>
      </c>
      <c r="H11" s="311" t="s">
        <v>85</v>
      </c>
      <c r="I11" s="311"/>
      <c r="J11" s="311"/>
      <c r="K11" s="466"/>
      <c r="L11" s="465"/>
    </row>
    <row r="12" spans="1:12" x14ac:dyDescent="0.25">
      <c r="A12" s="382"/>
      <c r="B12" s="301"/>
      <c r="C12" s="114" t="s">
        <v>8</v>
      </c>
      <c r="D12" s="114" t="s">
        <v>293</v>
      </c>
      <c r="E12" s="114" t="s">
        <v>16</v>
      </c>
      <c r="F12" s="130" t="s">
        <v>111</v>
      </c>
      <c r="G12" s="143">
        <v>33.732999999999997</v>
      </c>
      <c r="H12" s="311"/>
      <c r="I12" s="311"/>
      <c r="J12" s="311"/>
      <c r="K12" s="466"/>
      <c r="L12" s="465"/>
    </row>
    <row r="13" spans="1:12" ht="30" customHeight="1" x14ac:dyDescent="0.25">
      <c r="A13" s="382" t="s">
        <v>292</v>
      </c>
      <c r="B13" s="299"/>
      <c r="C13" s="114" t="s">
        <v>8</v>
      </c>
      <c r="D13" s="116" t="s">
        <v>291</v>
      </c>
      <c r="E13" s="114" t="s">
        <v>16</v>
      </c>
      <c r="F13" s="130" t="s">
        <v>111</v>
      </c>
      <c r="G13" s="143">
        <v>5.5269320000000004</v>
      </c>
      <c r="H13" s="114" t="s">
        <v>85</v>
      </c>
      <c r="I13" s="114"/>
      <c r="J13" s="114"/>
      <c r="K13" s="96"/>
      <c r="L13" s="103"/>
    </row>
    <row r="14" spans="1:12" x14ac:dyDescent="0.25">
      <c r="A14" s="382"/>
      <c r="B14" s="301"/>
      <c r="C14" s="114" t="s">
        <v>8</v>
      </c>
      <c r="D14" s="116" t="s">
        <v>91</v>
      </c>
      <c r="E14" s="114" t="s">
        <v>16</v>
      </c>
      <c r="F14" s="130" t="s">
        <v>111</v>
      </c>
      <c r="G14" s="143">
        <f>27.30409+63.65</f>
        <v>90.954089999999994</v>
      </c>
      <c r="H14" s="114" t="s">
        <v>11</v>
      </c>
      <c r="I14" s="115" t="s">
        <v>92</v>
      </c>
      <c r="J14" s="116" t="s">
        <v>19</v>
      </c>
      <c r="K14" s="172" t="s">
        <v>444</v>
      </c>
      <c r="L14" s="113">
        <v>44255</v>
      </c>
    </row>
    <row r="15" spans="1:12" ht="30" customHeight="1" x14ac:dyDescent="0.25">
      <c r="A15" s="382" t="s">
        <v>290</v>
      </c>
      <c r="B15" s="299"/>
      <c r="C15" s="114" t="s">
        <v>8</v>
      </c>
      <c r="D15" s="116" t="s">
        <v>284</v>
      </c>
      <c r="E15" s="114" t="s">
        <v>16</v>
      </c>
      <c r="F15" s="130" t="s">
        <v>111</v>
      </c>
      <c r="G15" s="143">
        <v>1.3129919999999999</v>
      </c>
      <c r="H15" s="114" t="s">
        <v>11</v>
      </c>
      <c r="I15" s="115" t="s">
        <v>283</v>
      </c>
      <c r="J15" s="116" t="s">
        <v>19</v>
      </c>
      <c r="K15" s="107" t="s">
        <v>394</v>
      </c>
      <c r="L15" s="113">
        <v>44135</v>
      </c>
    </row>
    <row r="16" spans="1:12" ht="30" x14ac:dyDescent="0.25">
      <c r="A16" s="382"/>
      <c r="B16" s="300"/>
      <c r="C16" s="114" t="s">
        <v>8</v>
      </c>
      <c r="D16" s="116" t="s">
        <v>35</v>
      </c>
      <c r="E16" s="114" t="s">
        <v>16</v>
      </c>
      <c r="F16" s="130" t="s">
        <v>111</v>
      </c>
      <c r="G16" s="163">
        <v>0.44668799999999997</v>
      </c>
      <c r="H16" s="114" t="s">
        <v>11</v>
      </c>
      <c r="I16" s="115" t="s">
        <v>289</v>
      </c>
      <c r="J16" s="116" t="s">
        <v>219</v>
      </c>
      <c r="K16" s="96"/>
      <c r="L16" s="103"/>
    </row>
    <row r="17" spans="1:12" x14ac:dyDescent="0.25">
      <c r="A17" s="382"/>
      <c r="B17" s="301"/>
      <c r="C17" s="114" t="s">
        <v>8</v>
      </c>
      <c r="D17" s="116" t="s">
        <v>30</v>
      </c>
      <c r="E17" s="114" t="s">
        <v>16</v>
      </c>
      <c r="F17" s="130" t="s">
        <v>111</v>
      </c>
      <c r="G17" s="163">
        <v>0.19544</v>
      </c>
      <c r="H17" s="114" t="s">
        <v>11</v>
      </c>
      <c r="I17" s="115" t="s">
        <v>31</v>
      </c>
      <c r="J17" s="114" t="s">
        <v>13</v>
      </c>
      <c r="K17" s="96"/>
      <c r="L17" s="103"/>
    </row>
    <row r="18" spans="1:12" ht="30" x14ac:dyDescent="0.25">
      <c r="A18" s="382" t="s">
        <v>288</v>
      </c>
      <c r="B18" s="299"/>
      <c r="C18" s="114" t="s">
        <v>8</v>
      </c>
      <c r="D18" s="116" t="s">
        <v>110</v>
      </c>
      <c r="E18" s="114" t="s">
        <v>16</v>
      </c>
      <c r="F18" s="130" t="s">
        <v>111</v>
      </c>
      <c r="G18" s="143">
        <v>-2</v>
      </c>
      <c r="H18" s="311" t="s">
        <v>11</v>
      </c>
      <c r="I18" s="337" t="s">
        <v>75</v>
      </c>
      <c r="J18" s="312" t="s">
        <v>73</v>
      </c>
      <c r="K18" s="466"/>
      <c r="L18" s="465"/>
    </row>
    <row r="19" spans="1:12" x14ac:dyDescent="0.25">
      <c r="A19" s="382"/>
      <c r="B19" s="301"/>
      <c r="C19" s="114" t="s">
        <v>8</v>
      </c>
      <c r="D19" s="114" t="s">
        <v>70</v>
      </c>
      <c r="E19" s="114" t="s">
        <v>16</v>
      </c>
      <c r="F19" s="130" t="s">
        <v>111</v>
      </c>
      <c r="G19" s="143">
        <v>2</v>
      </c>
      <c r="H19" s="311"/>
      <c r="I19" s="337"/>
      <c r="J19" s="312"/>
      <c r="K19" s="466"/>
      <c r="L19" s="465"/>
    </row>
    <row r="20" spans="1:12" x14ac:dyDescent="0.25">
      <c r="A20" s="467" t="s">
        <v>287</v>
      </c>
      <c r="B20" s="302"/>
      <c r="C20" s="114" t="s">
        <v>8</v>
      </c>
      <c r="D20" s="114" t="s">
        <v>20</v>
      </c>
      <c r="E20" s="114" t="s">
        <v>16</v>
      </c>
      <c r="F20" s="130" t="s">
        <v>111</v>
      </c>
      <c r="G20" s="163">
        <v>-0.45871099999999998</v>
      </c>
      <c r="H20" s="311" t="s">
        <v>11</v>
      </c>
      <c r="I20" s="337" t="s">
        <v>160</v>
      </c>
      <c r="J20" s="312" t="s">
        <v>73</v>
      </c>
      <c r="K20" s="466"/>
      <c r="L20" s="465"/>
    </row>
    <row r="21" spans="1:12" x14ac:dyDescent="0.25">
      <c r="A21" s="467"/>
      <c r="B21" s="304"/>
      <c r="C21" s="114" t="s">
        <v>8</v>
      </c>
      <c r="D21" s="114" t="s">
        <v>66</v>
      </c>
      <c r="E21" s="114" t="s">
        <v>16</v>
      </c>
      <c r="F21" s="130" t="s">
        <v>111</v>
      </c>
      <c r="G21" s="163">
        <v>0.45871099999999998</v>
      </c>
      <c r="H21" s="311"/>
      <c r="I21" s="337"/>
      <c r="J21" s="312"/>
      <c r="K21" s="466"/>
      <c r="L21" s="465"/>
    </row>
    <row r="22" spans="1:12" ht="30" x14ac:dyDescent="0.25">
      <c r="A22" s="467" t="s">
        <v>286</v>
      </c>
      <c r="B22" s="302"/>
      <c r="C22" s="114" t="s">
        <v>8</v>
      </c>
      <c r="D22" s="114" t="s">
        <v>66</v>
      </c>
      <c r="E22" s="114" t="s">
        <v>16</v>
      </c>
      <c r="F22" s="130" t="s">
        <v>111</v>
      </c>
      <c r="G22" s="143">
        <v>44.52328</v>
      </c>
      <c r="H22" s="114" t="s">
        <v>11</v>
      </c>
      <c r="I22" s="115" t="s">
        <v>160</v>
      </c>
      <c r="J22" s="116" t="s">
        <v>73</v>
      </c>
      <c r="K22" s="96"/>
      <c r="L22" s="103"/>
    </row>
    <row r="23" spans="1:12" ht="30" x14ac:dyDescent="0.25">
      <c r="A23" s="467"/>
      <c r="B23" s="304"/>
      <c r="C23" s="114" t="s">
        <v>8</v>
      </c>
      <c r="D23" s="114" t="s">
        <v>70</v>
      </c>
      <c r="E23" s="114" t="s">
        <v>16</v>
      </c>
      <c r="F23" s="130" t="s">
        <v>111</v>
      </c>
      <c r="G23" s="143">
        <v>3.9385840000000001</v>
      </c>
      <c r="H23" s="114" t="s">
        <v>11</v>
      </c>
      <c r="I23" s="115" t="s">
        <v>75</v>
      </c>
      <c r="J23" s="116" t="s">
        <v>73</v>
      </c>
      <c r="K23" s="96"/>
      <c r="L23" s="103"/>
    </row>
    <row r="24" spans="1:12" ht="30" x14ac:dyDescent="0.25">
      <c r="A24" s="129" t="s">
        <v>285</v>
      </c>
      <c r="B24" s="106"/>
      <c r="C24" s="114" t="s">
        <v>8</v>
      </c>
      <c r="D24" s="116" t="s">
        <v>124</v>
      </c>
      <c r="E24" s="114" t="s">
        <v>16</v>
      </c>
      <c r="F24" s="130" t="s">
        <v>111</v>
      </c>
      <c r="G24" s="143">
        <v>4.2189170000000003</v>
      </c>
      <c r="H24" s="114" t="s">
        <v>85</v>
      </c>
      <c r="I24" s="114"/>
      <c r="J24" s="114"/>
      <c r="K24" s="96"/>
      <c r="L24" s="103"/>
    </row>
    <row r="25" spans="1:12" x14ac:dyDescent="0.25">
      <c r="A25" s="111" t="s">
        <v>282</v>
      </c>
      <c r="B25" s="105"/>
      <c r="C25" s="114" t="s">
        <v>42</v>
      </c>
      <c r="D25" s="114" t="s">
        <v>281</v>
      </c>
      <c r="E25" s="114" t="s">
        <v>111</v>
      </c>
      <c r="F25" s="130" t="s">
        <v>111</v>
      </c>
      <c r="G25" s="143" t="s">
        <v>111</v>
      </c>
      <c r="H25" s="114" t="s">
        <v>11</v>
      </c>
      <c r="I25" s="115" t="s">
        <v>280</v>
      </c>
      <c r="J25" s="116" t="s">
        <v>19</v>
      </c>
      <c r="K25" s="96" t="s">
        <v>126</v>
      </c>
      <c r="L25" s="103"/>
    </row>
    <row r="26" spans="1:12" ht="45" x14ac:dyDescent="0.25">
      <c r="A26" s="111" t="s">
        <v>336</v>
      </c>
      <c r="B26" s="105"/>
      <c r="C26" s="114" t="s">
        <v>42</v>
      </c>
      <c r="D26" s="116" t="s">
        <v>35</v>
      </c>
      <c r="E26" s="114" t="s">
        <v>111</v>
      </c>
      <c r="F26" s="130" t="s">
        <v>111</v>
      </c>
      <c r="G26" s="143" t="s">
        <v>111</v>
      </c>
      <c r="H26" s="170" t="s">
        <v>443</v>
      </c>
      <c r="I26" s="114" t="s">
        <v>111</v>
      </c>
      <c r="J26" s="121" t="s">
        <v>248</v>
      </c>
      <c r="K26" s="122" t="s">
        <v>337</v>
      </c>
      <c r="L26" s="118" t="s">
        <v>86</v>
      </c>
    </row>
    <row r="27" spans="1:12" ht="60" x14ac:dyDescent="0.25">
      <c r="A27" s="111" t="s">
        <v>338</v>
      </c>
      <c r="B27" s="81">
        <v>4</v>
      </c>
      <c r="C27" s="114" t="s">
        <v>42</v>
      </c>
      <c r="D27" s="116" t="s">
        <v>35</v>
      </c>
      <c r="E27" s="114" t="s">
        <v>111</v>
      </c>
      <c r="F27" s="121" t="s">
        <v>369</v>
      </c>
      <c r="G27" s="143" t="s">
        <v>111</v>
      </c>
      <c r="H27" s="114" t="s">
        <v>11</v>
      </c>
      <c r="I27" s="115" t="s">
        <v>339</v>
      </c>
      <c r="J27" s="121" t="s">
        <v>340</v>
      </c>
      <c r="K27" s="101" t="s">
        <v>620</v>
      </c>
      <c r="L27" s="113">
        <v>44304</v>
      </c>
    </row>
    <row r="28" spans="1:12" s="54" customFormat="1" ht="30" x14ac:dyDescent="0.25">
      <c r="A28" s="111" t="s">
        <v>278</v>
      </c>
      <c r="B28" s="122"/>
      <c r="C28" s="114" t="s">
        <v>42</v>
      </c>
      <c r="D28" s="116" t="s">
        <v>157</v>
      </c>
      <c r="E28" s="114" t="s">
        <v>111</v>
      </c>
      <c r="F28" s="110" t="s">
        <v>111</v>
      </c>
      <c r="G28" s="152" t="s">
        <v>111</v>
      </c>
      <c r="H28" s="112" t="s">
        <v>11</v>
      </c>
      <c r="I28" s="123" t="s">
        <v>160</v>
      </c>
      <c r="J28" s="110" t="s">
        <v>73</v>
      </c>
      <c r="K28" s="120"/>
      <c r="L28" s="126"/>
    </row>
    <row r="29" spans="1:12" s="54" customFormat="1" ht="30" x14ac:dyDescent="0.25">
      <c r="A29" s="111" t="s">
        <v>380</v>
      </c>
      <c r="B29" s="122"/>
      <c r="C29" s="114" t="s">
        <v>42</v>
      </c>
      <c r="D29" s="116" t="s">
        <v>9</v>
      </c>
      <c r="E29" s="114" t="s">
        <v>111</v>
      </c>
      <c r="F29" s="116" t="s">
        <v>111</v>
      </c>
      <c r="G29" s="143" t="s">
        <v>111</v>
      </c>
      <c r="H29" s="114" t="s">
        <v>11</v>
      </c>
      <c r="I29" s="119" t="s">
        <v>12</v>
      </c>
      <c r="J29" s="114" t="s">
        <v>19</v>
      </c>
      <c r="K29" s="117" t="s">
        <v>480</v>
      </c>
      <c r="L29" s="190">
        <v>44257</v>
      </c>
    </row>
    <row r="30" spans="1:12" s="54" customFormat="1" ht="30" x14ac:dyDescent="0.25">
      <c r="A30" s="111" t="s">
        <v>434</v>
      </c>
      <c r="B30" s="122"/>
      <c r="C30" s="114" t="s">
        <v>415</v>
      </c>
      <c r="D30" s="69" t="s">
        <v>225</v>
      </c>
      <c r="E30" s="114" t="s">
        <v>16</v>
      </c>
      <c r="F30" s="116" t="s">
        <v>111</v>
      </c>
      <c r="G30" s="143">
        <v>6.8760000000000003</v>
      </c>
      <c r="H30" s="137" t="s">
        <v>11</v>
      </c>
      <c r="I30" s="135" t="s">
        <v>31</v>
      </c>
      <c r="J30" s="137" t="s">
        <v>13</v>
      </c>
      <c r="K30" s="120"/>
      <c r="L30" s="125"/>
    </row>
    <row r="31" spans="1:12" s="54" customFormat="1" ht="30" x14ac:dyDescent="0.25">
      <c r="A31" s="382" t="s">
        <v>433</v>
      </c>
      <c r="B31" s="312"/>
      <c r="C31" s="114" t="s">
        <v>415</v>
      </c>
      <c r="D31" s="116" t="s">
        <v>22</v>
      </c>
      <c r="E31" s="114" t="s">
        <v>16</v>
      </c>
      <c r="F31" s="116" t="s">
        <v>111</v>
      </c>
      <c r="G31" s="143">
        <v>-1.1006830000000001</v>
      </c>
      <c r="H31" s="311" t="s">
        <v>11</v>
      </c>
      <c r="I31" s="337" t="s">
        <v>75</v>
      </c>
      <c r="J31" s="302" t="s">
        <v>13</v>
      </c>
      <c r="K31" s="302"/>
      <c r="L31" s="460"/>
    </row>
    <row r="32" spans="1:12" s="54" customFormat="1" x14ac:dyDescent="0.25">
      <c r="A32" s="382"/>
      <c r="B32" s="312"/>
      <c r="C32" s="114" t="s">
        <v>415</v>
      </c>
      <c r="D32" s="59" t="s">
        <v>70</v>
      </c>
      <c r="E32" s="114" t="s">
        <v>16</v>
      </c>
      <c r="F32" s="116" t="s">
        <v>111</v>
      </c>
      <c r="G32" s="143">
        <v>1.1006830000000001</v>
      </c>
      <c r="H32" s="311"/>
      <c r="I32" s="337"/>
      <c r="J32" s="304"/>
      <c r="K32" s="304"/>
      <c r="L32" s="461"/>
    </row>
    <row r="33" spans="1:12" s="54" customFormat="1" x14ac:dyDescent="0.25">
      <c r="A33" s="111" t="s">
        <v>432</v>
      </c>
      <c r="B33" s="122"/>
      <c r="C33" s="114" t="s">
        <v>415</v>
      </c>
      <c r="D33" s="59" t="s">
        <v>66</v>
      </c>
      <c r="E33" s="114" t="s">
        <v>16</v>
      </c>
      <c r="F33" s="116" t="s">
        <v>111</v>
      </c>
      <c r="G33" s="143">
        <v>1.5</v>
      </c>
      <c r="H33" s="137" t="s">
        <v>11</v>
      </c>
      <c r="I33" s="135" t="s">
        <v>160</v>
      </c>
      <c r="J33" s="112" t="s">
        <v>13</v>
      </c>
      <c r="K33" s="120"/>
      <c r="L33" s="125"/>
    </row>
    <row r="34" spans="1:12" s="54" customFormat="1" x14ac:dyDescent="0.25">
      <c r="A34" s="319" t="s">
        <v>430</v>
      </c>
      <c r="B34" s="299"/>
      <c r="C34" s="114" t="s">
        <v>415</v>
      </c>
      <c r="D34" s="59" t="s">
        <v>33</v>
      </c>
      <c r="E34" s="114" t="s">
        <v>16</v>
      </c>
      <c r="F34" s="116" t="s">
        <v>111</v>
      </c>
      <c r="G34" s="143">
        <f>58+-3.5</f>
        <v>54.5</v>
      </c>
      <c r="H34" s="137" t="s">
        <v>11</v>
      </c>
      <c r="I34" s="135" t="s">
        <v>38</v>
      </c>
      <c r="J34" s="112" t="s">
        <v>13</v>
      </c>
      <c r="K34" s="120"/>
      <c r="L34" s="125"/>
    </row>
    <row r="35" spans="1:12" s="54" customFormat="1" ht="30" x14ac:dyDescent="0.25">
      <c r="A35" s="321"/>
      <c r="B35" s="301"/>
      <c r="C35" s="114" t="s">
        <v>415</v>
      </c>
      <c r="D35" s="59" t="s">
        <v>27</v>
      </c>
      <c r="E35" s="114" t="s">
        <v>16</v>
      </c>
      <c r="F35" s="116" t="s">
        <v>111</v>
      </c>
      <c r="G35" s="143">
        <v>3.5</v>
      </c>
      <c r="H35" s="134" t="s">
        <v>377</v>
      </c>
      <c r="I35" s="124"/>
      <c r="J35" s="112"/>
      <c r="K35" s="120"/>
      <c r="L35" s="125"/>
    </row>
    <row r="36" spans="1:12" s="54" customFormat="1" x14ac:dyDescent="0.25">
      <c r="A36" s="109" t="s">
        <v>429</v>
      </c>
      <c r="B36" s="127"/>
      <c r="C36" s="114" t="s">
        <v>415</v>
      </c>
      <c r="D36" s="59" t="s">
        <v>91</v>
      </c>
      <c r="E36" s="114" t="s">
        <v>16</v>
      </c>
      <c r="F36" s="116" t="s">
        <v>111</v>
      </c>
      <c r="G36" s="143">
        <v>27.858000000000001</v>
      </c>
      <c r="H36" s="159" t="s">
        <v>11</v>
      </c>
      <c r="I36" s="160" t="s">
        <v>92</v>
      </c>
      <c r="J36" s="112" t="s">
        <v>19</v>
      </c>
      <c r="K36" s="120" t="s">
        <v>445</v>
      </c>
      <c r="L36" s="171">
        <v>44255</v>
      </c>
    </row>
    <row r="37" spans="1:12" s="54" customFormat="1" x14ac:dyDescent="0.25">
      <c r="A37" s="109" t="s">
        <v>427</v>
      </c>
      <c r="B37" s="127"/>
      <c r="C37" s="114" t="s">
        <v>415</v>
      </c>
      <c r="D37" s="136" t="s">
        <v>428</v>
      </c>
      <c r="E37" s="114" t="s">
        <v>16</v>
      </c>
      <c r="F37" s="116" t="s">
        <v>111</v>
      </c>
      <c r="G37" s="143">
        <v>12</v>
      </c>
      <c r="H37" s="158" t="s">
        <v>85</v>
      </c>
      <c r="I37" s="124"/>
      <c r="J37" s="112"/>
      <c r="K37" s="120"/>
      <c r="L37" s="125"/>
    </row>
    <row r="38" spans="1:12" s="54" customFormat="1" x14ac:dyDescent="0.25">
      <c r="A38" s="109" t="s">
        <v>423</v>
      </c>
      <c r="B38" s="127"/>
      <c r="C38" s="114" t="s">
        <v>415</v>
      </c>
      <c r="D38" s="59" t="s">
        <v>141</v>
      </c>
      <c r="E38" s="114" t="s">
        <v>16</v>
      </c>
      <c r="F38" s="116" t="s">
        <v>111</v>
      </c>
      <c r="G38" s="143">
        <v>1.095429</v>
      </c>
      <c r="H38" s="158" t="s">
        <v>85</v>
      </c>
      <c r="I38" s="124"/>
      <c r="J38" s="112"/>
      <c r="K38" s="120"/>
      <c r="L38" s="125"/>
    </row>
    <row r="39" spans="1:12" s="54" customFormat="1" x14ac:dyDescent="0.25">
      <c r="A39" s="109" t="s">
        <v>424</v>
      </c>
      <c r="B39" s="127"/>
      <c r="C39" s="114" t="s">
        <v>415</v>
      </c>
      <c r="D39" s="59" t="s">
        <v>141</v>
      </c>
      <c r="E39" s="114" t="s">
        <v>16</v>
      </c>
      <c r="F39" s="116" t="s">
        <v>111</v>
      </c>
      <c r="G39" s="143">
        <v>20.712181000000001</v>
      </c>
      <c r="H39" s="158" t="s">
        <v>85</v>
      </c>
      <c r="I39" s="124"/>
      <c r="J39" s="112"/>
      <c r="K39" s="120"/>
      <c r="L39" s="125"/>
    </row>
    <row r="40" spans="1:12" s="54" customFormat="1" x14ac:dyDescent="0.25">
      <c r="A40" s="109" t="s">
        <v>425</v>
      </c>
      <c r="B40" s="127"/>
      <c r="C40" s="114" t="s">
        <v>415</v>
      </c>
      <c r="D40" s="59" t="s">
        <v>141</v>
      </c>
      <c r="E40" s="114" t="s">
        <v>16</v>
      </c>
      <c r="F40" s="116" t="s">
        <v>111</v>
      </c>
      <c r="G40" s="143">
        <v>2.1428500000000001</v>
      </c>
      <c r="H40" s="158" t="s">
        <v>85</v>
      </c>
      <c r="I40" s="124"/>
      <c r="J40" s="112"/>
      <c r="K40" s="120"/>
      <c r="L40" s="125"/>
    </row>
    <row r="41" spans="1:12" s="54" customFormat="1" x14ac:dyDescent="0.25">
      <c r="A41" s="109" t="s">
        <v>426</v>
      </c>
      <c r="B41" s="127"/>
      <c r="C41" s="114" t="s">
        <v>415</v>
      </c>
      <c r="D41" s="59" t="s">
        <v>141</v>
      </c>
      <c r="E41" s="114" t="s">
        <v>16</v>
      </c>
      <c r="F41" s="116" t="s">
        <v>111</v>
      </c>
      <c r="G41" s="143">
        <f>31.1063+5.213945</f>
        <v>36.320245</v>
      </c>
      <c r="H41" s="158" t="s">
        <v>85</v>
      </c>
      <c r="I41" s="124"/>
      <c r="J41" s="112"/>
      <c r="K41" s="120"/>
      <c r="L41" s="125"/>
    </row>
    <row r="42" spans="1:12" s="54" customFormat="1" x14ac:dyDescent="0.25">
      <c r="A42" s="319" t="s">
        <v>420</v>
      </c>
      <c r="B42" s="299"/>
      <c r="C42" s="114" t="s">
        <v>415</v>
      </c>
      <c r="D42" s="136" t="s">
        <v>17</v>
      </c>
      <c r="E42" s="114" t="s">
        <v>16</v>
      </c>
      <c r="F42" s="116" t="s">
        <v>111</v>
      </c>
      <c r="G42" s="143">
        <v>-10.3</v>
      </c>
      <c r="H42" s="302" t="s">
        <v>85</v>
      </c>
      <c r="I42" s="302"/>
      <c r="J42" s="302"/>
      <c r="K42" s="302"/>
      <c r="L42" s="375"/>
    </row>
    <row r="43" spans="1:12" s="54" customFormat="1" x14ac:dyDescent="0.25">
      <c r="A43" s="320"/>
      <c r="B43" s="300"/>
      <c r="C43" s="114" t="s">
        <v>415</v>
      </c>
      <c r="D43" s="136" t="s">
        <v>17</v>
      </c>
      <c r="E43" s="114" t="s">
        <v>16</v>
      </c>
      <c r="F43" s="116" t="s">
        <v>111</v>
      </c>
      <c r="G43" s="143">
        <v>9</v>
      </c>
      <c r="H43" s="303"/>
      <c r="I43" s="303"/>
      <c r="J43" s="303"/>
      <c r="K43" s="303"/>
      <c r="L43" s="317"/>
    </row>
    <row r="44" spans="1:12" s="54" customFormat="1" x14ac:dyDescent="0.25">
      <c r="A44" s="321"/>
      <c r="B44" s="301"/>
      <c r="C44" s="114" t="s">
        <v>415</v>
      </c>
      <c r="D44" s="136" t="s">
        <v>17</v>
      </c>
      <c r="E44" s="114" t="s">
        <v>16</v>
      </c>
      <c r="F44" s="116" t="s">
        <v>111</v>
      </c>
      <c r="G44" s="143">
        <v>1.3</v>
      </c>
      <c r="H44" s="304"/>
      <c r="I44" s="304"/>
      <c r="J44" s="304"/>
      <c r="K44" s="304"/>
      <c r="L44" s="318"/>
    </row>
    <row r="45" spans="1:12" s="54" customFormat="1" x14ac:dyDescent="0.25">
      <c r="A45" s="319" t="s">
        <v>418</v>
      </c>
      <c r="B45" s="299"/>
      <c r="C45" s="114" t="s">
        <v>415</v>
      </c>
      <c r="D45" s="116" t="s">
        <v>419</v>
      </c>
      <c r="E45" s="114" t="s">
        <v>16</v>
      </c>
      <c r="F45" s="116" t="s">
        <v>111</v>
      </c>
      <c r="G45" s="143">
        <v>-3</v>
      </c>
      <c r="H45" s="302" t="s">
        <v>85</v>
      </c>
      <c r="I45" s="302"/>
      <c r="J45" s="302"/>
      <c r="K45" s="302"/>
      <c r="L45" s="375"/>
    </row>
    <row r="46" spans="1:12" s="54" customFormat="1" x14ac:dyDescent="0.25">
      <c r="A46" s="321"/>
      <c r="B46" s="301"/>
      <c r="C46" s="114" t="s">
        <v>415</v>
      </c>
      <c r="D46" s="116" t="s">
        <v>419</v>
      </c>
      <c r="E46" s="114" t="s">
        <v>16</v>
      </c>
      <c r="F46" s="116" t="s">
        <v>111</v>
      </c>
      <c r="G46" s="143">
        <v>3</v>
      </c>
      <c r="H46" s="304"/>
      <c r="I46" s="304"/>
      <c r="J46" s="304"/>
      <c r="K46" s="304"/>
      <c r="L46" s="318"/>
    </row>
    <row r="47" spans="1:12" s="54" customFormat="1" x14ac:dyDescent="0.25">
      <c r="A47" s="319" t="s">
        <v>417</v>
      </c>
      <c r="B47" s="299"/>
      <c r="C47" s="114" t="s">
        <v>415</v>
      </c>
      <c r="D47" s="116" t="s">
        <v>9</v>
      </c>
      <c r="E47" s="114" t="s">
        <v>16</v>
      </c>
      <c r="F47" s="116" t="s">
        <v>111</v>
      </c>
      <c r="G47" s="143">
        <v>-3.6</v>
      </c>
      <c r="H47" s="302" t="s">
        <v>85</v>
      </c>
      <c r="I47" s="379"/>
      <c r="J47" s="379"/>
      <c r="K47" s="379"/>
      <c r="L47" s="462"/>
    </row>
    <row r="48" spans="1:12" s="54" customFormat="1" x14ac:dyDescent="0.25">
      <c r="A48" s="321"/>
      <c r="B48" s="301"/>
      <c r="C48" s="114" t="s">
        <v>415</v>
      </c>
      <c r="D48" s="116" t="s">
        <v>9</v>
      </c>
      <c r="E48" s="114" t="s">
        <v>16</v>
      </c>
      <c r="F48" s="116" t="s">
        <v>111</v>
      </c>
      <c r="G48" s="143">
        <v>3.6</v>
      </c>
      <c r="H48" s="304"/>
      <c r="I48" s="381"/>
      <c r="J48" s="381"/>
      <c r="K48" s="381"/>
      <c r="L48" s="463"/>
    </row>
    <row r="49" spans="1:12" s="54" customFormat="1" ht="15.75" thickBot="1" x14ac:dyDescent="0.3">
      <c r="A49" s="109" t="s">
        <v>435</v>
      </c>
      <c r="B49" s="52"/>
      <c r="C49" s="128" t="s">
        <v>415</v>
      </c>
      <c r="D49" s="128" t="s">
        <v>141</v>
      </c>
      <c r="E49" s="128" t="s">
        <v>10</v>
      </c>
      <c r="F49" s="128" t="s">
        <v>416</v>
      </c>
      <c r="G49" s="157">
        <v>38.5</v>
      </c>
      <c r="H49" s="128" t="s">
        <v>85</v>
      </c>
      <c r="I49" s="128"/>
      <c r="J49" s="128"/>
      <c r="K49" s="52"/>
      <c r="L49" s="49"/>
    </row>
    <row r="50" spans="1:12" ht="15.75" thickBot="1" x14ac:dyDescent="0.3">
      <c r="A50" s="153" t="s">
        <v>350</v>
      </c>
      <c r="B50" s="154">
        <f>SUM(B4:B49)</f>
        <v>116</v>
      </c>
      <c r="C50" s="155"/>
      <c r="D50" s="155"/>
      <c r="E50" s="155"/>
      <c r="F50" s="155"/>
      <c r="G50" s="154">
        <f>SUM(G4:G49)</f>
        <v>367.54144000000002</v>
      </c>
      <c r="H50" s="155"/>
      <c r="I50" s="155"/>
      <c r="J50" s="155"/>
      <c r="K50" s="155"/>
      <c r="L50" s="156"/>
    </row>
    <row r="51" spans="1:12" ht="15.75" thickBot="1" x14ac:dyDescent="0.3">
      <c r="A51" s="39" t="s">
        <v>526</v>
      </c>
      <c r="B51" s="80"/>
      <c r="C51" s="37"/>
      <c r="D51" s="37"/>
      <c r="E51" s="37"/>
      <c r="F51" s="37"/>
      <c r="G51" s="38">
        <f>SUMIF(C4:C49,"*Supps A*",G4:G49)</f>
        <v>0</v>
      </c>
      <c r="H51" s="37"/>
      <c r="I51" s="37"/>
      <c r="J51" s="37"/>
      <c r="K51" s="37"/>
      <c r="L51" s="36"/>
    </row>
    <row r="52" spans="1:12" ht="15.75" thickBot="1" x14ac:dyDescent="0.3">
      <c r="A52" s="39" t="s">
        <v>527</v>
      </c>
      <c r="B52" s="80"/>
      <c r="C52" s="37"/>
      <c r="D52" s="37"/>
      <c r="E52" s="37"/>
      <c r="F52" s="37"/>
      <c r="G52" s="38">
        <f>SUMIF(C4:C49,"*Supps B*",G4:G49)</f>
        <v>162.53673499999999</v>
      </c>
      <c r="H52" s="37"/>
      <c r="I52" s="37"/>
      <c r="J52" s="37"/>
      <c r="K52" s="37"/>
      <c r="L52" s="36"/>
    </row>
    <row r="53" spans="1:12" s="54" customFormat="1" ht="15.75" thickBot="1" x14ac:dyDescent="0.3">
      <c r="A53" s="39" t="s">
        <v>528</v>
      </c>
      <c r="B53" s="80"/>
      <c r="C53" s="37"/>
      <c r="D53" s="37"/>
      <c r="E53" s="37"/>
      <c r="F53" s="37"/>
      <c r="G53" s="38">
        <f>SUMIF(C5:C49,"*Supps C*",G5:G49)</f>
        <v>205.004705</v>
      </c>
      <c r="H53" s="37"/>
      <c r="I53" s="37"/>
      <c r="J53" s="37"/>
      <c r="K53" s="37"/>
      <c r="L53" s="36"/>
    </row>
    <row r="54" spans="1:12" x14ac:dyDescent="0.25">
      <c r="C54" s="34"/>
      <c r="G54" s="35"/>
    </row>
    <row r="55" spans="1:12" ht="17.25" x14ac:dyDescent="0.25">
      <c r="A55" s="88" t="s">
        <v>383</v>
      </c>
      <c r="C55" s="34"/>
    </row>
    <row r="56" spans="1:12" x14ac:dyDescent="0.25">
      <c r="G56" s="21"/>
    </row>
  </sheetData>
  <mergeCells count="72">
    <mergeCell ref="H20:H21"/>
    <mergeCell ref="I20:I21"/>
    <mergeCell ref="J20:J21"/>
    <mergeCell ref="K20:K21"/>
    <mergeCell ref="L20:L21"/>
    <mergeCell ref="B13:B14"/>
    <mergeCell ref="B15:B17"/>
    <mergeCell ref="B18:B19"/>
    <mergeCell ref="B20:B21"/>
    <mergeCell ref="B22:B23"/>
    <mergeCell ref="H18:H19"/>
    <mergeCell ref="I18:I19"/>
    <mergeCell ref="J18:J19"/>
    <mergeCell ref="K18:K19"/>
    <mergeCell ref="L18:L19"/>
    <mergeCell ref="A22:A23"/>
    <mergeCell ref="A13:A14"/>
    <mergeCell ref="A15:A17"/>
    <mergeCell ref="A20:A21"/>
    <mergeCell ref="A18:A19"/>
    <mergeCell ref="I11:I12"/>
    <mergeCell ref="J4:J5"/>
    <mergeCell ref="K4:K5"/>
    <mergeCell ref="L4:L5"/>
    <mergeCell ref="L11:L12"/>
    <mergeCell ref="J11:J12"/>
    <mergeCell ref="K11:K12"/>
    <mergeCell ref="J9:J10"/>
    <mergeCell ref="K9:K10"/>
    <mergeCell ref="L9:L10"/>
    <mergeCell ref="K47:K48"/>
    <mergeCell ref="L47:L48"/>
    <mergeCell ref="A45:A46"/>
    <mergeCell ref="B45:B46"/>
    <mergeCell ref="H45:H46"/>
    <mergeCell ref="I45:I46"/>
    <mergeCell ref="J45:J46"/>
    <mergeCell ref="K45:K46"/>
    <mergeCell ref="L45:L46"/>
    <mergeCell ref="A47:A48"/>
    <mergeCell ref="B47:B48"/>
    <mergeCell ref="H47:H48"/>
    <mergeCell ref="I47:I48"/>
    <mergeCell ref="J47:J48"/>
    <mergeCell ref="I42:I44"/>
    <mergeCell ref="J42:J44"/>
    <mergeCell ref="K42:K44"/>
    <mergeCell ref="L42:L44"/>
    <mergeCell ref="A42:A44"/>
    <mergeCell ref="B42:B44"/>
    <mergeCell ref="H42:H44"/>
    <mergeCell ref="L31:L32"/>
    <mergeCell ref="A31:A32"/>
    <mergeCell ref="B31:B32"/>
    <mergeCell ref="I31:I32"/>
    <mergeCell ref="J31:J32"/>
    <mergeCell ref="C2:G2"/>
    <mergeCell ref="A34:A35"/>
    <mergeCell ref="B34:B35"/>
    <mergeCell ref="H31:H32"/>
    <mergeCell ref="K31:K32"/>
    <mergeCell ref="A4:A5"/>
    <mergeCell ref="A11:A12"/>
    <mergeCell ref="A9:A10"/>
    <mergeCell ref="H4:H5"/>
    <mergeCell ref="I4:I5"/>
    <mergeCell ref="B4:B5"/>
    <mergeCell ref="B9:B10"/>
    <mergeCell ref="B11:B12"/>
    <mergeCell ref="H11:H12"/>
    <mergeCell ref="H9:H10"/>
    <mergeCell ref="I9:I10"/>
  </mergeCells>
  <hyperlinks>
    <hyperlink ref="I7" r:id="rId1" xr:uid="{C7DDA9C8-47F3-486D-8596-2F472AF12DC6}"/>
    <hyperlink ref="I8" r:id="rId2" xr:uid="{B1B59685-0D57-4731-8F89-FF2A6F1AE57E}"/>
    <hyperlink ref="I23" r:id="rId3" display="https://www.pbo-dpb.gc.ca/web/default/files/Documents/Info%20Requests/2020/IR0526_NRCCan_COVID19_update_2_request_e.pdf" xr:uid="{C6DCDF1D-C3F6-4229-A3AA-408668ACF8F5}"/>
    <hyperlink ref="I22" r:id="rId4" xr:uid="{08202B5F-E1F1-428F-AEE8-CB880F0AFB8B}"/>
    <hyperlink ref="I17" r:id="rId5" xr:uid="{24E08BA2-17D1-4FF6-AADB-3F07B2F25798}"/>
    <hyperlink ref="I18" r:id="rId6" xr:uid="{3379C29F-3F86-402B-A5D9-42F58BC1A6E1}"/>
    <hyperlink ref="I20" r:id="rId7" xr:uid="{8C2C03CD-5CAA-4B36-8AA3-7095914BFF2F}"/>
    <hyperlink ref="I6" r:id="rId8" xr:uid="{739A8287-A0BD-4AC7-9F95-EDC0B05C29F6}"/>
    <hyperlink ref="I25" r:id="rId9" xr:uid="{D8E3577F-CE8A-469D-8531-8AD6C9A523CA}"/>
    <hyperlink ref="I14" r:id="rId10" xr:uid="{8651A629-7658-42DC-A505-72A0555C03A6}"/>
    <hyperlink ref="I15" r:id="rId11" xr:uid="{C7A8E8CE-E16F-4906-9378-30C0BD3873DF}"/>
    <hyperlink ref="I16" r:id="rId12" xr:uid="{4C4E0F10-62E0-4D52-98FF-6BE24A28EC6B}"/>
    <hyperlink ref="J26" r:id="rId13" display="New Horizons Seniors Grants data" xr:uid="{04BAC282-B83B-4E69-8B30-B4191DA89335}"/>
    <hyperlink ref="I27" r:id="rId14" xr:uid="{C6280C0B-F36C-4D4D-89E1-B76C0F3DA924}"/>
    <hyperlink ref="J27" r:id="rId15" xr:uid="{E44F612C-0D3F-4F2E-A5B7-1A868B94132D}"/>
    <hyperlink ref="I28" r:id="rId16" xr:uid="{39793C87-EC64-43B0-BB6D-6E844D4B6F6C}"/>
    <hyperlink ref="F27" r:id="rId17" xr:uid="{C1C1519A-B9CA-4E08-8674-9A47776B11FC}"/>
    <hyperlink ref="I29" r:id="rId18" xr:uid="{E7E1B426-F619-4BAC-99BA-F8E134274A9A}"/>
    <hyperlink ref="I30" r:id="rId19" xr:uid="{0C5860C0-08F6-4595-B23E-C9D9610835C7}"/>
    <hyperlink ref="I31" r:id="rId20" display="https://www.pbo-dpb.gc.ca/web/default/files/Documents/Info%20Requests/2020/IR0526_NRCCan_COVID19_update_2_request_e.pdf" xr:uid="{4C68C5C2-D3B1-4379-A493-4EEA7D3E15FF}"/>
    <hyperlink ref="I31:I32" r:id="rId21" display="IR0526" xr:uid="{86BEAA9D-26EE-4196-80E0-94DCF873F023}"/>
    <hyperlink ref="I33" r:id="rId22" xr:uid="{0F7BA51C-63D7-4991-8BB7-3A9C00A32277}"/>
    <hyperlink ref="I34" r:id="rId23" xr:uid="{EC6E3700-5CD3-4617-B2E6-06257ADC17AE}"/>
    <hyperlink ref="I36" r:id="rId24" xr:uid="{2947C40B-FDCE-4262-938E-2F6E74CDD50D}"/>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Measures not in FES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Giswold, Jill</cp:lastModifiedBy>
  <dcterms:created xsi:type="dcterms:W3CDTF">2020-12-01T14:43:59Z</dcterms:created>
  <dcterms:modified xsi:type="dcterms:W3CDTF">2021-04-23T19:37:09Z</dcterms:modified>
</cp:coreProperties>
</file>