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B3A0885F-5EF9-4EF5-B52B-08F24B8E5C95}" xr6:coauthVersionLast="45" xr6:coauthVersionMax="45" xr10:uidLastSave="{00000000-0000-0000-0000-000000000000}"/>
  <bookViews>
    <workbookView xWindow="-98" yWindow="-98" windowWidth="20715" windowHeight="13276" xr2:uid="{E49D7F26-01B7-43A3-B980-6B1CB5D0A2BA}"/>
  </bookViews>
  <sheets>
    <sheet name="Legend" sheetId="2" r:id="rId1"/>
    <sheet name="Protecting Health and Safety" sheetId="1" r:id="rId2"/>
    <sheet name="Direct Support Measures" sheetId="3" r:id="rId3"/>
    <sheet name="Tax Liquidity Support" sheetId="6" r:id="rId4"/>
    <sheet name="Other Liquidity Support" sheetId="7" r:id="rId5"/>
    <sheet name="Measures not in FES 2020" sheetId="5" r:id="rId6"/>
  </sheets>
  <definedNames>
    <definedName name="_xlnm._FilterDatabase" localSheetId="2" hidden="1">'Direct Support Measures'!$A$3:$L$285</definedName>
    <definedName name="_xlnm._FilterDatabase" localSheetId="5" hidden="1">'Measures not in FES 2020'!$A$3:$L$52</definedName>
    <definedName name="_xlnm._FilterDatabase" localSheetId="1" hidden="1">'Protecting Health and Safety'!$A$3:$L$170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7" l="1"/>
  <c r="B15" i="3" l="1"/>
  <c r="G144" i="1" l="1"/>
  <c r="G87" i="1" l="1"/>
  <c r="G116" i="1"/>
  <c r="G125" i="1"/>
  <c r="G77" i="1"/>
  <c r="B50" i="5" l="1"/>
  <c r="G12" i="1"/>
  <c r="G18" i="1"/>
  <c r="G33" i="1"/>
  <c r="G44" i="1"/>
  <c r="G51" i="5"/>
  <c r="G283" i="3"/>
  <c r="G34" i="5" l="1"/>
  <c r="G53" i="5" s="1"/>
  <c r="G140" i="1"/>
  <c r="G86" i="1"/>
  <c r="G41" i="5"/>
  <c r="G130" i="3"/>
  <c r="G133" i="1"/>
  <c r="G116" i="3"/>
  <c r="G63" i="1" l="1"/>
  <c r="G101" i="1"/>
  <c r="G75" i="1"/>
  <c r="G76" i="1"/>
  <c r="G84" i="1"/>
  <c r="G241" i="3" l="1"/>
  <c r="G181" i="3"/>
  <c r="G107" i="1" l="1"/>
  <c r="G170" i="1" l="1"/>
  <c r="G142" i="1"/>
  <c r="G223" i="3"/>
  <c r="G267" i="3"/>
  <c r="G285" i="3" l="1"/>
  <c r="B147" i="1"/>
  <c r="B7" i="3"/>
  <c r="B64" i="1" l="1"/>
  <c r="B270" i="3" l="1"/>
  <c r="B11" i="3" l="1"/>
  <c r="B10" i="3"/>
  <c r="B9" i="3"/>
  <c r="B249" i="3"/>
  <c r="B200" i="3"/>
  <c r="B109" i="3"/>
  <c r="B104" i="3"/>
  <c r="B101" i="3"/>
  <c r="B95" i="3"/>
  <c r="B92" i="3"/>
  <c r="B86" i="3"/>
  <c r="B69" i="3"/>
  <c r="B4" i="3"/>
  <c r="B143" i="1" l="1"/>
  <c r="B132" i="1"/>
  <c r="B126" i="1"/>
  <c r="B99" i="1" l="1"/>
  <c r="B97" i="1"/>
  <c r="B92" i="1"/>
  <c r="B29" i="1"/>
  <c r="B34" i="1"/>
  <c r="B4" i="1"/>
  <c r="B167" i="1" l="1"/>
  <c r="B20" i="7"/>
  <c r="B9" i="6"/>
  <c r="B201" i="3" l="1"/>
  <c r="B282" i="3" s="1"/>
  <c r="G20" i="7" l="1"/>
  <c r="G9" i="6"/>
  <c r="G72" i="1" l="1"/>
  <c r="G68" i="1"/>
  <c r="G64" i="1"/>
  <c r="G100" i="1" l="1"/>
  <c r="G99" i="1"/>
  <c r="G74" i="1"/>
  <c r="G73" i="1"/>
  <c r="G14" i="5" l="1"/>
  <c r="G266" i="3"/>
  <c r="G225" i="3"/>
  <c r="G129" i="3"/>
  <c r="G120" i="3"/>
  <c r="G118" i="3"/>
  <c r="G52" i="5" l="1"/>
  <c r="G50" i="5"/>
  <c r="G58" i="3"/>
  <c r="G41" i="3"/>
  <c r="G17" i="3"/>
  <c r="G150" i="1"/>
  <c r="G168" i="1" s="1"/>
  <c r="G119" i="1"/>
  <c r="G114" i="1"/>
  <c r="G112" i="1"/>
  <c r="G282" i="3" l="1"/>
  <c r="G284" i="3"/>
  <c r="G61" i="1"/>
  <c r="G169" i="1" l="1"/>
  <c r="G167" i="1"/>
</calcChain>
</file>

<file path=xl/sharedStrings.xml><?xml version="1.0" encoding="utf-8"?>
<sst xmlns="http://schemas.openxmlformats.org/spreadsheetml/2006/main" count="3205" uniqueCount="611">
  <si>
    <t>Protecting Health and Safety</t>
  </si>
  <si>
    <t>Organization</t>
  </si>
  <si>
    <t>Voted/Statutory in Supps</t>
  </si>
  <si>
    <t>Dollar Amount in Supps ($Millions)</t>
  </si>
  <si>
    <t>PBO IR Sent</t>
  </si>
  <si>
    <t>PBO IR Link</t>
  </si>
  <si>
    <t>Data Status</t>
  </si>
  <si>
    <t>Data</t>
  </si>
  <si>
    <t>As of Date</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</si>
  <si>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</si>
  <si>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Supps B</t>
  </si>
  <si>
    <t>Canadian Institutes of Health Research</t>
  </si>
  <si>
    <t>Statutory</t>
  </si>
  <si>
    <t>Yes</t>
  </si>
  <si>
    <t>IR0530</t>
  </si>
  <si>
    <t>Pending</t>
  </si>
  <si>
    <t>Department of Finance</t>
  </si>
  <si>
    <t>IR0550</t>
  </si>
  <si>
    <t>Voted</t>
  </si>
  <si>
    <t>Public Health Agency of Canada</t>
  </si>
  <si>
    <t>IR0528</t>
  </si>
  <si>
    <t>Provided</t>
  </si>
  <si>
    <t>Department of Health</t>
  </si>
  <si>
    <t>IR0551</t>
  </si>
  <si>
    <t>Department of Public Works and Government Services</t>
  </si>
  <si>
    <t>IR0559</t>
  </si>
  <si>
    <t>Safe Return to Class Fund</t>
  </si>
  <si>
    <t>Health and Social Support for Northern Communities (critical priorities, air carriers, food subsidy enhancement)</t>
  </si>
  <si>
    <t>Supps A</t>
  </si>
  <si>
    <t>Department of Crown-Indigenous Relations and Northern Affairs</t>
  </si>
  <si>
    <t>IR0462</t>
  </si>
  <si>
    <t>Support for essential air access to remote communities</t>
  </si>
  <si>
    <t>Transport Canada</t>
  </si>
  <si>
    <t>IR0519</t>
  </si>
  <si>
    <t>Indigenous Community Support Fund</t>
  </si>
  <si>
    <t>Department of Indigenous Services</t>
  </si>
  <si>
    <t>IR0470</t>
  </si>
  <si>
    <t>Department of Employment and Social Development</t>
  </si>
  <si>
    <t>IR0549</t>
  </si>
  <si>
    <t>Indigenous Services Canada</t>
  </si>
  <si>
    <t>IR0523</t>
  </si>
  <si>
    <t>No activity to date</t>
  </si>
  <si>
    <t>Support for a Safe Restart in Indigenous Communities</t>
  </si>
  <si>
    <t>Offsetting declines in Indigenous own-source revenues</t>
  </si>
  <si>
    <t>Not included</t>
  </si>
  <si>
    <t>Purpose:</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</si>
  <si>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</si>
  <si>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</si>
  <si>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Notes:</t>
  </si>
  <si>
    <t xml:space="preserve">This tracking document does not include the PBO's cost estimates of COVID-19 measures. </t>
  </si>
  <si>
    <t>Tabs:</t>
  </si>
  <si>
    <t>Direct Support Measures</t>
  </si>
  <si>
    <t>Tax Liquidity Support</t>
  </si>
  <si>
    <t>Other Liquidity Support</t>
  </si>
  <si>
    <t>Data Status Column:</t>
  </si>
  <si>
    <t>Provided:</t>
  </si>
  <si>
    <t>The PBO has received data through an information request.</t>
  </si>
  <si>
    <t>Pending:</t>
  </si>
  <si>
    <t>Data has been requested through existing PBO information request, but funding or program is relatively new or additional follow-up was required. Data is expected to be provided in future updates.</t>
  </si>
  <si>
    <t>Outstanding:</t>
  </si>
  <si>
    <t>Confirming data with department:</t>
  </si>
  <si>
    <t>Data has been provided. The PBO is seeking clarification on the data.</t>
  </si>
  <si>
    <t>Response date not yet passed:</t>
  </si>
  <si>
    <t>Data has been recently requested through a PBO information request. Deadline for a response from the department has not passed.</t>
  </si>
  <si>
    <t>Sources:</t>
  </si>
  <si>
    <t>Treasury Board of Canada Secretariat, Supplementary Estimates (A), 2020-21</t>
  </si>
  <si>
    <t>Treasury Board of Canada Secretariat, Supplementary Estimates (B), 2020-21</t>
  </si>
  <si>
    <t>COVID-19 Medical Research and Vaccine Development (over two years)</t>
  </si>
  <si>
    <t>Department of Industry</t>
  </si>
  <si>
    <t>IR0490</t>
  </si>
  <si>
    <t>Department of Western Economic Diversification</t>
  </si>
  <si>
    <t>Contribution agreement signed for $23M ($8M in 2020-21 and $15M in 2021-22)</t>
  </si>
  <si>
    <t>National Research Council of Canada</t>
  </si>
  <si>
    <t>IR0491</t>
  </si>
  <si>
    <t>IR0478</t>
  </si>
  <si>
    <t>Confirming data with the department</t>
  </si>
  <si>
    <t>Increasing Biomanufacturing Capacity</t>
  </si>
  <si>
    <t>IR0526</t>
  </si>
  <si>
    <t>Innovative Research and Support for New Testing Approaches and Technologies</t>
  </si>
  <si>
    <t>Supporting and Sustaining the Public Health Agency of Canada's and Health Canada's Pandemic Operations</t>
  </si>
  <si>
    <t>Canadian Digital Service</t>
  </si>
  <si>
    <t>Funding for Personal Protective Equipment and Supplies (of which, $200 million in 2019-20)</t>
  </si>
  <si>
    <t>IR0468</t>
  </si>
  <si>
    <t>PPE and Related Equipment Support for Essential Workers (procurement fund and increased procurement support)</t>
  </si>
  <si>
    <t>Additional PPE Procurement and Support for the Storage and Warehousing of PPE</t>
  </si>
  <si>
    <t>GST/HST Relief on Face Masks and Face Shields</t>
  </si>
  <si>
    <t>Support for People experiencing Homelessness (through Reaching Home)</t>
  </si>
  <si>
    <t>No</t>
  </si>
  <si>
    <t xml:space="preserve">Date unavailable </t>
  </si>
  <si>
    <t>Quarantine Facilities and COVID-19 Border Measures</t>
  </si>
  <si>
    <t>Support for Firms that Hire Temporary Foreign Workers</t>
  </si>
  <si>
    <t>Department of Agriculture and Agri-Food</t>
  </si>
  <si>
    <t>IR0456</t>
  </si>
  <si>
    <t>Shared Services Canada</t>
  </si>
  <si>
    <t>IR0561</t>
  </si>
  <si>
    <t>Extension of the Mandatory Isolation Support for Temporary Foreign Workers Program</t>
  </si>
  <si>
    <t>Addressing the Outbreak of COVID-19 among Temporary Foreign Workers on Farms</t>
  </si>
  <si>
    <t>Support for the Canadian Armed Forces' response to COVID-19 (Including Operation LASER)</t>
  </si>
  <si>
    <t>Department of National Defense</t>
  </si>
  <si>
    <t>Data has been informally shared by the department</t>
  </si>
  <si>
    <t>See Supplementary Data</t>
  </si>
  <si>
    <t>Personal Support Worker Training and Other Measures to Address Labour Shortages in Long-Term and Home Care</t>
  </si>
  <si>
    <t>Further Investments in Long-Term Care</t>
  </si>
  <si>
    <t>Virtual Care and Mental Health Tools for Canadians</t>
  </si>
  <si>
    <t>IR0486</t>
  </si>
  <si>
    <t>Supporting Distress Centres and the Wellness Together Canada Portal</t>
  </si>
  <si>
    <t>Supporting Canadians struggling with Substance Use Disorder</t>
  </si>
  <si>
    <t>Support for the Canadian Red Cross</t>
  </si>
  <si>
    <t>Department of Public Safety and Emergency Preparedness</t>
  </si>
  <si>
    <t>IR0529</t>
  </si>
  <si>
    <t>Civilian Humanitarian Workforce (Red Cross)</t>
  </si>
  <si>
    <t>Enhancing Public Health Measures in Indigenous Communities</t>
  </si>
  <si>
    <t>Responding to Immediate Indigenous Mental Wellness Demands during the COVID-19 Pandemic</t>
  </si>
  <si>
    <t>Supportive Care in Indigenous Communities</t>
  </si>
  <si>
    <t>Department of Foreign Affairs, Trade and Development</t>
  </si>
  <si>
    <t>N/A</t>
  </si>
  <si>
    <t>IR0476</t>
  </si>
  <si>
    <t>Immediate Public Health Response (of which, $25M for PHAC in 2019-20)</t>
  </si>
  <si>
    <t>IR0471</t>
  </si>
  <si>
    <t>IR0472</t>
  </si>
  <si>
    <t>Reducing Import Costs to facilitate access to Critical Medical Goods</t>
  </si>
  <si>
    <t>Canada Border Services Agency</t>
  </si>
  <si>
    <t>IR0459</t>
  </si>
  <si>
    <t>Consular Assistance (of which $36M in 2019-20)</t>
  </si>
  <si>
    <t>IR0467</t>
  </si>
  <si>
    <t>Total - Protecting Health and Safety</t>
  </si>
  <si>
    <t>Support for Workers in the Live Events and Arts Sector</t>
  </si>
  <si>
    <t>Support for the Broadcasting Industry</t>
  </si>
  <si>
    <t>Canadian Radio-television and Telecommunications Commission</t>
  </si>
  <si>
    <t>IR0464</t>
  </si>
  <si>
    <t>Confidential</t>
  </si>
  <si>
    <t>Support for the National Film Board</t>
  </si>
  <si>
    <t>Support for the Audiovisual Industry</t>
  </si>
  <si>
    <t>Telefilm Canada</t>
  </si>
  <si>
    <t>IR0558</t>
  </si>
  <si>
    <t>Regional Air Transportation Initiative</t>
  </si>
  <si>
    <t>Airports Capital Assistance Program</t>
  </si>
  <si>
    <t>Support for Critical Infrastructure at Large Airports</t>
  </si>
  <si>
    <t>Airport Rent Relief</t>
  </si>
  <si>
    <t>Support for Airport Authorities</t>
  </si>
  <si>
    <t>Support for the Air Transportation Sector</t>
  </si>
  <si>
    <t>IR0474</t>
  </si>
  <si>
    <t>Alternative Credit Support for Small Businesses - Industrial Research Assistance Program's Innovation Assistance Program</t>
  </si>
  <si>
    <t>Alternative Credit Support for Small Businesses - Futurpreneur Canada</t>
  </si>
  <si>
    <t>Canada Emergency Wage Subsidy (March 15 to December 19)</t>
  </si>
  <si>
    <t>Canada Revenue Agency</t>
  </si>
  <si>
    <t>IR0481</t>
  </si>
  <si>
    <t>CEWS Data</t>
  </si>
  <si>
    <t>Canada Emergency Wage Subsidy Extension</t>
  </si>
  <si>
    <t>Temporary Changes to EI to Improve Access</t>
  </si>
  <si>
    <t>Canada Recovery Benefit (CRB)</t>
  </si>
  <si>
    <t>CRB Data</t>
  </si>
  <si>
    <t>Canada Recovery Sickness Benefit (CRSB)</t>
  </si>
  <si>
    <t>CRCB Data</t>
  </si>
  <si>
    <t>CRSB Data</t>
  </si>
  <si>
    <t>Canada Recovery Caregiver Benefit (CRCB)</t>
  </si>
  <si>
    <t>Canada Emergency Rent Subsidy</t>
  </si>
  <si>
    <t xml:space="preserve">Canada Revenue Agency </t>
  </si>
  <si>
    <t>Canada Emergency Rent Subsidy and Lockdown Support Extension</t>
  </si>
  <si>
    <t>Canada Emergency Business Account – 25% incentive</t>
  </si>
  <si>
    <t>Atlantic Canada Opportunities Agency</t>
  </si>
  <si>
    <t>Canadian Northern Economic Development Agency</t>
  </si>
  <si>
    <t>Economic Development Agency of Canada for the Regions of Quebec</t>
  </si>
  <si>
    <t>Federal Economic Development Agency for Southern Ontario</t>
  </si>
  <si>
    <t>IR0524</t>
  </si>
  <si>
    <t>Support for the Economic Development in the North</t>
  </si>
  <si>
    <t>10% Temporary Business Wage Subsidy</t>
  </si>
  <si>
    <t>IR0547</t>
  </si>
  <si>
    <t>Essential Workers Wage Top-up</t>
  </si>
  <si>
    <t>Canada Emergency Response Benefit</t>
  </si>
  <si>
    <t>IR0517</t>
  </si>
  <si>
    <t>CERB Data</t>
  </si>
  <si>
    <t>Administration Costs related to the Canada Emergency Response Benefit</t>
  </si>
  <si>
    <t>Canada Emergency Student Benefit</t>
  </si>
  <si>
    <t>CESB Data</t>
  </si>
  <si>
    <t>Canada Emergency Commercial Rent Assistance</t>
  </si>
  <si>
    <t>Less: Provincial Contribution for CECRA</t>
  </si>
  <si>
    <t>Canada Mortgage and Housing Corporation</t>
  </si>
  <si>
    <t>IR0480</t>
  </si>
  <si>
    <t>Support for Local Indigenous Economies and the Indigenous Tourism Industry</t>
  </si>
  <si>
    <t>Interest Relief for First Nations through the First Nations Finance Authority</t>
  </si>
  <si>
    <t>IR0515</t>
  </si>
  <si>
    <t>$17.1M transferred to First Nations Finance Authority</t>
  </si>
  <si>
    <t>Support for Indigenous Businesses and Aboriginal Financial Institutions</t>
  </si>
  <si>
    <t>Outstanding</t>
  </si>
  <si>
    <t>Support for Main Street Businesses</t>
  </si>
  <si>
    <t xml:space="preserve">Women Entrepreneurship Strategy – Ecosystem Top-up </t>
  </si>
  <si>
    <t xml:space="preserve">Granville Island Emergency Relief Fund </t>
  </si>
  <si>
    <t>IR0516</t>
  </si>
  <si>
    <t>Advertising Campaign: Government of Canada’s COVID-19 Economic Response Plan</t>
  </si>
  <si>
    <t>IR0521</t>
  </si>
  <si>
    <t xml:space="preserve">COVID-19 Communications and Marketing </t>
  </si>
  <si>
    <t>Privy Council Office</t>
  </si>
  <si>
    <t>IR0540</t>
  </si>
  <si>
    <t>Wage Subsidy for Staff of the Non-Public Funds, Canadian Forces</t>
  </si>
  <si>
    <t>Support for Food Inspection Services</t>
  </si>
  <si>
    <t>Canada Food Inspection Agency</t>
  </si>
  <si>
    <t>IR0461</t>
  </si>
  <si>
    <t>Support for Cultural, Heritage and Sport Organizations</t>
  </si>
  <si>
    <t>Canada Council for the Arts</t>
  </si>
  <si>
    <t>IR0469</t>
  </si>
  <si>
    <t>Department of Canadian Heritage</t>
  </si>
  <si>
    <t>Support for Canada’s National Museums</t>
  </si>
  <si>
    <t>Canadian Museum for Human Rights</t>
  </si>
  <si>
    <t>Canadian Museum of History</t>
  </si>
  <si>
    <t>Canadian Museum of Immigration at Pier 21</t>
  </si>
  <si>
    <t>Canadian Museum of Nature</t>
  </si>
  <si>
    <t xml:space="preserve">National Gallery of Canada </t>
  </si>
  <si>
    <t>National Museum of Science and Technology</t>
  </si>
  <si>
    <t>The National Battlefields Commission</t>
  </si>
  <si>
    <t>Supporting the National Arts Centre during COVID-19</t>
  </si>
  <si>
    <t>National Arts Centre</t>
  </si>
  <si>
    <t>Cleaning up Former Oil and Gas Wells</t>
  </si>
  <si>
    <t>Non-Budgetary Statutory</t>
  </si>
  <si>
    <t>IR0494</t>
  </si>
  <si>
    <t>Emissions Reduction Fund for the oil and gas sector (over two years)</t>
  </si>
  <si>
    <t>Department of Natural Resources Canada</t>
  </si>
  <si>
    <t>IR0473</t>
  </si>
  <si>
    <t>Support for Canada's Farmers, Food Businesses, and Food Supply</t>
  </si>
  <si>
    <t>Support for Canada's Fish Harvesters</t>
  </si>
  <si>
    <t>Support for Fish and Seafood Processors through the Canadian Seafood Stabilization Fund</t>
  </si>
  <si>
    <t>Department of Fisheries and Oceans</t>
  </si>
  <si>
    <t>IR0482</t>
  </si>
  <si>
    <t>Not available</t>
  </si>
  <si>
    <t>IR0539</t>
  </si>
  <si>
    <t xml:space="preserve">Support for Canada's Academic Research Community </t>
  </si>
  <si>
    <t>Social Sciences and Humanities Research Council</t>
  </si>
  <si>
    <t>IR0522</t>
  </si>
  <si>
    <t xml:space="preserve">Support for the Federal Bridge Corporation Limited </t>
  </si>
  <si>
    <t>The Federal Bridge Corporation Limited</t>
  </si>
  <si>
    <t>Support for Workers in the Newfoundland and Labrador Offshore Energy Sector</t>
  </si>
  <si>
    <t>Ensuring Access to Canada Revenue Agency Call Centres</t>
  </si>
  <si>
    <t>Canada Revenue Agency Funding for COVID-19 Economic Measures</t>
  </si>
  <si>
    <t>Temporary Enhanced GST Credit</t>
  </si>
  <si>
    <t>Temporary Enhanced Canada Child Benefit</t>
  </si>
  <si>
    <t>One-Time Payment to OAS and GIS recipients</t>
  </si>
  <si>
    <t>IR0518</t>
  </si>
  <si>
    <t>Support for Persons with Disabilities ($1M in existing funding)</t>
  </si>
  <si>
    <t>Veterans Emergency Fund</t>
  </si>
  <si>
    <t xml:space="preserve">Youth Employment and Skills Development Programs </t>
  </si>
  <si>
    <t xml:space="preserve">Department of Agriculture and Agri-Food </t>
  </si>
  <si>
    <t xml:space="preserve">Department of Indigenous Services </t>
  </si>
  <si>
    <t>Department of Natural Resources</t>
  </si>
  <si>
    <t>IR0552</t>
  </si>
  <si>
    <t>Department of the Environment</t>
  </si>
  <si>
    <t>IR0557</t>
  </si>
  <si>
    <t>Natural Sciences and Engineering Research Council</t>
  </si>
  <si>
    <t>Canada Student Loans (over two years)</t>
  </si>
  <si>
    <t>Canada Student Service Grant</t>
  </si>
  <si>
    <t>Supporting the On Reserve Income Assistance Program</t>
  </si>
  <si>
    <t>Support for Children and Youth (Kids Help Phone)</t>
  </si>
  <si>
    <t>New Horizons for Seniors Program expansion</t>
  </si>
  <si>
    <t>New Horizons Seniors Grants Data</t>
  </si>
  <si>
    <t>Lower RRIF Minimum Withdrawal</t>
  </si>
  <si>
    <t>Support for Veterans' Organizations</t>
  </si>
  <si>
    <t>Department of Veterans Affairs</t>
  </si>
  <si>
    <t>IR0560</t>
  </si>
  <si>
    <t>Support for Charities and Non-Profits Serving Vulnerable People (Emergency Community Support Fund)</t>
  </si>
  <si>
    <t>Support for Food Banks and Local Food Organizations (of which, $25M in 2019-20)</t>
  </si>
  <si>
    <t>Addressing Gender-Based Violence during COVID-19</t>
  </si>
  <si>
    <t>Department for Women and Gender Equality</t>
  </si>
  <si>
    <t>IR0475</t>
  </si>
  <si>
    <t>Support for women’s shelters and sexual assault centres, including for facilities in Indigenous communities</t>
  </si>
  <si>
    <t>Funding to start in 2021-22</t>
  </si>
  <si>
    <t>Protecting and Supporting Indigenous Women and Girls Fleeing Violence (first two years)</t>
  </si>
  <si>
    <t>Supporting Provincial and Territorial Job Training Efforts as Part of COVID-19 Economic Recovery</t>
  </si>
  <si>
    <t>Rapid Housing Initiative</t>
  </si>
  <si>
    <t>Emergency Funding for Safety Measures in Forest Operations</t>
  </si>
  <si>
    <t>Black Entrepreneurship Program</t>
  </si>
  <si>
    <t>Supporting Public Health Measures in Correctional Institutions</t>
  </si>
  <si>
    <t>Parks Canada Rent Relief and Revenue Replacement</t>
  </si>
  <si>
    <t>Parks Canada</t>
  </si>
  <si>
    <t>IR0492</t>
  </si>
  <si>
    <t>Support for the National Capital Commission</t>
  </si>
  <si>
    <t>Public Services and Procurement Canada Program Integrity</t>
  </si>
  <si>
    <t>Supporting the Ongoing Delivery of Key Benefits</t>
  </si>
  <si>
    <t>Improving Our Ability to Reach All Canadians</t>
  </si>
  <si>
    <t>Maintaining the Federal Government's Legal Services Capacity</t>
  </si>
  <si>
    <t>Supporting Court Operations and Access to Justice</t>
  </si>
  <si>
    <t xml:space="preserve">Support Canada Emergency Response Benefit Payment Integrity </t>
  </si>
  <si>
    <t>Funding for VIA Rail Canada Inc.</t>
  </si>
  <si>
    <t>Department of Justice</t>
  </si>
  <si>
    <t>Support for Northern Businesses - Northern Business Relief Fund (from existing resources)</t>
  </si>
  <si>
    <t>Waiving the Employment Insurance Waiting Period for People in Imposed Quarantine</t>
  </si>
  <si>
    <t>IR0548</t>
  </si>
  <si>
    <t>Destination Canada</t>
  </si>
  <si>
    <t>Supporting Domestic Travel through Destination Canada</t>
  </si>
  <si>
    <t>IR0562</t>
  </si>
  <si>
    <t>Canadian Centre for Occupational Health and Safety</t>
  </si>
  <si>
    <t>Critical Operating Requirements</t>
  </si>
  <si>
    <t>Creating Job Opportunities for Students</t>
  </si>
  <si>
    <t>Support for the CanCOVID Network</t>
  </si>
  <si>
    <t>Support to the Eureka Prorgram in Response to COVID-19</t>
  </si>
  <si>
    <t>IR0564</t>
  </si>
  <si>
    <t>Support for Business Resumption for Federally Regulated Employees</t>
  </si>
  <si>
    <t>Communications Security Establishment</t>
  </si>
  <si>
    <t>Information Technology Services, Infrastructure and Cyber Security</t>
  </si>
  <si>
    <t>Canadian Broadcasting Corporation</t>
  </si>
  <si>
    <t>Internal reallocation of resources for the COVID-19 impact to advertising revenues and operating costs</t>
  </si>
  <si>
    <t>Canadian Space Agency</t>
  </si>
  <si>
    <t>Internal reallocation of resources to support the space sector and stimulate the economy in response to COVID-19</t>
  </si>
  <si>
    <t>Establishing a multi-disciplinary network of data specialists in modelling emerging infectious diseases to support public health actions across Canada</t>
  </si>
  <si>
    <t>Securing domestic supply chain of N95 respirators</t>
  </si>
  <si>
    <t>Safe Return to Class Fund - First Nations Communities</t>
  </si>
  <si>
    <t>Department of Agriculture and Agri-food Canada</t>
  </si>
  <si>
    <t>Internal reallocation of resources for food processors to implement health measures that allow them to maintain domestic food production and processing capacity</t>
  </si>
  <si>
    <t>CRA/CBSA Liquidity Support to Businesses and Individuals</t>
  </si>
  <si>
    <t>Income Tax Payment Deferral to September</t>
  </si>
  <si>
    <t>Sales Tax Remittance and Customs Duty Payments Deferral</t>
  </si>
  <si>
    <t>Deferral of payment of GST and customs duties on imports: CBSA has yet to receive payments totaling $955,790,744</t>
  </si>
  <si>
    <t>Deferral of lease payment for duty-free shop operators and customs brokers:  total amount forgivable from receivable leases is approximately $49,076</t>
  </si>
  <si>
    <t>Supporting Jobs and Safe Operations of Junior Mining Companies</t>
  </si>
  <si>
    <t xml:space="preserve">Department of Finance </t>
  </si>
  <si>
    <t>Total - Tax Liquidity Support</t>
  </si>
  <si>
    <t>Business Credit Availability Program (BCAP) (through BDC and EDC)</t>
  </si>
  <si>
    <t>Small and Medium-sized Enterprise Co-Lending</t>
  </si>
  <si>
    <t>Business Development Bank of Canada</t>
  </si>
  <si>
    <t>IR0457</t>
  </si>
  <si>
    <t>Small and Medium-sized Enterprise Guarantee program</t>
  </si>
  <si>
    <t>Export Development Canada</t>
  </si>
  <si>
    <t>IR0465</t>
  </si>
  <si>
    <t>Canada Emergency Business Account</t>
  </si>
  <si>
    <t>CEBA Data</t>
  </si>
  <si>
    <t>Financing for Mid-size Companies through BCAP</t>
  </si>
  <si>
    <t>Credit and liquidity support for the Agriculture Sector</t>
  </si>
  <si>
    <t>Farm Credit Canada Additional Lending Capacity</t>
  </si>
  <si>
    <t>Farm Credit Canada</t>
  </si>
  <si>
    <t>IR0466</t>
  </si>
  <si>
    <t>Stay of Default on Advance Payments Program</t>
  </si>
  <si>
    <t>Large Employer Emergency Financing Facility</t>
  </si>
  <si>
    <t>Canada Development Investment Corporation</t>
  </si>
  <si>
    <t>IR0479</t>
  </si>
  <si>
    <t>LEEFF Data</t>
  </si>
  <si>
    <t>Credit and liquidity support through the Bank of Canada, CMHC and commercial lenders</t>
  </si>
  <si>
    <t>CMHC Insured Mortgage Purchase Program</t>
  </si>
  <si>
    <t>31,857 mortgage-backed securities purchased, for a total of 5.8 billion</t>
  </si>
  <si>
    <t>Capital Relief (OSFI Domestic Stability Buffer)</t>
  </si>
  <si>
    <t>Business Credit Availability Program and Other Liquidity Support</t>
  </si>
  <si>
    <t>Total - Other Liquidity Support</t>
  </si>
  <si>
    <t>Tax and Customs Duty Payment Liquitidy Support</t>
  </si>
  <si>
    <t>Contribution of $9 million through United Way for local organizations (in 2019-20)</t>
  </si>
  <si>
    <t>Grant agreement with United Way Centraide Canada valued at $9M</t>
  </si>
  <si>
    <t>Enhancements to the Work-Sharing Program</t>
  </si>
  <si>
    <t>IR0483</t>
  </si>
  <si>
    <t>Work-Sharing Data</t>
  </si>
  <si>
    <t>Highly Affected Sectors Credit Availability Program</t>
  </si>
  <si>
    <t>Canada Emergency Wage Subsidy and Canada Emergency Rent Subsidy for April to June 2021</t>
  </si>
  <si>
    <t>$1,100,000 used to date</t>
  </si>
  <si>
    <t>Legislation Providing Statutory Authority</t>
  </si>
  <si>
    <t>Measures in this tracking document are organized to align with the grouping of measures in the Fall Economic Statement (FES) 2020 COVID-19 Response Plan tables (at the end of Ch. 1 and 2). Those include the following tabs:</t>
  </si>
  <si>
    <t>The final tab in this tracking document includes COVID-19 measures announcement by the Government that were not included in the FES 2020:</t>
  </si>
  <si>
    <t>Measures not in FES 2020</t>
  </si>
  <si>
    <t>Measures not in the Fall Economic Statement (FES) 2020</t>
  </si>
  <si>
    <t>Measures not in the FES 2020</t>
  </si>
  <si>
    <t>Total - Measures not in the FES 2020</t>
  </si>
  <si>
    <t>Total Supps A - Measures not in the FES 2020</t>
  </si>
  <si>
    <t>Total Supps B - Measures not in the FES 2020</t>
  </si>
  <si>
    <t>Department of Finance Canada, Fall Economic Statement 2020: Supporting Canadians and Fighting COVID-19</t>
  </si>
  <si>
    <t>Total - Direct Support Measures</t>
  </si>
  <si>
    <t>Total Supps A - Protecting Health and Safety</t>
  </si>
  <si>
    <t>Total Supps B - Protecting Health and Safety</t>
  </si>
  <si>
    <t>Total Supps A - Direct Support Measures</t>
  </si>
  <si>
    <t>Total Supps B - Direct Support Measures</t>
  </si>
  <si>
    <t>National Capital Commission</t>
  </si>
  <si>
    <t>VIA Rail Canada Inc.</t>
  </si>
  <si>
    <t>Correctional Service Canada</t>
  </si>
  <si>
    <t>$10 million expended</t>
  </si>
  <si>
    <t>BILL C-13 (43rd Parliament, 1st Session) An Act respecting certain measures in response to COVID-19</t>
  </si>
  <si>
    <t xml:space="preserve">BILL C-13 (43rd Parliament, 1st Session) An Act respecting certain measures in response to COVID-19 </t>
  </si>
  <si>
    <t>BILL C-13 (43rd Parliament, 1st Session) An Act respecting certain measures in response to COVID-19 and BILL C-4 (43rd Parliament, 2nd Session) An Act relating to certain measures in response to COVID-19</t>
  </si>
  <si>
    <t>BILL C-13 (43rd Parliament, 1st Session) An Act respecting certain measures in response to COVID-19and BILL C-4 (43rd Parliament, 2nd Session) An Act relating to certain measures in response to COVID-19</t>
  </si>
  <si>
    <t>BILL C-4 (43rd Parliament, 2nd Session) An Act relating to certain measures in response to COVID-19</t>
  </si>
  <si>
    <t xml:space="preserve"> </t>
  </si>
  <si>
    <t>BILL C-13 (43rd Parliament, 1st Session) An Act respecting certain measures in response to COVID-19  and BILL C-4 (43rd Parliament, 2nd Session) An Act relating to certain measures in response to COVID-19</t>
  </si>
  <si>
    <t>BILL C-9 (43rd Parliament, 2nd Session) An Act to amend the Income Tax Act (Canada Emergency Rent Subsidy and Canada Emergency Wage Subsidy)</t>
  </si>
  <si>
    <t>BILL C-20 (43rd Parliament, 1st Session) An Act respecting further COVID-19 measures</t>
  </si>
  <si>
    <t>BILL C-14 (43rd Parliament, 1st Session) A second Act respecting certain measures in response to COVID-19, BILL C-20 (43rd Parliament, 1st Session) An Act respecting further COVID-19 measures, BILL C-9 (43rd Parliament, 2nd Session) An Act to amend the Income Tax Act (Canada Emergency Rent Subsidy and Canada Emergency Wage Subsidy), BILL C-17 (43rd Parliament, 1st Session)</t>
  </si>
  <si>
    <t>Support for International Partners (includes $322.9M of International Assistance Envelope Crisis Pool and other reallocated funding)</t>
  </si>
  <si>
    <t>Interim Order No. 10 Amending the Employment Insurance Act (Employment Insurance Emergency Response Benefit)</t>
  </si>
  <si>
    <t>Interim Order No. 7 Amending the Employment Insurance Act (Employment Insurance Emergency Response Benefit)</t>
  </si>
  <si>
    <t>Certain Medical Goods Remission Order (COVID-19)</t>
  </si>
  <si>
    <t>Agricultural Marketing Payments Act</t>
  </si>
  <si>
    <t xml:space="preserve">Airport Transfer (Miscellaneous Matters) Act </t>
  </si>
  <si>
    <t>Income Tax Act</t>
  </si>
  <si>
    <t>Excise Tax Act and Customs Act</t>
  </si>
  <si>
    <t>IMPP Data</t>
  </si>
  <si>
    <t xml:space="preserve">Data provided by departments represents actual spending data as of a given date, unless otherwise specified. </t>
  </si>
  <si>
    <t>Amounts identified in the Supplementary Estimates represent up to spending amounts  for the current fiscal year. These amounts are on a cash basis and therefore represent amounts that can enter the economy in 2020-21.</t>
  </si>
  <si>
    <t>Will be sent</t>
  </si>
  <si>
    <t>Canada Student Loan Payments (Moratorium)</t>
  </si>
  <si>
    <t>CBSA has relieved $289,616,769 in duties and $14,062,640 in taxes for 11,821 importers</t>
  </si>
  <si>
    <t>Strengthening Pandemic Prepardness in Long-Term Care and Retirement Homes</t>
  </si>
  <si>
    <r>
      <t xml:space="preserve">GoC Cash Estimate 2020-21 ($Millions) </t>
    </r>
    <r>
      <rPr>
        <vertAlign val="superscript"/>
        <sz val="11"/>
        <color theme="0"/>
        <rFont val="Calibri"/>
        <family val="2"/>
        <scheme val="minor"/>
      </rPr>
      <t>1</t>
    </r>
  </si>
  <si>
    <r>
      <rPr>
        <vertAlign val="superscript"/>
        <sz val="11"/>
        <color theme="1"/>
        <rFont val="Calibri"/>
        <family val="2"/>
        <scheme val="minor"/>
      </rPr>
      <t xml:space="preserve">1 </t>
    </r>
    <r>
      <rPr>
        <sz val="11"/>
        <color theme="1"/>
        <rFont val="Calibri"/>
        <family val="2"/>
        <scheme val="minor"/>
      </rPr>
      <t>The Government has included impact values for these measures in the Fall Economic Statement 2020.</t>
    </r>
  </si>
  <si>
    <r>
      <rPr>
        <vertAlign val="superscript"/>
        <sz val="11"/>
        <color theme="1"/>
        <rFont val="Calibri"/>
        <family val="2"/>
        <scheme val="minor"/>
      </rPr>
      <t xml:space="preserve">1 </t>
    </r>
    <r>
      <rPr>
        <sz val="11"/>
        <color theme="1"/>
        <rFont val="Calibri"/>
        <family val="2"/>
        <scheme val="minor"/>
      </rPr>
      <t>Estimates included in this column were provided by the department of Finance through the following information requests: IR0503, IR0534 and IR0566. These are cost estimates on a cash basis for the current fiscal year. Data provided is up until the Fall Economic Statement (November 30, 2020).</t>
    </r>
  </si>
  <si>
    <t>$4.2M transferred</t>
  </si>
  <si>
    <t>$20.1M spent, supporting over 3,200 small businesses</t>
  </si>
  <si>
    <t xml:space="preserve">$1,199,987 in a grant </t>
  </si>
  <si>
    <t>$2.4 million used</t>
  </si>
  <si>
    <t xml:space="preserve">$16,000 used </t>
  </si>
  <si>
    <t>$9,964,000 used</t>
  </si>
  <si>
    <t>*Deferred rent is repayable to the department and these amounts will be recovered over the remaning terms of the leases in question.</t>
  </si>
  <si>
    <t>Data has been requested through PBO information request. Deadline for a response has passed and information has not yet been provided.</t>
  </si>
  <si>
    <t>Department has indicated in their response to the PBO that the information on this measure is not yet available or cannot be provided.</t>
  </si>
  <si>
    <t>Not available:</t>
  </si>
  <si>
    <t>$155, 087 paid</t>
  </si>
  <si>
    <t>Surplus Food Purchase Program: $49.4M in signed agreements with 9 applicants</t>
  </si>
  <si>
    <t>Infrastructure Canada</t>
  </si>
  <si>
    <t>National Film Board</t>
  </si>
  <si>
    <t>Treasury Board of Canada Secretartiat</t>
  </si>
  <si>
    <t>IR0579</t>
  </si>
  <si>
    <t>IR0578</t>
  </si>
  <si>
    <t>IR0583</t>
  </si>
  <si>
    <t>IR0580</t>
  </si>
  <si>
    <t>IR0585</t>
  </si>
  <si>
    <t>IR0582</t>
  </si>
  <si>
    <t>$0.1M spent</t>
  </si>
  <si>
    <t>Support for Health Canada and the Public Health Agency of Canada</t>
  </si>
  <si>
    <t xml:space="preserve">COVID-19 Response Fund (including $500M for Provinces and Territories, completed in 2019-20 and $50M from existing resources) </t>
  </si>
  <si>
    <t xml:space="preserve">*Sum is greater than funds received in Supplementary Estimates (A) because CIHR made additional investments from it’s a-base funding. </t>
  </si>
  <si>
    <t>$26,757,432 in grants*</t>
  </si>
  <si>
    <t>$28,564,702 in grants*</t>
  </si>
  <si>
    <t>Improving Ventilation in Buildings</t>
  </si>
  <si>
    <t>IR0581</t>
  </si>
  <si>
    <t>$19,999,420 alloted to 305,653 individuals through 30 organizations</t>
  </si>
  <si>
    <t>Treasury Board of Canada Secretariat, Supplementary Estimates (C), 2020-21</t>
  </si>
  <si>
    <t>Total Supps C - Protecting Health and Safety</t>
  </si>
  <si>
    <t>Total Supps C - Direct Support Measures</t>
  </si>
  <si>
    <t>Included in Supplementary Estimates 2020-21</t>
  </si>
  <si>
    <t>Total Supps C - Measures not in the FES 2020</t>
  </si>
  <si>
    <t>Supps C</t>
  </si>
  <si>
    <t>Bill C-14 (43rd Parliament, 2nd Session) Economic Statement Implementation Act, 2020</t>
  </si>
  <si>
    <t>Canada Revenue Agency Act</t>
  </si>
  <si>
    <t>Internal reallocation of resources to fund meritorious grants for COVID-19 rapid response funding opportunities</t>
  </si>
  <si>
    <t>Internal reallocation of resources to support various operating requirements such as COVID-19 pressures and various transition  initiatives</t>
  </si>
  <si>
    <t>Library and Archives of Canada</t>
  </si>
  <si>
    <t>Internal reallocation of resources to support Canada’s initial response to COVID-19</t>
  </si>
  <si>
    <t>Courts Administration Service</t>
  </si>
  <si>
    <t>Registrar of the Supreme Court of Canada</t>
  </si>
  <si>
    <t>Administration of the Canada Emergency Business Account</t>
  </si>
  <si>
    <t>Administration of the Canada Emergency Rent Subsidy</t>
  </si>
  <si>
    <t>Administration of the 10% Temporary Wage Subsidy for  Employers</t>
  </si>
  <si>
    <t>Administration of the Canada Emergency Wage Subsidy</t>
  </si>
  <si>
    <t>Critical operating requirements of the Office of the Auditor General</t>
  </si>
  <si>
    <t>Office of the Auditor General</t>
  </si>
  <si>
    <t>Communication Services</t>
  </si>
  <si>
    <t>Funding for the Government of Nunavut for increased health care costs due to the pandemic</t>
  </si>
  <si>
    <t xml:space="preserve">Supps C </t>
  </si>
  <si>
    <t>Funding for the Canada Emergency Business Account Project</t>
  </si>
  <si>
    <t>Support for the COVID-19 challenge to  Canadian industry through the Innovative Solutions Canada Program</t>
  </si>
  <si>
    <t>Support for the Federal Bridge Corporation Limited's critical operating requirements</t>
  </si>
  <si>
    <t>Spending of revenues received through the conduct of its operations</t>
  </si>
  <si>
    <t xml:space="preserve">Alternative Credit Support for Small Businesses - Regional Development Agencies (Regional Relief and Recovery Fund, including through Community Futures Network) </t>
  </si>
  <si>
    <t>Total Supps C - Other Liquidity Support</t>
  </si>
  <si>
    <t>4 loans approved for a total approved amount of $1.005B, total of $274.2 million drawn</t>
  </si>
  <si>
    <t>IR0584</t>
  </si>
  <si>
    <t>CERS and Lockdown Support Data</t>
  </si>
  <si>
    <t>Strategic Innovation Fund</t>
  </si>
  <si>
    <t>BILL C-14 (43rd Parliament, 1st Session) A second Act respecting certain measures in response to COVID-19</t>
  </si>
  <si>
    <t xml:space="preserve">Total of $2.0 billion transferred to all 13 provinces and territories </t>
  </si>
  <si>
    <t>Total of $2.566 billion transferred to all 13 provinces and territories</t>
  </si>
  <si>
    <t>$320 million provided</t>
  </si>
  <si>
    <t>Data available online</t>
  </si>
  <si>
    <t>$6.93M spent</t>
  </si>
  <si>
    <t>$79,656,044 used to date</t>
  </si>
  <si>
    <t>$25,153,018 used to date</t>
  </si>
  <si>
    <t>$108,455,832 spent</t>
  </si>
  <si>
    <t>$11.8 million in approved applications</t>
  </si>
  <si>
    <t>$100M to regional delivery agents for 3,220 organizations</t>
  </si>
  <si>
    <t xml:space="preserve">3,269 approved applications, representing approximately $56.78 million </t>
  </si>
  <si>
    <t>1,132 applications approved for a total of $10.8 million (expected to be expended by end of this fiscal year)</t>
  </si>
  <si>
    <t>Emergency Processing Fund: $65.3M disbursed on approved projects</t>
  </si>
  <si>
    <t>$39,237,083 received</t>
  </si>
  <si>
    <t>$17,505,327 received</t>
  </si>
  <si>
    <t>Agreements with 6 provinces and territories signed for a total of $66.755 million</t>
  </si>
  <si>
    <t>Total of $12,276,726,000 transferred to all 13 provinces and territories</t>
  </si>
  <si>
    <t>$141,266,483 in estimated expenditures</t>
  </si>
  <si>
    <t>$53,356,083 in estimated expenditures</t>
  </si>
  <si>
    <t>$1,720,000,000 in estimated expenditures</t>
  </si>
  <si>
    <t>$2,148,008 in estimated expenditures</t>
  </si>
  <si>
    <t>$23,278,109 in estimated expenditures</t>
  </si>
  <si>
    <t>$10,214,484 in estimated expenditures</t>
  </si>
  <si>
    <t>$57,786,503 in estimated expenditures</t>
  </si>
  <si>
    <t>$7,607,330 in estimated expenditures</t>
  </si>
  <si>
    <t>$9,335,831 in estimated expenditures</t>
  </si>
  <si>
    <t>$50,688,965 in estimated expenditures</t>
  </si>
  <si>
    <t>$766,064,297 in estimated expenditures</t>
  </si>
  <si>
    <t>$233,333,518 in estimated expenditures</t>
  </si>
  <si>
    <t>$74,874,802 in estimated expenditure</t>
  </si>
  <si>
    <t>$9,998,735 in estimated expenditures</t>
  </si>
  <si>
    <t>$197,600,000 in estimated expenditures</t>
  </si>
  <si>
    <t>$100,000 in estimated expenditures</t>
  </si>
  <si>
    <t>$106,699,995 in estimated expenditures</t>
  </si>
  <si>
    <t>$261,982,087 in estimated expenditures</t>
  </si>
  <si>
    <t>$10,000,000 in estimated expenditures</t>
  </si>
  <si>
    <t>$104,422,668 in estimated expenditures</t>
  </si>
  <si>
    <t>$183,106 in estimated expenditures</t>
  </si>
  <si>
    <t>$468,234,235 in estimated expenditures**</t>
  </si>
  <si>
    <t>**Includes estimated expenditures for "Enhancing Public Health Measures in Indigenous Communities" and "Indigenous Public Health Investments" in COVID-19 Economic Response Plan - Estimated Expenditures submitted by the Treasury Board Secretariat to the Standing Committee on Government Operations and Estimates (March 17, 2021).</t>
  </si>
  <si>
    <t>$17,206,881 in estimated expenditures</t>
  </si>
  <si>
    <t>$1,460,712 in estimated expenditures</t>
  </si>
  <si>
    <t>$63,738,124 in estimated expenditures</t>
  </si>
  <si>
    <t>2,980,000 approved applications for 436,690 unique applicants, $71.48B in subsidies paid</t>
  </si>
  <si>
    <t>12,004,240 applications approved for 1,781,370 unique applicants, $12.00B</t>
  </si>
  <si>
    <t>727,130 applications approved for 420,680 unique applicants, $363,565,000</t>
  </si>
  <si>
    <t>3,301,170 applications approved for 347,450 unique applicants, $1.65 billion</t>
  </si>
  <si>
    <t>882 transactions for $679.6 million (EDC's portion of the guarantee)</t>
  </si>
  <si>
    <t>$394,075,985 in estimated expenditures</t>
  </si>
  <si>
    <t>$13,158,979 in estimated expenditures</t>
  </si>
  <si>
    <t>$12,550,284 in estimated expenditures</t>
  </si>
  <si>
    <t>$21,112 in estimated expenditures</t>
  </si>
  <si>
    <t>$2,461,142,765 in estimated expenditures</t>
  </si>
  <si>
    <t>$807,913,639 in estimated expenditures</t>
  </si>
  <si>
    <t>$381,825,222 in estimated expenditures</t>
  </si>
  <si>
    <t>$19,973,765 in estimated expenditures</t>
  </si>
  <si>
    <t>$349,698,783 in estimated expenditures</t>
  </si>
  <si>
    <t>$1,499,265,341 in estimated expenditures</t>
  </si>
  <si>
    <t>$114,900,000 in estimated expenditures</t>
  </si>
  <si>
    <t>$2,134,381 in estimated expenditures</t>
  </si>
  <si>
    <t>$11,262,711 in estimated expenditures</t>
  </si>
  <si>
    <t>$1,909,845 in estimated expenditures</t>
  </si>
  <si>
    <t>$35,717,351 in estimated expenditures</t>
  </si>
  <si>
    <t>$1,465,348 in estimated expenditures</t>
  </si>
  <si>
    <t>$62,787,208 in estimated expenditures</t>
  </si>
  <si>
    <t>$405,430,389 in estimated expenditures</t>
  </si>
  <si>
    <t>$29,654,492 in estimated expenditures</t>
  </si>
  <si>
    <t>$16,494,264 in estimated expenditures</t>
  </si>
  <si>
    <t>$346,000 in estimated expenditures</t>
  </si>
  <si>
    <t>$24,752,745 in estimated expenditures</t>
  </si>
  <si>
    <t>$2,759,000 in estimated expenditures</t>
  </si>
  <si>
    <t>$71,817,855 in estimated expenditures</t>
  </si>
  <si>
    <t>$130,470,426 in estimated expenditures</t>
  </si>
  <si>
    <t>$31,260,086 in estimated expenditures</t>
  </si>
  <si>
    <t>$79,707,573 in estimated expenditures</t>
  </si>
  <si>
    <t>$506,322,800 in estimated expenditures</t>
  </si>
  <si>
    <t>$181,119,427 in estimated expenditures</t>
  </si>
  <si>
    <t>$307,484,809 in estimated expenditures</t>
  </si>
  <si>
    <t>$17,619,005 in estimated expenditures</t>
  </si>
  <si>
    <t>$9,122,687 in estimated expenditures</t>
  </si>
  <si>
    <t>$396,645 in estimated expenditures</t>
  </si>
  <si>
    <t>$432,304,265 in estimated expenditures</t>
  </si>
  <si>
    <t>$1,148,000 in estimated expenditures</t>
  </si>
  <si>
    <t>$863,000 in estimated expenditures</t>
  </si>
  <si>
    <t>$2,727,782 in estimated expentures</t>
  </si>
  <si>
    <t>$332,124 in estimated expenditures</t>
  </si>
  <si>
    <t>$2,067,048 in estimated expenditures</t>
  </si>
  <si>
    <t>$9,132 in estimated expenditures</t>
  </si>
  <si>
    <t>$20,955,570 in estimated expenditures</t>
  </si>
  <si>
    <t>$15,078,880 in estimated expenditures</t>
  </si>
  <si>
    <t xml:space="preserve">Further support for medical research, countermeasures, and vaccines </t>
  </si>
  <si>
    <t>$7,115,955 in estimated expenditures</t>
  </si>
  <si>
    <t>$7,911,782 in estimated expenditures</t>
  </si>
  <si>
    <t>$16,202,832 in estimated expenditures</t>
  </si>
  <si>
    <t>$326,659,390 in estimated expenditures**</t>
  </si>
  <si>
    <t>**Includes estimated expenditures for "Regional Relief and Recovery Fund" and "Targeted Extension of the Innovation Assistance Program" in COVID-19 Economic Response Plan - Estimated Expenditures submitted by the Treasury Board Secretariat to the Standing Committee on Government Operations and Estimates (March 17, 2021).</t>
  </si>
  <si>
    <t>$113,657,813 in estimated expenditures</t>
  </si>
  <si>
    <t>$66,601,142 in estimated expenditures</t>
  </si>
  <si>
    <t>$29,791,034 in estimated expenditures</t>
  </si>
  <si>
    <t>$10,292,000 in estimated expenditures</t>
  </si>
  <si>
    <t>$32,211,469 in estimated expenditures</t>
  </si>
  <si>
    <t>Statistics Canada</t>
  </si>
  <si>
    <t>$7,798,854 in estimated expenditures</t>
  </si>
  <si>
    <t>$4,828,387 in estimated expenditures</t>
  </si>
  <si>
    <t>$167,071,008 in estimated expenditures</t>
  </si>
  <si>
    <t>Treasury Board of Canada Secretariat, COVID-19 Economic Response Plan - Estimated Expenditures submitted to the Standing Committee on Government Operations and Estimates (March 17, 2021)</t>
  </si>
  <si>
    <t>$14,728,097 in estimated expenditures</t>
  </si>
  <si>
    <t>$304,527 in estimated expenditures</t>
  </si>
  <si>
    <t>$2,143,992,438 in estimated expenditures</t>
  </si>
  <si>
    <t>$1,340,655 in estimated expenditures</t>
  </si>
  <si>
    <t>TBS Data: COVID-19 Economic Response Plan - Estimated Expenditures</t>
  </si>
  <si>
    <t>$83.8M spent</t>
  </si>
  <si>
    <t>$44.4M spent</t>
  </si>
  <si>
    <t xml:space="preserve">27.56M applications processed for 8.9M unique applicants, $68,017,722,345 in estimated expenditures
$240,818,066 in administration costs </t>
  </si>
  <si>
    <t xml:space="preserve">2,140,230 approved applications, $2,944,420,500 in estimated expenditures
$17,624,372 in administration costs </t>
  </si>
  <si>
    <t>$139,606,862 in grants</t>
  </si>
  <si>
    <t>$83,311,449 in estimated expenditures</t>
  </si>
  <si>
    <t>$3,153,073 in grants</t>
  </si>
  <si>
    <t>$7,000,000 in estimated expenditures</t>
  </si>
  <si>
    <t>136 tenants applications completed, totalling $4,687,998</t>
  </si>
  <si>
    <t>Outstanding Amount: $51,383,862</t>
  </si>
  <si>
    <t>Rent deferral: 33 tenants approved for rent deferral, representing a total of approximately $190,441 in rent*
Rent relief: 4 attestation forms approved, representing a $13,532 loss in rental revenue</t>
  </si>
  <si>
    <t>Confidential. Informal results of BCAP authorized volume is $936M, based on data provided by financial institutions on an aggregate and interim basis. This covers both the SME co-lending and the mid-market offerings and represents 100% of the loan value, not just the BDC portion.</t>
  </si>
  <si>
    <t>$741.2M disbursed through international assistance</t>
  </si>
  <si>
    <t>$2,206,586 transferred</t>
  </si>
  <si>
    <t>$3,310,661 transferred</t>
  </si>
  <si>
    <t>$2,049,575 transferred</t>
  </si>
  <si>
    <t>$5,927,263 transferred</t>
  </si>
  <si>
    <t>$4,808,711 transferred</t>
  </si>
  <si>
    <t>$5,338,974 transferred</t>
  </si>
  <si>
    <t>$1,112,328 transferred</t>
  </si>
  <si>
    <t>$18,200,000 transferred</t>
  </si>
  <si>
    <t>BILL C-14 (43rd Parliament, 2nd Session) Economic Statement Implementation Act, 2020</t>
  </si>
  <si>
    <t>BILL C-4 (43rd Parliament, 2nd Session) An Act relating to certain measures in response to COVID-19 and BILL C-24 (43rd Parliament, 2nd Session) An Act to amend the Employment Insurance Act (additional regular benefits), the Canada Recovery Benefits Act (restriction on eligibility) and another Act in response to COVID-19</t>
  </si>
  <si>
    <t>$621, 162 in estimated expenditures***</t>
  </si>
  <si>
    <t>$15,000,000 in estimated expenditures</t>
  </si>
  <si>
    <t>$1,209,527,985 in estimated expenditures****</t>
  </si>
  <si>
    <t>****This figure is an estimate of the cost of increasing Canada Student Grants by 50 per cent in loan year 2020-21.  Canada Student Loan costs associated with suspending student and spousal contributions and raising the maximum weekly loan amount from $210 per week to $350 per week are not included.</t>
  </si>
  <si>
    <t>$2,444.1M spent</t>
  </si>
  <si>
    <t>$1.9M spent</t>
  </si>
  <si>
    <t>$17.3M spent</t>
  </si>
  <si>
    <t>$2,111.9M spent</t>
  </si>
  <si>
    <t>$18.8M spent</t>
  </si>
  <si>
    <t>$1,859.5M spent</t>
  </si>
  <si>
    <t>$88.9M spent</t>
  </si>
  <si>
    <t>$201.4M spent</t>
  </si>
  <si>
    <t>$61.7M spent</t>
  </si>
  <si>
    <t>***This figure represents payments by the Government of Canada to compensate financial institutions for the six-month moratorium for loans under the guaranteed and risk-shared regimes. Costs associated with the direct loan regime are not included.</t>
  </si>
  <si>
    <t>$528,294,090 in estimated expenditures</t>
  </si>
  <si>
    <t>600,340 applications approved for 147,350 unique applicants, $2.34B</t>
  </si>
  <si>
    <t>854,710 businesses approved for loans, 507,362 businesses approved for expansions, total of $45.33B approved in loans and expansions</t>
  </si>
  <si>
    <t>4,361 agreements approved for an estimated 131,488 employees. Total estimated dollar value of $1,506,533,582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</si>
</sst>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quot;$&quot;#,##0_);[Red]\(&quot;$&quot;#,##0\)"/>
    <numFmt numFmtId="165" formatCode="_(* #,##0.00_);_(* \(#,##0.00\);_(* &quot;-&quot;??_);_(@_)"/>
    <numFmt numFmtId="166" formatCode="_-* #,##0_-;\-* #,##0_-;_-* &quot;-&quot;??_-;_-@_-"/>
    <numFmt numFmtId="167" formatCode="_(* #,##0_);_(* \(#,##0\);_(* &quot;-&quot;??_);_(@_)"/>
    <numFmt numFmtId="168" formatCode="_-* #,##0.000000000_-;\-* #,##0.000000000_-;_-* &quot;-&quot;??_-;_-@_-"/>
    <numFmt numFmtId="169" formatCode="_-* #,##0.000000_-;\-* #,##0.000000_-;_-* &quot;-&quot;??_-;_-@_-"/>
    <numFmt numFmtId="170" formatCode="_(* #,##0.0_);_(* \(#,##0.0\);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vertAlign val="superscript"/>
      <sz val="11"/>
      <color theme="0"/>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381">
    <xf numFmtId="0" fontId="0" fillId="0" borderId="0" xfId="0"/>
    <xf numFmtId="0" fontId="0" fillId="0" borderId="0" xfId="0" applyAlignment="1">
      <alignment wrapText="1"/>
    </xf>
    <xf numFmtId="0" fontId="5" fillId="0" borderId="0" xfId="0" applyFont="1" applyAlignment="1"/>
    <xf numFmtId="0" fontId="4" fillId="2" borderId="1" xfId="0" applyFont="1" applyFill="1" applyBorder="1" applyAlignment="1"/>
    <xf numFmtId="0" fontId="4" fillId="2" borderId="2" xfId="0" applyFont="1" applyFill="1" applyBorder="1" applyAlignment="1"/>
    <xf numFmtId="0" fontId="4" fillId="3" borderId="2" xfId="0" applyFont="1" applyFill="1" applyBorder="1" applyAlignment="1"/>
    <xf numFmtId="0" fontId="4" fillId="3" borderId="3" xfId="0" applyFont="1" applyFill="1" applyBorder="1" applyAlignment="1"/>
    <xf numFmtId="0" fontId="0" fillId="0" borderId="5"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6" fillId="0" borderId="7" xfId="2" applyFill="1" applyBorder="1" applyAlignment="1">
      <alignment horizontal="center" vertic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4" fontId="6" fillId="0" borderId="5" xfId="2" applyNumberFormat="1" applyFill="1" applyBorder="1" applyAlignment="1">
      <alignment horizontal="left" vertical="center" wrapText="1"/>
    </xf>
    <xf numFmtId="166" fontId="0" fillId="0" borderId="0" xfId="0" applyNumberFormat="1"/>
    <xf numFmtId="0" fontId="0" fillId="0" borderId="17" xfId="0" applyBorder="1"/>
    <xf numFmtId="0" fontId="0" fillId="0" borderId="18" xfId="0" applyBorder="1"/>
    <xf numFmtId="166" fontId="0" fillId="0" borderId="20" xfId="1" applyNumberFormat="1" applyFont="1" applyFill="1" applyBorder="1" applyAlignment="1">
      <alignment horizontal="center" vertical="center"/>
    </xf>
    <xf numFmtId="0" fontId="3" fillId="0" borderId="16"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10" fillId="0" borderId="4" xfId="0" applyFont="1" applyBorder="1" applyAlignment="1">
      <alignment horizontal="left"/>
    </xf>
    <xf numFmtId="0" fontId="0" fillId="0" borderId="0" xfId="0" applyFill="1"/>
    <xf numFmtId="0" fontId="0" fillId="0" borderId="4" xfId="0" applyBorder="1" applyAlignment="1">
      <alignment horizontal="left" vertical="center" indent="3"/>
    </xf>
    <xf numFmtId="1" fontId="0" fillId="0" borderId="0" xfId="0" applyNumberFormat="1"/>
    <xf numFmtId="166" fontId="0" fillId="0" borderId="0" xfId="3" applyNumberFormat="1" applyFont="1"/>
    <xf numFmtId="0" fontId="3" fillId="0" borderId="18" xfId="0" applyFont="1" applyBorder="1"/>
    <xf numFmtId="0" fontId="3" fillId="0" borderId="17" xfId="0" applyFont="1" applyBorder="1"/>
    <xf numFmtId="166" fontId="3" fillId="0" borderId="17" xfId="0" applyNumberFormat="1" applyFont="1" applyBorder="1"/>
    <xf numFmtId="0" fontId="3" fillId="0" borderId="16" xfId="0" applyFont="1" applyBorder="1" applyAlignment="1">
      <alignment wrapText="1"/>
    </xf>
    <xf numFmtId="0" fontId="4" fillId="2" borderId="1" xfId="0" applyFont="1" applyFill="1" applyBorder="1"/>
    <xf numFmtId="0" fontId="5" fillId="0" borderId="0" xfId="0" applyFont="1"/>
    <xf numFmtId="0" fontId="11" fillId="0" borderId="14"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15" fontId="0" fillId="0" borderId="6" xfId="3" applyNumberFormat="1" applyFont="1" applyFill="1" applyBorder="1" applyAlignment="1">
      <alignment horizontal="center" vertical="center"/>
    </xf>
    <xf numFmtId="17" fontId="0" fillId="0" borderId="6" xfId="3" applyNumberFormat="1" applyFont="1" applyFill="1" applyBorder="1" applyAlignment="1">
      <alignment horizontal="center" vertical="center"/>
    </xf>
    <xf numFmtId="0" fontId="0" fillId="0" borderId="13" xfId="0" applyBorder="1" applyAlignment="1">
      <alignment vertical="center"/>
    </xf>
    <xf numFmtId="0" fontId="0" fillId="0" borderId="8" xfId="0" applyBorder="1"/>
    <xf numFmtId="0" fontId="10" fillId="0" borderId="4" xfId="0" applyFont="1" applyBorder="1"/>
    <xf numFmtId="166" fontId="0" fillId="0" borderId="5" xfId="3" applyNumberFormat="1" applyFont="1" applyFill="1" applyBorder="1" applyAlignment="1">
      <alignment horizontal="center" vertical="center" wrapText="1"/>
    </xf>
    <xf numFmtId="0" fontId="0" fillId="0" borderId="7" xfId="0" applyBorder="1"/>
    <xf numFmtId="0" fontId="0" fillId="0" borderId="0" xfId="0" applyFill="1" applyBorder="1" applyAlignment="1"/>
    <xf numFmtId="0" fontId="0" fillId="0" borderId="0" xfId="0"/>
    <xf numFmtId="0" fontId="0" fillId="0" borderId="5" xfId="0" applyBorder="1"/>
    <xf numFmtId="0" fontId="0" fillId="0" borderId="0" xfId="0" applyAlignment="1"/>
    <xf numFmtId="0" fontId="0" fillId="0" borderId="5" xfId="0" applyFill="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7" fillId="0" borderId="4" xfId="0" applyFont="1" applyFill="1" applyBorder="1" applyAlignment="1">
      <alignment horizontal="left" vertical="center" wrapText="1"/>
    </xf>
    <xf numFmtId="0" fontId="3" fillId="0" borderId="16" xfId="0" applyFont="1" applyBorder="1" applyAlignment="1">
      <alignment horizontal="left"/>
    </xf>
    <xf numFmtId="0" fontId="3" fillId="0" borderId="21" xfId="0" applyFont="1" applyBorder="1"/>
    <xf numFmtId="0" fontId="0" fillId="0" borderId="22" xfId="0" applyBorder="1"/>
    <xf numFmtId="166" fontId="3" fillId="0" borderId="22" xfId="0" applyNumberFormat="1" applyFont="1" applyBorder="1"/>
    <xf numFmtId="0" fontId="0" fillId="0" borderId="23" xfId="0" applyBorder="1"/>
    <xf numFmtId="167" fontId="0" fillId="0" borderId="17" xfId="1" applyNumberFormat="1" applyFont="1" applyBorder="1"/>
    <xf numFmtId="166" fontId="3" fillId="0" borderId="17" xfId="3" applyNumberFormat="1" applyFont="1" applyFill="1" applyBorder="1"/>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xf>
    <xf numFmtId="0" fontId="0" fillId="0" borderId="0" xfId="0" applyBorder="1" applyAlignment="1">
      <alignment horizontal="left" vertical="center" wrapText="1"/>
    </xf>
    <xf numFmtId="0" fontId="0" fillId="0" borderId="11" xfId="0" applyBorder="1" applyAlignment="1">
      <alignment horizontal="center" vertical="center"/>
    </xf>
    <xf numFmtId="0" fontId="6" fillId="0" borderId="9" xfId="2" applyBorder="1" applyAlignment="1">
      <alignment horizontal="center" vertical="top"/>
    </xf>
    <xf numFmtId="0" fontId="4" fillId="2" borderId="26" xfId="0" applyFont="1" applyFill="1" applyBorder="1" applyAlignment="1"/>
    <xf numFmtId="0" fontId="3" fillId="0" borderId="30" xfId="0" applyFont="1" applyBorder="1"/>
    <xf numFmtId="0" fontId="11" fillId="0" borderId="28" xfId="0" applyFont="1" applyBorder="1"/>
    <xf numFmtId="0" fontId="10" fillId="0" borderId="25" xfId="0" applyFont="1" applyBorder="1"/>
    <xf numFmtId="0" fontId="10" fillId="0" borderId="25" xfId="0" applyFont="1" applyBorder="1" applyAlignment="1">
      <alignment horizontal="left"/>
    </xf>
    <xf numFmtId="0" fontId="3" fillId="0" borderId="30" xfId="0" applyFont="1" applyBorder="1" applyAlignment="1">
      <alignment wrapText="1"/>
    </xf>
    <xf numFmtId="0" fontId="0" fillId="0" borderId="25" xfId="0" applyFill="1" applyBorder="1" applyAlignment="1">
      <alignment horizontal="center" vertical="center" wrapText="1"/>
    </xf>
    <xf numFmtId="0" fontId="0" fillId="0" borderId="25" xfId="0" applyBorder="1" applyAlignment="1">
      <alignment horizontal="center" vertical="center"/>
    </xf>
    <xf numFmtId="3" fontId="7" fillId="0" borderId="25" xfId="0" applyNumberFormat="1" applyFont="1" applyFill="1" applyBorder="1" applyAlignment="1">
      <alignment horizontal="center" vertical="center" wrapText="1"/>
    </xf>
    <xf numFmtId="0" fontId="0" fillId="0" borderId="27" xfId="0" applyBorder="1" applyAlignment="1">
      <alignment horizontal="center" vertical="center"/>
    </xf>
    <xf numFmtId="3" fontId="0" fillId="0" borderId="25" xfId="0" applyNumberFormat="1" applyBorder="1" applyAlignment="1">
      <alignment horizontal="center" vertical="center"/>
    </xf>
    <xf numFmtId="3" fontId="3" fillId="0" borderId="29" xfId="0" applyNumberFormat="1" applyFont="1" applyBorder="1"/>
    <xf numFmtId="3" fontId="3" fillId="0" borderId="30" xfId="0" applyNumberFormat="1" applyFont="1" applyBorder="1"/>
    <xf numFmtId="0" fontId="0" fillId="0" borderId="0" xfId="0" applyFont="1" applyFill="1" applyBorder="1"/>
    <xf numFmtId="0" fontId="3" fillId="0" borderId="0" xfId="0" applyFont="1" applyBorder="1"/>
    <xf numFmtId="0" fontId="0" fillId="0" borderId="0" xfId="0" applyBorder="1"/>
    <xf numFmtId="166" fontId="3" fillId="0" borderId="0" xfId="0" applyNumberFormat="1" applyFont="1" applyBorder="1"/>
    <xf numFmtId="3" fontId="0" fillId="0" borderId="25" xfId="0" applyNumberFormat="1" applyFill="1" applyBorder="1" applyAlignment="1">
      <alignment horizontal="center" vertical="center" wrapText="1"/>
    </xf>
    <xf numFmtId="0" fontId="0" fillId="0" borderId="7" xfId="0" applyBorder="1" applyAlignment="1">
      <alignment horizontal="center" vertical="center"/>
    </xf>
    <xf numFmtId="168" fontId="0" fillId="0" borderId="0" xfId="0" applyNumberFormat="1"/>
    <xf numFmtId="0" fontId="0" fillId="0" borderId="5" xfId="0" applyFont="1" applyFill="1" applyBorder="1" applyAlignment="1">
      <alignment horizontal="center" vertical="center" wrapText="1"/>
    </xf>
    <xf numFmtId="0" fontId="0" fillId="0" borderId="5" xfId="0" applyFill="1" applyBorder="1"/>
    <xf numFmtId="0" fontId="0" fillId="0" borderId="27" xfId="0" applyFill="1" applyBorder="1" applyAlignment="1">
      <alignment horizontal="center" vertical="center" wrapText="1"/>
    </xf>
    <xf numFmtId="0" fontId="0" fillId="0" borderId="20" xfId="0" applyFill="1" applyBorder="1" applyAlignment="1">
      <alignment horizontal="center" vertical="center"/>
    </xf>
    <xf numFmtId="0" fontId="7" fillId="0" borderId="5" xfId="0" applyFont="1" applyFill="1" applyBorder="1" applyAlignment="1">
      <alignment horizontal="center" vertical="center" wrapText="1"/>
    </xf>
    <xf numFmtId="0" fontId="7" fillId="0" borderId="5" xfId="0" applyFont="1" applyFill="1" applyBorder="1" applyAlignment="1">
      <alignment horizontal="left" vertical="center"/>
    </xf>
    <xf numFmtId="0" fontId="0" fillId="0" borderId="5" xfId="0" applyFill="1" applyBorder="1" applyAlignment="1">
      <alignment wrapText="1"/>
    </xf>
    <xf numFmtId="0" fontId="10" fillId="0" borderId="25" xfId="0" applyFont="1" applyFill="1" applyBorder="1" applyAlignment="1">
      <alignment horizontal="center" vertical="center" wrapText="1"/>
    </xf>
    <xf numFmtId="0" fontId="0" fillId="0" borderId="6" xfId="0" applyFill="1" applyBorder="1"/>
    <xf numFmtId="0" fontId="0" fillId="0" borderId="25" xfId="0" applyFill="1" applyBorder="1" applyAlignment="1">
      <alignment horizontal="center" vertical="center"/>
    </xf>
    <xf numFmtId="0" fontId="0" fillId="0" borderId="25" xfId="0" applyFill="1" applyBorder="1" applyAlignment="1">
      <alignment horizontal="left" vertical="center" wrapText="1"/>
    </xf>
    <xf numFmtId="0" fontId="0" fillId="0" borderId="25" xfId="0" applyFill="1" applyBorder="1" applyAlignment="1">
      <alignment horizontal="left" vertical="center"/>
    </xf>
    <xf numFmtId="164" fontId="0" fillId="0" borderId="5" xfId="0" applyNumberFormat="1" applyFill="1" applyBorder="1" applyAlignment="1">
      <alignment vertical="center"/>
    </xf>
    <xf numFmtId="0" fontId="7" fillId="0" borderId="5" xfId="2" applyFont="1" applyFill="1" applyBorder="1" applyAlignment="1">
      <alignment horizontal="center" vertical="center" wrapText="1"/>
    </xf>
    <xf numFmtId="0" fontId="0" fillId="0" borderId="13" xfId="0" applyFill="1" applyBorder="1" applyAlignment="1">
      <alignment horizontal="left" vertical="center" wrapText="1"/>
    </xf>
    <xf numFmtId="0" fontId="0" fillId="0" borderId="7" xfId="0" applyFill="1" applyBorder="1" applyAlignment="1">
      <alignment horizontal="center" vertical="center" wrapText="1"/>
    </xf>
    <xf numFmtId="0" fontId="0" fillId="0" borderId="4"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0" fontId="0" fillId="0" borderId="6" xfId="0" applyFill="1" applyBorder="1" applyAlignment="1">
      <alignment horizontal="center" vertical="center"/>
    </xf>
    <xf numFmtId="166" fontId="6" fillId="0" borderId="5" xfId="2" applyNumberFormat="1" applyFill="1" applyBorder="1" applyAlignment="1">
      <alignment horizontal="center" vertical="center"/>
    </xf>
    <xf numFmtId="0" fontId="0" fillId="0" borderId="7" xfId="0" applyFill="1" applyBorder="1" applyAlignment="1">
      <alignment horizontal="left" vertical="center"/>
    </xf>
    <xf numFmtId="0" fontId="6" fillId="0" borderId="5" xfId="2" applyFill="1" applyBorder="1" applyAlignment="1">
      <alignment horizontal="center" vertical="center" wrapText="1"/>
    </xf>
    <xf numFmtId="0" fontId="0" fillId="0" borderId="5" xfId="0" applyFill="1" applyBorder="1" applyAlignment="1">
      <alignment horizontal="left" vertical="center" wrapText="1"/>
    </xf>
    <xf numFmtId="0" fontId="6" fillId="0" borderId="7" xfId="2" applyFill="1" applyBorder="1" applyAlignment="1">
      <alignment horizontal="center" vertical="center"/>
    </xf>
    <xf numFmtId="166" fontId="6" fillId="0" borderId="7" xfId="2" applyNumberFormat="1" applyFill="1" applyBorder="1" applyAlignment="1">
      <alignment horizontal="center" vertical="center"/>
    </xf>
    <xf numFmtId="17" fontId="0" fillId="0" borderId="8" xfId="0" applyNumberFormat="1"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Border="1" applyAlignment="1">
      <alignment horizontal="center" vertical="center"/>
    </xf>
    <xf numFmtId="0" fontId="0" fillId="0" borderId="4" xfId="0" applyFill="1" applyBorder="1" applyAlignment="1">
      <alignment horizontal="left" vertical="center"/>
    </xf>
    <xf numFmtId="0" fontId="7" fillId="0" borderId="5" xfId="0" applyFont="1" applyFill="1" applyBorder="1" applyAlignment="1">
      <alignment horizontal="center" vertical="center"/>
    </xf>
    <xf numFmtId="167" fontId="0" fillId="0" borderId="0" xfId="1" applyNumberFormat="1" applyFont="1"/>
    <xf numFmtId="167" fontId="0" fillId="0" borderId="0" xfId="0" applyNumberFormat="1"/>
    <xf numFmtId="169" fontId="0" fillId="0" borderId="0" xfId="0" applyNumberFormat="1"/>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7" xfId="0" applyBorder="1" applyAlignment="1">
      <alignment horizontal="center" vertical="center"/>
    </xf>
    <xf numFmtId="15" fontId="0" fillId="0" borderId="8" xfId="0" applyNumberFormat="1" applyBorder="1" applyAlignment="1">
      <alignment horizontal="center" vertical="center"/>
    </xf>
    <xf numFmtId="0" fontId="6" fillId="0" borderId="5" xfId="2"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11" xfId="1" applyNumberFormat="1" applyFont="1" applyFill="1" applyBorder="1" applyAlignment="1">
      <alignment horizontal="right" vertical="center"/>
    </xf>
    <xf numFmtId="0" fontId="10" fillId="0" borderId="4" xfId="0" applyFont="1" applyFill="1" applyBorder="1" applyAlignment="1">
      <alignment horizontal="left" vertical="center" wrapText="1"/>
    </xf>
    <xf numFmtId="0" fontId="0" fillId="0" borderId="0" xfId="0" applyFill="1" applyBorder="1" applyAlignment="1">
      <alignment horizontal="center" vertical="center"/>
    </xf>
    <xf numFmtId="167" fontId="0" fillId="0" borderId="5" xfId="1" applyNumberFormat="1" applyFont="1" applyBorder="1"/>
    <xf numFmtId="167" fontId="0" fillId="0" borderId="5" xfId="1" applyNumberFormat="1" applyFont="1" applyFill="1" applyBorder="1"/>
    <xf numFmtId="167" fontId="0" fillId="0" borderId="5" xfId="1" applyNumberFormat="1" applyFont="1" applyFill="1" applyBorder="1" applyAlignment="1">
      <alignment vertical="center"/>
    </xf>
    <xf numFmtId="167" fontId="1" fillId="0" borderId="5" xfId="1" applyNumberFormat="1" applyFill="1" applyBorder="1" applyAlignment="1">
      <alignment horizontal="right" vertical="center"/>
    </xf>
    <xf numFmtId="167" fontId="0" fillId="0" borderId="0" xfId="1" applyNumberFormat="1" applyFont="1" applyBorder="1"/>
    <xf numFmtId="167" fontId="0" fillId="0" borderId="7" xfId="1" applyNumberFormat="1" applyFont="1" applyFill="1" applyBorder="1" applyAlignment="1">
      <alignment horizontal="right" vertical="center"/>
    </xf>
    <xf numFmtId="0" fontId="3" fillId="0" borderId="16" xfId="0" applyFont="1" applyBorder="1" applyAlignment="1">
      <alignment horizontal="left" wrapText="1"/>
    </xf>
    <xf numFmtId="166" fontId="3" fillId="0" borderId="17" xfId="3" applyNumberFormat="1" applyFont="1" applyBorder="1" applyAlignment="1">
      <alignment horizontal="right" vertical="center"/>
    </xf>
    <xf numFmtId="166" fontId="3" fillId="0" borderId="17" xfId="3" applyNumberFormat="1" applyFont="1" applyBorder="1" applyAlignment="1">
      <alignment horizontal="center" vertical="center"/>
    </xf>
    <xf numFmtId="166" fontId="3" fillId="0" borderId="18" xfId="3" applyNumberFormat="1" applyFont="1" applyBorder="1" applyAlignment="1">
      <alignment horizontal="center" vertical="center"/>
    </xf>
    <xf numFmtId="167" fontId="0" fillId="0" borderId="7" xfId="1" applyNumberFormat="1" applyFont="1" applyBorder="1" applyAlignment="1">
      <alignment horizontal="right" vertical="center"/>
    </xf>
    <xf numFmtId="0" fontId="0" fillId="0" borderId="7" xfId="0" applyFill="1" applyBorder="1" applyAlignment="1">
      <alignment horizontal="center" vertical="center"/>
    </xf>
    <xf numFmtId="166" fontId="1" fillId="0" borderId="5" xfId="1" applyNumberFormat="1" applyFont="1" applyFill="1" applyBorder="1" applyAlignment="1">
      <alignment horizontal="center" vertical="center"/>
    </xf>
    <xf numFmtId="0" fontId="6" fillId="0" borderId="5" xfId="2" applyFont="1" applyFill="1" applyBorder="1" applyAlignment="1">
      <alignment horizontal="center" vertical="center"/>
    </xf>
    <xf numFmtId="0" fontId="0" fillId="0" borderId="5" xfId="0" applyBorder="1" applyAlignment="1">
      <alignment horizontal="right" vertical="center"/>
    </xf>
    <xf numFmtId="0" fontId="7" fillId="0" borderId="5" xfId="2" applyFont="1" applyFill="1" applyBorder="1" applyAlignment="1">
      <alignment horizontal="center" vertical="center"/>
    </xf>
    <xf numFmtId="170" fontId="0" fillId="0" borderId="5" xfId="1" applyNumberFormat="1" applyFont="1" applyFill="1" applyBorder="1" applyAlignment="1">
      <alignment horizontal="right" vertical="center"/>
    </xf>
    <xf numFmtId="170" fontId="0" fillId="0" borderId="11" xfId="1" applyNumberFormat="1" applyFont="1" applyFill="1" applyBorder="1" applyAlignment="1">
      <alignment horizontal="right" vertical="center"/>
    </xf>
    <xf numFmtId="165"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13" xfId="0" applyBorder="1" applyAlignment="1">
      <alignment horizontal="left" vertical="center"/>
    </xf>
    <xf numFmtId="0" fontId="0" fillId="0" borderId="5" xfId="0" applyFill="1" applyBorder="1" applyAlignment="1">
      <alignment horizontal="center" vertical="center" wrapText="1"/>
    </xf>
    <xf numFmtId="15" fontId="0" fillId="0" borderId="6" xfId="0" applyNumberFormat="1" applyFill="1" applyBorder="1" applyAlignment="1">
      <alignment horizontal="center" vertical="center"/>
    </xf>
    <xf numFmtId="164" fontId="0" fillId="0" borderId="5" xfId="0" applyNumberFormat="1" applyFill="1" applyBorder="1"/>
    <xf numFmtId="0" fontId="7" fillId="0" borderId="5" xfId="2" applyFont="1" applyFill="1" applyBorder="1" applyAlignment="1">
      <alignment horizontal="center" vertical="center"/>
    </xf>
    <xf numFmtId="167" fontId="0" fillId="0" borderId="5" xfId="1" applyNumberFormat="1" applyFont="1" applyFill="1" applyBorder="1" applyAlignment="1">
      <alignment horizontal="center" vertical="center"/>
    </xf>
    <xf numFmtId="164" fontId="0" fillId="0" borderId="5" xfId="0" applyNumberFormat="1" applyFill="1" applyBorder="1" applyAlignment="1">
      <alignment horizontal="left" vertical="center"/>
    </xf>
    <xf numFmtId="166" fontId="0" fillId="0" borderId="5" xfId="1" applyNumberFormat="1" applyFont="1" applyFill="1" applyBorder="1" applyAlignment="1">
      <alignment horizontal="center" vertical="center"/>
    </xf>
    <xf numFmtId="166" fontId="6" fillId="0" borderId="5" xfId="2" applyNumberFormat="1" applyFill="1" applyBorder="1" applyAlignment="1">
      <alignment horizontal="center" vertical="center"/>
    </xf>
    <xf numFmtId="166" fontId="0" fillId="0" borderId="5" xfId="1" applyNumberFormat="1" applyFont="1" applyFill="1" applyBorder="1" applyAlignment="1">
      <alignment horizontal="center" vertical="center" wrapText="1"/>
    </xf>
    <xf numFmtId="0" fontId="0" fillId="0" borderId="5" xfId="0" applyFill="1" applyBorder="1" applyAlignment="1">
      <alignment horizontal="center" vertical="center" wrapText="1"/>
    </xf>
    <xf numFmtId="166" fontId="0" fillId="0" borderId="7" xfId="1" applyNumberFormat="1" applyFont="1" applyFill="1" applyBorder="1" applyAlignment="1">
      <alignment horizontal="center" vertical="center"/>
    </xf>
    <xf numFmtId="166" fontId="0" fillId="0" borderId="11" xfId="1" applyNumberFormat="1" applyFont="1" applyFill="1" applyBorder="1" applyAlignment="1">
      <alignment horizontal="center" vertical="center"/>
    </xf>
    <xf numFmtId="166" fontId="6" fillId="0" borderId="7" xfId="2" applyNumberFormat="1" applyFill="1" applyBorder="1" applyAlignment="1">
      <alignment horizontal="center" vertical="center"/>
    </xf>
    <xf numFmtId="166" fontId="0" fillId="0" borderId="5" xfId="0" applyNumberFormat="1" applyFill="1" applyBorder="1" applyAlignment="1">
      <alignment horizontal="left" vertical="center" wrapText="1"/>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3" xfId="0" applyFill="1" applyBorder="1" applyAlignment="1">
      <alignment horizontal="left" vertical="center" wrapText="1"/>
    </xf>
    <xf numFmtId="0" fontId="0" fillId="0" borderId="4"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5" fontId="0" fillId="0" borderId="8" xfId="0" applyNumberFormat="1" applyFill="1" applyBorder="1" applyAlignment="1">
      <alignment horizontal="center" vertical="center"/>
    </xf>
    <xf numFmtId="0" fontId="0" fillId="0" borderId="5" xfId="0" applyFill="1" applyBorder="1" applyAlignment="1">
      <alignment horizontal="left" vertical="center" wrapText="1"/>
    </xf>
    <xf numFmtId="166" fontId="0" fillId="0" borderId="5" xfId="0" applyNumberFormat="1" applyFill="1" applyBorder="1" applyAlignment="1">
      <alignment horizontal="center" vertical="center"/>
    </xf>
    <xf numFmtId="166" fontId="0" fillId="0" borderId="5" xfId="0" applyNumberFormat="1" applyFill="1" applyBorder="1" applyAlignment="1">
      <alignment horizontal="left" vertical="center"/>
    </xf>
    <xf numFmtId="0" fontId="7" fillId="0" borderId="9" xfId="0" applyFont="1" applyFill="1" applyBorder="1" applyAlignment="1">
      <alignment horizontal="center" vertical="center" wrapText="1"/>
    </xf>
    <xf numFmtId="166" fontId="0" fillId="0" borderId="20" xfId="1" applyNumberFormat="1" applyFont="1" applyFill="1" applyBorder="1" applyAlignment="1">
      <alignment horizontal="center" vertical="center" wrapText="1"/>
    </xf>
    <xf numFmtId="166" fontId="0" fillId="0" borderId="7" xfId="0" applyNumberFormat="1" applyFill="1" applyBorder="1" applyAlignment="1">
      <alignment horizontal="center" vertical="center"/>
    </xf>
    <xf numFmtId="15" fontId="0" fillId="0" borderId="10" xfId="0" applyNumberFormat="1" applyFill="1" applyBorder="1" applyAlignment="1">
      <alignment horizontal="center" vertical="center"/>
    </xf>
    <xf numFmtId="17" fontId="0" fillId="0" borderId="6" xfId="0" applyNumberFormat="1" applyFill="1" applyBorder="1" applyAlignment="1">
      <alignment horizontal="center" vertical="center"/>
    </xf>
    <xf numFmtId="17" fontId="0" fillId="0" borderId="8" xfId="0" applyNumberFormat="1" applyFill="1" applyBorder="1" applyAlignment="1">
      <alignment horizontal="center" vertical="center"/>
    </xf>
    <xf numFmtId="0" fontId="0" fillId="0" borderId="5" xfId="0" applyFill="1" applyBorder="1" applyAlignment="1">
      <alignment horizontal="left" vertical="center"/>
    </xf>
    <xf numFmtId="0" fontId="0" fillId="0" borderId="7" xfId="0" applyFill="1" applyBorder="1" applyAlignment="1">
      <alignment horizontal="left" vertical="center" wrapText="1"/>
    </xf>
    <xf numFmtId="166" fontId="0" fillId="0" borderId="5" xfId="0" applyNumberFormat="1" applyFill="1" applyBorder="1" applyAlignment="1">
      <alignment horizontal="center" vertical="center" wrapText="1"/>
    </xf>
    <xf numFmtId="166" fontId="0" fillId="0" borderId="5" xfId="1" applyNumberFormat="1" applyFont="1" applyFill="1" applyBorder="1" applyAlignment="1">
      <alignment horizontal="left" vertical="center"/>
    </xf>
    <xf numFmtId="15" fontId="0" fillId="0" borderId="6" xfId="1" applyNumberFormat="1" applyFont="1" applyFill="1" applyBorder="1" applyAlignment="1">
      <alignment horizontal="center" vertical="center"/>
    </xf>
    <xf numFmtId="0" fontId="7" fillId="0" borderId="9" xfId="2" applyFont="1" applyFill="1" applyBorder="1" applyAlignment="1">
      <alignment horizontal="center" vertical="center"/>
    </xf>
    <xf numFmtId="0" fontId="6" fillId="0" borderId="5" xfId="2" applyFill="1" applyBorder="1" applyAlignment="1">
      <alignment horizontal="center" vertical="center" wrapText="1"/>
    </xf>
    <xf numFmtId="15" fontId="0" fillId="0" borderId="6" xfId="0" applyNumberFormat="1" applyFill="1" applyBorder="1" applyAlignment="1">
      <alignment horizontal="center" vertical="center" wrapText="1"/>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0" fillId="0" borderId="7" xfId="0" applyFill="1" applyBorder="1" applyAlignment="1">
      <alignment vertical="center"/>
    </xf>
    <xf numFmtId="0" fontId="0" fillId="0" borderId="11" xfId="0" applyFill="1" applyBorder="1" applyAlignment="1">
      <alignment vertical="center"/>
    </xf>
    <xf numFmtId="0" fontId="0" fillId="0" borderId="9" xfId="0" applyFill="1" applyBorder="1" applyAlignment="1">
      <alignment vertical="center"/>
    </xf>
    <xf numFmtId="0" fontId="0" fillId="0" borderId="5" xfId="0" applyFill="1" applyBorder="1" applyAlignment="1">
      <alignment vertical="center" wrapText="1"/>
    </xf>
    <xf numFmtId="0" fontId="0" fillId="0" borderId="5" xfId="0" applyFill="1" applyBorder="1" applyAlignment="1">
      <alignment vertical="center"/>
    </xf>
    <xf numFmtId="166" fontId="6" fillId="0" borderId="5" xfId="2" applyNumberFormat="1" applyFill="1" applyBorder="1" applyAlignment="1">
      <alignment horizontal="center" vertical="center" wrapText="1"/>
    </xf>
    <xf numFmtId="166" fontId="0" fillId="0" borderId="5" xfId="1" applyNumberFormat="1" applyFont="1" applyFill="1" applyBorder="1" applyAlignment="1">
      <alignment horizontal="left" vertical="center" wrapText="1"/>
    </xf>
    <xf numFmtId="0" fontId="0" fillId="0" borderId="6" xfId="0" applyFill="1" applyBorder="1" applyAlignment="1">
      <alignment vertical="center" wrapText="1"/>
    </xf>
    <xf numFmtId="15" fontId="0" fillId="0" borderId="6" xfId="0" applyNumberFormat="1" applyFill="1" applyBorder="1" applyAlignment="1">
      <alignment vertical="center"/>
    </xf>
    <xf numFmtId="15" fontId="0" fillId="0" borderId="6" xfId="0" applyNumberFormat="1"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15" fontId="0" fillId="0" borderId="6" xfId="0" applyNumberFormat="1" applyFill="1" applyBorder="1" applyAlignment="1">
      <alignment horizontal="center" vertical="center"/>
    </xf>
    <xf numFmtId="0" fontId="6" fillId="0" borderId="5" xfId="2" applyFill="1" applyBorder="1" applyAlignment="1">
      <alignment horizontal="center" vertical="center" wrapText="1"/>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applyAlignment="1">
      <alignment horizontal="left" vertical="center" wrapText="1"/>
    </xf>
    <xf numFmtId="15" fontId="0" fillId="0" borderId="8" xfId="0" applyNumberFormat="1"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3" xfId="0" applyFill="1" applyBorder="1" applyAlignment="1">
      <alignment horizontal="left" vertical="center" wrapText="1"/>
    </xf>
    <xf numFmtId="0" fontId="0" fillId="0" borderId="15" xfId="0" applyFill="1" applyBorder="1" applyAlignment="1">
      <alignment horizontal="left" vertical="center" wrapText="1"/>
    </xf>
    <xf numFmtId="0" fontId="0" fillId="0" borderId="14" xfId="0" applyFill="1" applyBorder="1" applyAlignment="1">
      <alignment horizontal="left" vertical="center" wrapText="1"/>
    </xf>
    <xf numFmtId="3" fontId="0" fillId="0" borderId="7" xfId="0" applyNumberFormat="1" applyFill="1" applyBorder="1" applyAlignment="1">
      <alignment horizontal="center" vertical="center" wrapText="1"/>
    </xf>
    <xf numFmtId="3" fontId="0" fillId="0" borderId="11"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6" fontId="7" fillId="0" borderId="7" xfId="1" applyNumberFormat="1" applyFont="1" applyFill="1" applyBorder="1" applyAlignment="1">
      <alignment horizontal="center" vertical="center" wrapText="1"/>
    </xf>
    <xf numFmtId="166" fontId="7" fillId="0" borderId="9" xfId="1" applyNumberFormat="1" applyFont="1" applyFill="1" applyBorder="1" applyAlignment="1">
      <alignment horizontal="center" vertical="center" wrapText="1"/>
    </xf>
    <xf numFmtId="166" fontId="7" fillId="0" borderId="7" xfId="2" applyNumberFormat="1" applyFont="1" applyFill="1" applyBorder="1" applyAlignment="1">
      <alignment horizontal="center" vertical="center" wrapText="1"/>
    </xf>
    <xf numFmtId="166" fontId="7" fillId="0" borderId="9" xfId="2" applyNumberFormat="1" applyFont="1" applyFill="1" applyBorder="1" applyAlignment="1">
      <alignment horizontal="center" vertical="center" wrapText="1"/>
    </xf>
    <xf numFmtId="166" fontId="6" fillId="0" borderId="5" xfId="2" applyNumberFormat="1" applyFill="1" applyBorder="1" applyAlignment="1">
      <alignment horizontal="center" vertical="center" wrapText="1"/>
    </xf>
    <xf numFmtId="166" fontId="0" fillId="0" borderId="7" xfId="1" applyNumberFormat="1" applyFont="1" applyFill="1" applyBorder="1" applyAlignment="1">
      <alignment horizontal="left" vertical="center"/>
    </xf>
    <xf numFmtId="166" fontId="0" fillId="0" borderId="9" xfId="1" applyNumberFormat="1" applyFont="1" applyFill="1" applyBorder="1" applyAlignment="1">
      <alignment horizontal="left" vertical="center"/>
    </xf>
    <xf numFmtId="15" fontId="0" fillId="0" borderId="8" xfId="1" applyNumberFormat="1" applyFont="1" applyFill="1" applyBorder="1" applyAlignment="1">
      <alignment horizontal="center" vertical="center"/>
    </xf>
    <xf numFmtId="15" fontId="0" fillId="0" borderId="12" xfId="1" applyNumberFormat="1" applyFont="1" applyFill="1" applyBorder="1" applyAlignment="1">
      <alignment horizontal="center" vertical="center"/>
    </xf>
    <xf numFmtId="15" fontId="0" fillId="0" borderId="10" xfId="1" applyNumberFormat="1" applyFont="1" applyFill="1" applyBorder="1" applyAlignment="1">
      <alignment horizontal="center" vertical="center"/>
    </xf>
    <xf numFmtId="15" fontId="0" fillId="0" borderId="12"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6" fillId="0" borderId="7" xfId="2" applyFill="1" applyBorder="1" applyAlignment="1">
      <alignment horizontal="center" vertical="center" wrapText="1"/>
    </xf>
    <xf numFmtId="0" fontId="6" fillId="0" borderId="11" xfId="2" applyFill="1" applyBorder="1" applyAlignment="1">
      <alignment horizontal="center" vertical="center" wrapText="1"/>
    </xf>
    <xf numFmtId="0" fontId="6" fillId="0" borderId="9" xfId="2" applyFill="1" applyBorder="1" applyAlignment="1">
      <alignment horizontal="center"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9" xfId="0" applyFill="1" applyBorder="1" applyAlignment="1">
      <alignment horizontal="center" vertical="center" wrapText="1"/>
    </xf>
    <xf numFmtId="166" fontId="6" fillId="0" borderId="5" xfId="2" applyNumberFormat="1" applyFill="1" applyBorder="1" applyAlignment="1">
      <alignment horizontal="center" vertical="center"/>
    </xf>
    <xf numFmtId="166" fontId="0" fillId="0" borderId="5" xfId="1" applyNumberFormat="1" applyFont="1" applyFill="1" applyBorder="1" applyAlignment="1">
      <alignment horizontal="left" vertical="center"/>
    </xf>
    <xf numFmtId="0" fontId="6" fillId="0" borderId="5" xfId="2" applyFill="1" applyBorder="1" applyAlignment="1">
      <alignment horizontal="center" vertical="center" wrapText="1"/>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6" fillId="0" borderId="7" xfId="2" applyFill="1" applyBorder="1" applyAlignment="1">
      <alignment horizontal="center" vertical="center"/>
    </xf>
    <xf numFmtId="0" fontId="6" fillId="0" borderId="11" xfId="2" applyFill="1" applyBorder="1" applyAlignment="1">
      <alignment horizontal="center" vertical="center"/>
    </xf>
    <xf numFmtId="0" fontId="6" fillId="0" borderId="9" xfId="2" applyFill="1" applyBorder="1" applyAlignment="1">
      <alignment horizontal="center" vertical="center"/>
    </xf>
    <xf numFmtId="166" fontId="0" fillId="0" borderId="5" xfId="0" applyNumberFormat="1" applyFill="1" applyBorder="1" applyAlignment="1">
      <alignment horizontal="center" vertical="center" wrapText="1"/>
    </xf>
    <xf numFmtId="0" fontId="0" fillId="0" borderId="7" xfId="0" applyFill="1" applyBorder="1" applyAlignment="1">
      <alignment horizontal="left"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166" fontId="0" fillId="0" borderId="5" xfId="1" applyNumberFormat="1" applyFont="1" applyFill="1" applyBorder="1" applyAlignment="1">
      <alignment horizontal="center" vertical="center"/>
    </xf>
    <xf numFmtId="15" fontId="0" fillId="0" borderId="6" xfId="1" applyNumberFormat="1" applyFont="1" applyFill="1" applyBorder="1" applyAlignment="1">
      <alignment horizontal="center" vertical="center"/>
    </xf>
    <xf numFmtId="166" fontId="0" fillId="0" borderId="5" xfId="0" applyNumberForma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166" fontId="6" fillId="0" borderId="7" xfId="2" applyNumberFormat="1" applyFill="1" applyBorder="1" applyAlignment="1">
      <alignment horizontal="center" vertical="center" wrapText="1"/>
    </xf>
    <xf numFmtId="166" fontId="6" fillId="0" borderId="11" xfId="2" applyNumberFormat="1" applyFill="1" applyBorder="1" applyAlignment="1">
      <alignment horizontal="center" vertical="center" wrapText="1"/>
    </xf>
    <xf numFmtId="166" fontId="6" fillId="0" borderId="9" xfId="2" applyNumberFormat="1" applyFill="1" applyBorder="1" applyAlignment="1">
      <alignment horizontal="center" vertical="center" wrapText="1"/>
    </xf>
    <xf numFmtId="166" fontId="0" fillId="0" borderId="7" xfId="0" applyNumberFormat="1" applyFill="1" applyBorder="1" applyAlignment="1">
      <alignment horizontal="left" vertical="center"/>
    </xf>
    <xf numFmtId="166" fontId="0" fillId="0" borderId="11" xfId="0" applyNumberFormat="1" applyFill="1" applyBorder="1" applyAlignment="1">
      <alignment horizontal="left" vertical="center"/>
    </xf>
    <xf numFmtId="166" fontId="0" fillId="0" borderId="9" xfId="0" applyNumberFormat="1" applyFill="1" applyBorder="1" applyAlignment="1">
      <alignment horizontal="left" vertical="center"/>
    </xf>
    <xf numFmtId="166" fontId="0" fillId="0" borderId="7" xfId="1" applyNumberFormat="1" applyFont="1" applyFill="1" applyBorder="1" applyAlignment="1">
      <alignment horizontal="center" vertical="center"/>
    </xf>
    <xf numFmtId="166" fontId="0" fillId="0" borderId="11"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66" fontId="6" fillId="0" borderId="7" xfId="2" applyNumberFormat="1" applyFill="1" applyBorder="1" applyAlignment="1">
      <alignment horizontal="center" vertical="center"/>
    </xf>
    <xf numFmtId="166" fontId="6" fillId="0" borderId="11" xfId="2" applyNumberFormat="1" applyFill="1" applyBorder="1" applyAlignment="1">
      <alignment horizontal="center" vertical="center"/>
    </xf>
    <xf numFmtId="166" fontId="6" fillId="0" borderId="9" xfId="2" applyNumberFormat="1" applyFill="1" applyBorder="1" applyAlignment="1">
      <alignment horizontal="center" vertical="center"/>
    </xf>
    <xf numFmtId="166" fontId="0" fillId="0" borderId="7" xfId="1" applyNumberFormat="1" applyFont="1" applyFill="1" applyBorder="1" applyAlignment="1">
      <alignment horizontal="left" vertical="center" wrapText="1"/>
    </xf>
    <xf numFmtId="166" fontId="0" fillId="0" borderId="11" xfId="1" applyNumberFormat="1" applyFont="1" applyFill="1" applyBorder="1" applyAlignment="1">
      <alignment horizontal="left" vertical="center" wrapText="1"/>
    </xf>
    <xf numFmtId="166" fontId="0" fillId="0" borderId="9" xfId="1" applyNumberFormat="1" applyFont="1" applyFill="1" applyBorder="1" applyAlignment="1">
      <alignment horizontal="left" vertical="center" wrapText="1"/>
    </xf>
    <xf numFmtId="0" fontId="0" fillId="0" borderId="5" xfId="0" applyFill="1" applyBorder="1" applyAlignment="1">
      <alignment horizontal="left" vertical="center"/>
    </xf>
    <xf numFmtId="0" fontId="0" fillId="0" borderId="4" xfId="0" applyFill="1" applyBorder="1" applyAlignment="1">
      <alignment horizontal="left" vertical="center" wrapText="1"/>
    </xf>
    <xf numFmtId="166" fontId="0" fillId="0" borderId="5" xfId="1" applyNumberFormat="1" applyFont="1" applyFill="1" applyBorder="1" applyAlignment="1">
      <alignment horizontal="left" vertical="center" wrapText="1"/>
    </xf>
    <xf numFmtId="166" fontId="0" fillId="0" borderId="20" xfId="1" applyNumberFormat="1" applyFont="1" applyFill="1" applyBorder="1" applyAlignment="1">
      <alignment horizontal="left" vertical="center" wrapText="1"/>
    </xf>
    <xf numFmtId="15" fontId="0" fillId="0" borderId="32" xfId="0" applyNumberFormat="1" applyFill="1" applyBorder="1" applyAlignment="1">
      <alignment horizontal="center" vertical="center"/>
    </xf>
    <xf numFmtId="0" fontId="0" fillId="0" borderId="19" xfId="0" applyFill="1" applyBorder="1" applyAlignment="1">
      <alignment horizontal="left" vertical="center" wrapText="1"/>
    </xf>
    <xf numFmtId="166" fontId="0" fillId="0" borderId="5" xfId="1" applyNumberFormat="1" applyFont="1" applyFill="1" applyBorder="1" applyAlignment="1">
      <alignment horizontal="center" vertical="center" wrapText="1"/>
    </xf>
    <xf numFmtId="166" fontId="0" fillId="0" borderId="20" xfId="1" applyNumberFormat="1" applyFont="1" applyFill="1" applyBorder="1" applyAlignment="1">
      <alignment horizontal="center" vertical="center" wrapText="1"/>
    </xf>
    <xf numFmtId="166" fontId="6" fillId="0" borderId="20" xfId="2" applyNumberFormat="1" applyFill="1" applyBorder="1" applyAlignment="1">
      <alignment horizontal="center" vertical="center"/>
    </xf>
    <xf numFmtId="166" fontId="0" fillId="0" borderId="5" xfId="0" applyNumberFormat="1" applyFill="1" applyBorder="1" applyAlignment="1">
      <alignment horizontal="left" vertical="center"/>
    </xf>
    <xf numFmtId="166" fontId="0" fillId="0" borderId="5" xfId="0" applyNumberFormat="1" applyFill="1" applyBorder="1" applyAlignment="1">
      <alignment horizontal="center" vertical="center"/>
    </xf>
    <xf numFmtId="166" fontId="0" fillId="0" borderId="7" xfId="0" applyNumberFormat="1" applyFill="1" applyBorder="1" applyAlignment="1">
      <alignment horizontal="center" vertical="center"/>
    </xf>
    <xf numFmtId="166" fontId="0" fillId="0" borderId="9" xfId="0" applyNumberFormat="1" applyFill="1" applyBorder="1" applyAlignment="1">
      <alignment horizontal="center" vertical="center"/>
    </xf>
    <xf numFmtId="0" fontId="0" fillId="0" borderId="31" xfId="0" applyFill="1" applyBorder="1" applyAlignment="1">
      <alignment horizontal="center" vertical="center" wrapText="1"/>
    </xf>
    <xf numFmtId="0" fontId="0" fillId="0" borderId="6" xfId="1" applyNumberFormat="1" applyFont="1" applyFill="1" applyBorder="1" applyAlignment="1">
      <alignment horizontal="center" vertical="center"/>
    </xf>
    <xf numFmtId="166" fontId="0" fillId="0" borderId="7" xfId="0" applyNumberFormat="1" applyFill="1" applyBorder="1" applyAlignment="1">
      <alignment horizontal="left" vertical="center" wrapText="1"/>
    </xf>
    <xf numFmtId="166" fontId="0" fillId="0" borderId="11" xfId="0" applyNumberFormat="1" applyFill="1" applyBorder="1" applyAlignment="1">
      <alignment horizontal="left" vertical="center" wrapText="1"/>
    </xf>
    <xf numFmtId="166" fontId="0" fillId="0" borderId="9" xfId="0" applyNumberFormat="1" applyFill="1" applyBorder="1" applyAlignment="1">
      <alignment horizontal="left" vertical="center" wrapText="1"/>
    </xf>
    <xf numFmtId="166" fontId="0" fillId="0" borderId="11" xfId="1" applyNumberFormat="1" applyFont="1" applyFill="1" applyBorder="1" applyAlignment="1">
      <alignment horizontal="left" vertical="center"/>
    </xf>
    <xf numFmtId="0" fontId="0" fillId="0" borderId="8" xfId="0" applyFill="1" applyBorder="1" applyAlignment="1">
      <alignment horizontal="center" vertical="center"/>
    </xf>
    <xf numFmtId="17" fontId="0" fillId="0" borderId="6" xfId="0" applyNumberFormat="1" applyFill="1" applyBorder="1" applyAlignment="1">
      <alignment horizontal="center" vertical="center"/>
    </xf>
    <xf numFmtId="164" fontId="0" fillId="0" borderId="5" xfId="0" applyNumberFormat="1" applyFill="1" applyBorder="1" applyAlignment="1">
      <alignment horizontal="left" vertical="center"/>
    </xf>
    <xf numFmtId="15" fontId="0" fillId="0" borderId="8" xfId="0" applyNumberFormat="1" applyFill="1" applyBorder="1" applyAlignment="1">
      <alignment horizontal="center" vertical="center" wrapText="1"/>
    </xf>
    <xf numFmtId="0" fontId="0" fillId="0" borderId="10" xfId="0" applyFill="1" applyBorder="1" applyAlignment="1">
      <alignment horizontal="center" vertical="center" wrapText="1"/>
    </xf>
    <xf numFmtId="166" fontId="0" fillId="0" borderId="13" xfId="1" applyNumberFormat="1" applyFont="1" applyFill="1" applyBorder="1" applyAlignment="1">
      <alignment horizontal="left" vertical="center" wrapText="1"/>
    </xf>
    <xf numFmtId="166" fontId="0" fillId="0" borderId="15" xfId="1" applyNumberFormat="1" applyFont="1" applyFill="1" applyBorder="1" applyAlignment="1">
      <alignment horizontal="left" vertical="center" wrapText="1"/>
    </xf>
    <xf numFmtId="166" fontId="0" fillId="0" borderId="14" xfId="1" applyNumberFormat="1" applyFont="1" applyFill="1" applyBorder="1" applyAlignment="1">
      <alignment horizontal="left" vertical="center" wrapText="1"/>
    </xf>
    <xf numFmtId="15" fontId="0" fillId="0" borderId="6" xfId="0" applyNumberFormat="1" applyFill="1" applyBorder="1" applyAlignment="1">
      <alignment horizontal="center" vertical="center" wrapText="1"/>
    </xf>
    <xf numFmtId="0" fontId="0" fillId="0" borderId="6" xfId="0" applyFill="1" applyBorder="1" applyAlignment="1">
      <alignment horizontal="center" vertical="center" wrapText="1"/>
    </xf>
    <xf numFmtId="0" fontId="7" fillId="0" borderId="7" xfId="2" applyFont="1" applyFill="1" applyBorder="1" applyAlignment="1">
      <alignment horizontal="left" vertical="center" wrapText="1"/>
    </xf>
    <xf numFmtId="0" fontId="7" fillId="0" borderId="11" xfId="2" applyFont="1" applyFill="1" applyBorder="1" applyAlignment="1">
      <alignment horizontal="left" vertical="center" wrapText="1"/>
    </xf>
    <xf numFmtId="0" fontId="7" fillId="0" borderId="9" xfId="2" applyFont="1" applyFill="1" applyBorder="1" applyAlignment="1">
      <alignment horizontal="left" vertical="center" wrapText="1"/>
    </xf>
    <xf numFmtId="15" fontId="7" fillId="0" borderId="8" xfId="2" applyNumberFormat="1" applyFont="1" applyFill="1" applyBorder="1" applyAlignment="1">
      <alignment horizontal="center" vertical="center"/>
    </xf>
    <xf numFmtId="15" fontId="7" fillId="0" borderId="12"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0" fontId="7" fillId="0" borderId="7" xfId="2" applyFont="1" applyFill="1" applyBorder="1" applyAlignment="1">
      <alignment horizontal="center" vertical="center"/>
    </xf>
    <xf numFmtId="0" fontId="7" fillId="0" borderId="9" xfId="2" applyFont="1" applyFill="1" applyBorder="1" applyAlignment="1">
      <alignment horizontal="center" vertical="center"/>
    </xf>
    <xf numFmtId="0" fontId="0" fillId="0" borderId="12" xfId="0" applyFill="1" applyBorder="1" applyAlignment="1">
      <alignment horizontal="center" vertical="center" wrapText="1"/>
    </xf>
    <xf numFmtId="15" fontId="0" fillId="0" borderId="12"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left" vertical="center" indent="3"/>
    </xf>
    <xf numFmtId="0" fontId="0" fillId="0" borderId="14" xfId="0" applyBorder="1" applyAlignment="1">
      <alignment horizontal="left" vertical="center" indent="3"/>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5" xfId="2" applyBorder="1" applyAlignment="1">
      <alignment horizontal="center" vertical="center"/>
    </xf>
    <xf numFmtId="0" fontId="6" fillId="0" borderId="24" xfId="2" applyBorder="1" applyAlignment="1">
      <alignment horizontal="center" vertical="center"/>
    </xf>
    <xf numFmtId="3" fontId="0" fillId="0" borderId="5" xfId="0" applyNumberFormat="1" applyBorder="1" applyAlignment="1">
      <alignment horizontal="left" vertical="center" wrapText="1"/>
    </xf>
    <xf numFmtId="3" fontId="0" fillId="0" borderId="25" xfId="0" applyNumberFormat="1" applyBorder="1" applyAlignment="1">
      <alignment horizontal="left" vertical="center" wrapText="1"/>
    </xf>
    <xf numFmtId="0" fontId="0" fillId="0" borderId="13" xfId="0" applyBorder="1" applyAlignment="1">
      <alignment horizontal="left" vertical="center"/>
    </xf>
    <xf numFmtId="0" fontId="0" fillId="0" borderId="14" xfId="0" applyBorder="1" applyAlignment="1">
      <alignment horizontal="left"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17" fontId="0" fillId="0" borderId="8" xfId="0" applyNumberFormat="1" applyFill="1" applyBorder="1" applyAlignment="1">
      <alignment horizontal="center" vertical="center"/>
    </xf>
    <xf numFmtId="17" fontId="0" fillId="0" borderId="10" xfId="0" applyNumberFormat="1" applyFill="1" applyBorder="1" applyAlignment="1">
      <alignment horizontal="center" vertical="center"/>
    </xf>
    <xf numFmtId="166" fontId="6" fillId="0" borderId="8" xfId="2" applyNumberFormat="1" applyFill="1" applyBorder="1" applyAlignment="1">
      <alignment horizontal="center" vertical="center"/>
    </xf>
    <xf numFmtId="166" fontId="6" fillId="0" borderId="10" xfId="2" applyNumberForma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0" fillId="0" borderId="6"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left"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456_AAFC_COVID-19_Allocations_request_e_signed.pdf" TargetMode="External"/><Relationship Id="rId21" Type="http://schemas.openxmlformats.org/officeDocument/2006/relationships/hyperlink" Target="https://www.pbo-dpb.gc.ca/web/default/files/Documents/Info%20Requests/2020/IR0490_ISED_COVID-19_Measures_request_e.pdf" TargetMode="External"/><Relationship Id="rId34" Type="http://schemas.openxmlformats.org/officeDocument/2006/relationships/hyperlink" Target="https://www.pbo-dpb.gc.ca/web/default/files/Documents/Info%20Requests/2020/IR0529_PSEP_COVID19_update_request_e.pdf" TargetMode="External"/><Relationship Id="rId42" Type="http://schemas.openxmlformats.org/officeDocument/2006/relationships/hyperlink" Target="https://www.pbo-dpb.gc.ca/web/default/files/Documents/Info%20Requests/2020/IR0471_ISED_COVID-19_Measures_request_e_signed.pdf" TargetMode="External"/><Relationship Id="rId47" Type="http://schemas.openxmlformats.org/officeDocument/2006/relationships/hyperlink" Target="https://www.pbo-dpb.gc.ca/web/default/files/Documents/Info%20Requests/2020/IR0467_GAC_FA_COVID-19_Measures_request_e_signed.pdf" TargetMode="External"/><Relationship Id="rId50" Type="http://schemas.openxmlformats.org/officeDocument/2006/relationships/hyperlink" Target="https://www.pbo-dpb.gc.ca/web/default/files/Documents/Info%20Requests/2020/IR0528_PHAC_COVID19_update_request_e.pdf" TargetMode="External"/><Relationship Id="rId55" Type="http://schemas.openxmlformats.org/officeDocument/2006/relationships/hyperlink" Target="http://gazette.gc.ca/rp-pr/p2/2020/2020-05-27/html/sor-dors101-eng.html" TargetMode="External"/><Relationship Id="rId63" Type="http://schemas.openxmlformats.org/officeDocument/2006/relationships/hyperlink" Target="https://www.pbo-dpb.gc.ca/web/default/files/Documents/Info%20Requests/2020/IR0528_PHAC_COVID19_update_request_e.pdf" TargetMode="External"/><Relationship Id="rId68" Type="http://schemas.openxmlformats.org/officeDocument/2006/relationships/hyperlink" Target="https://www.pbo-dpb.gc.ca/web/default/files/Documents/Info%20Requests/2020/IR0526_NRCCan_COVID19_update_2_request_e.pdf" TargetMode="External"/><Relationship Id="rId76" Type="http://schemas.openxmlformats.org/officeDocument/2006/relationships/hyperlink" Target="https://www.ourcommons.ca/content/Committee/432/OGGO/WebDoc/WD11193033/432_OGGO_Mar10-Motion/TreasuryBoardSecretariat-e.pdf" TargetMode="External"/><Relationship Id="rId84" Type="http://schemas.openxmlformats.org/officeDocument/2006/relationships/hyperlink" Target="https://www.ourcommons.ca/content/Committee/432/OGGO/WebDoc/WD11193033/432_OGGO_Mar10-Motion/TreasuryBoardSecretariat-e.pdf" TargetMode="External"/><Relationship Id="rId89" Type="http://schemas.openxmlformats.org/officeDocument/2006/relationships/hyperlink" Target="https://www.ourcommons.ca/content/Committee/432/OGGO/WebDoc/WD11193033/432_OGGO_Mar10-Motion/TreasuryBoardSecretariat-e.pdf" TargetMode="External"/><Relationship Id="rId97" Type="http://schemas.openxmlformats.org/officeDocument/2006/relationships/hyperlink" Target="https://www.ourcommons.ca/content/Committee/432/OGGO/WebDoc/WD11193033/432_OGGO_Mar10-Motion/TreasuryBoardSecretariat-e.pdf" TargetMode="External"/><Relationship Id="rId7" Type="http://schemas.openxmlformats.org/officeDocument/2006/relationships/hyperlink" Target="https://www.pbo-dpb.gc.ca/web/default/files/Documents/Info%20Requests/2020/IR0550_FIN_COVID-19_Support_request_e.pdf" TargetMode="External"/><Relationship Id="rId71" Type="http://schemas.openxmlformats.org/officeDocument/2006/relationships/hyperlink" Target="https://www.ourcommons.ca/content/Committee/432/OGGO/WebDoc/WD11193033/432_OGGO_Mar10-Motion/TreasuryBoardSecretariat-e.pdf" TargetMode="External"/><Relationship Id="rId92" Type="http://schemas.openxmlformats.org/officeDocument/2006/relationships/hyperlink" Target="https://www.ourcommons.ca/content/Committee/432/OGGO/WebDoc/WD11193033/432_OGGO_Mar10-Motion/TreasuryBoardSecretariat-e.pdf" TargetMode="External"/><Relationship Id="rId2" Type="http://schemas.openxmlformats.org/officeDocument/2006/relationships/hyperlink" Target="https://www.pbo-dpb.gc.ca/web/default/files/Documents/Info%20Requests/2020/IR0528_PHAC_COVID19_update_request_e.pdf" TargetMode="External"/><Relationship Id="rId16" Type="http://schemas.openxmlformats.org/officeDocument/2006/relationships/hyperlink" Target="https://www.pbo-dpb.gc.ca/web/default/files/Documents/Info%20Requests/2020/IR0491_ISED_COVID-19_Measures_request_e.pdf" TargetMode="External"/><Relationship Id="rId29" Type="http://schemas.openxmlformats.org/officeDocument/2006/relationships/hyperlink" Target="https://www.pbo-dpb.gc.ca/web/default/files/Documents/Info%20Requests/2020/IR0549_ESDC_COVID-19_Measures_Q_request_e.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59_PSPC_COVID-19_Safety_request_e.pdf" TargetMode="External"/><Relationship Id="rId32" Type="http://schemas.openxmlformats.org/officeDocument/2006/relationships/hyperlink" Target="https://www.pbo-dpb.gc.ca/web/default/files/Documents/Info%20Requests/2020/IR0486_HC_COVID-19_ltr_e.pdf" TargetMode="External"/><Relationship Id="rId37" Type="http://schemas.openxmlformats.org/officeDocument/2006/relationships/hyperlink" Target="https://www.pbo-dpb.gc.ca/web/default/files/Documents/Info%20Requests/2020/IR0523_ISC_COVID19_update_2_request_e.pdf" TargetMode="External"/><Relationship Id="rId40" Type="http://schemas.openxmlformats.org/officeDocument/2006/relationships/hyperlink" Target="https://www.pbo-dpb.gc.ca/web/default/files/Documents/Info%20Requests/2020/IR0468_HC_COVID-19_Measures_request_e_signed.pdf" TargetMode="External"/><Relationship Id="rId45" Type="http://schemas.openxmlformats.org/officeDocument/2006/relationships/hyperlink" Target="https://www.pbo-dpb.gc.ca/web/default/files/Documents/Info%20Requests/2020/IR0490_ISED_COVID-19_Measures_request_e.pdf" TargetMode="External"/><Relationship Id="rId53" Type="http://schemas.openxmlformats.org/officeDocument/2006/relationships/hyperlink" Target="https://www.pbo-dpb.gc.ca/web/default/files/Documents/Info%20Requests/2020/IR0530_CIHR_granting_COVID-19_request_e.pdf" TargetMode="External"/><Relationship Id="rId58" Type="http://schemas.openxmlformats.org/officeDocument/2006/relationships/hyperlink" Target="https://www.pbo-dpb.gc.ca/web/default/files/Documents/Info%20Requests/2020/IR0456_AAFC_COVID-19_Allocations_request_e_signed.pdf" TargetMode="External"/><Relationship Id="rId66" Type="http://schemas.openxmlformats.org/officeDocument/2006/relationships/hyperlink" Target="https://www.pbo-dpb.gc.ca/web/default/files/Documents/Info%20Requests/2020/IR0528_PHAC_COVID19_update_request_e.pdf" TargetMode="External"/><Relationship Id="rId74" Type="http://schemas.openxmlformats.org/officeDocument/2006/relationships/hyperlink" Target="https://www.ourcommons.ca/content/Committee/432/OGGO/WebDoc/WD11193033/432_OGGO_Mar10-Motion/TreasuryBoardSecretariat-e.pdf" TargetMode="External"/><Relationship Id="rId79" Type="http://schemas.openxmlformats.org/officeDocument/2006/relationships/hyperlink" Target="https://www.ourcommons.ca/content/Committee/432/OGGO/WebDoc/WD11193033/432_OGGO_Mar10-Motion/TreasuryBoardSecretariat-e.pdf" TargetMode="External"/><Relationship Id="rId87" Type="http://schemas.openxmlformats.org/officeDocument/2006/relationships/hyperlink" Target="https://www.ourcommons.ca/content/Committee/432/OGGO/WebDoc/WD11193033/432_OGGO_Mar10-Motion/TreasuryBoardSecretariat-e.pdf" TargetMode="External"/><Relationship Id="rId5" Type="http://schemas.openxmlformats.org/officeDocument/2006/relationships/hyperlink" Target="https://www.pbo-dpb.gc.ca/web/default/files/Documents/Info%20Requests/2020/IR0550_FIN_COVID-19_Support_request_e.pdf" TargetMode="External"/><Relationship Id="rId61" Type="http://schemas.openxmlformats.org/officeDocument/2006/relationships/hyperlink" Target="https://www.pbo-dpb.gc.ca/web/default/files/Documents/Info%20Requests/2021/IR0584_TBS_DigGov_COVID_Measures_request_e.pdf" TargetMode="External"/><Relationship Id="rId82" Type="http://schemas.openxmlformats.org/officeDocument/2006/relationships/hyperlink" Target="https://www.ourcommons.ca/content/Committee/432/OGGO/WebDoc/WD11193033/432_OGGO_Mar10-Motion/TreasuryBoardSecretariat-e.pdf" TargetMode="External"/><Relationship Id="rId90" Type="http://schemas.openxmlformats.org/officeDocument/2006/relationships/hyperlink" Target="https://www.ourcommons.ca/content/Committee/432/OGGO/WebDoc/WD11193033/432_OGGO_Mar10-Motion/TreasuryBoardSecretariat-e.pdf" TargetMode="External"/><Relationship Id="rId95" Type="http://schemas.openxmlformats.org/officeDocument/2006/relationships/hyperlink" Target="https://www.ourcommons.ca/content/Committee/432/OGGO/WebDoc/WD11193033/432_OGGO_Mar10-Motion/TreasuryBoardSecretariat-e.pdf" TargetMode="External"/><Relationship Id="rId19" Type="http://schemas.openxmlformats.org/officeDocument/2006/relationships/hyperlink" Target="https://www.pbo-dpb.gc.ca/web/default/files/Documents/Info%20Requests/2020/IR0528_PHAC_COVID19_update_request_e.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hyperlink" Target="https://www.pbo-dpb.gc.ca/web/default/files/Documents/Info%20Requests/2020/IR0456_AAFC_COVID-19_Allocations_request_e_signed.pdf" TargetMode="External"/><Relationship Id="rId30" Type="http://schemas.openxmlformats.org/officeDocument/2006/relationships/hyperlink" Target="https://pbo-dpb.gc.ca/en/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35" Type="http://schemas.openxmlformats.org/officeDocument/2006/relationships/hyperlink" Target="https://www.pbo-dpb.gc.ca/web/default/files/Documents/Info%20Requests/2020/IR0523_ISC_COVID19_update_2_request_e.pdf" TargetMode="External"/><Relationship Id="rId43" Type="http://schemas.openxmlformats.org/officeDocument/2006/relationships/hyperlink" Target="https://www.pbo-dpb.gc.ca/web/default/files/Documents/Info%20Requests/2020/IR0530_CIHR_granting_COVID-19_request_e.pdf" TargetMode="External"/><Relationship Id="rId48" Type="http://schemas.openxmlformats.org/officeDocument/2006/relationships/hyperlink" Target="https://www.pbo-dpb.gc.ca/web/default/files/Documents/Info%20Requests/2020/IR0477_GAC_Foreign_Affairs_data_repatriation_Canadians_ltr_e.pdf" TargetMode="External"/><Relationship Id="rId56" Type="http://schemas.openxmlformats.org/officeDocument/2006/relationships/hyperlink" Target="https://www.pbo-dpb.gc.ca/web/default/files/Documents/Info%20Requests/2020/IR0528_PHAC_COVID19_update_request_e.pdf" TargetMode="External"/><Relationship Id="rId64" Type="http://schemas.openxmlformats.org/officeDocument/2006/relationships/hyperlink" Target="https://www.pbo-dpb.gc.ca/web/default/files/Documents/Info%20Requests/2020/IR0549_ESDC_COVID-19_Measures_Q_request_e.pdf" TargetMode="External"/><Relationship Id="rId69" Type="http://schemas.openxmlformats.org/officeDocument/2006/relationships/hyperlink" Target="https://www.pbo-dpb.gc.ca/web/default/files/Documents/Info%20Requests/2020/IR0528_PHAC_COVID19_update_request_e.pdf" TargetMode="External"/><Relationship Id="rId77" Type="http://schemas.openxmlformats.org/officeDocument/2006/relationships/hyperlink" Target="https://www.ourcommons.ca/content/Committee/432/OGGO/WebDoc/WD11193033/432_OGGO_Mar10-Motion/TreasuryBoardSecretariat-e.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528_PHAC_COVID19_update_request_e.pdf" TargetMode="External"/><Relationship Id="rId72" Type="http://schemas.openxmlformats.org/officeDocument/2006/relationships/hyperlink" Target="https://www.ourcommons.ca/content/Committee/432/OGGO/WebDoc/WD11193033/432_OGGO_Mar10-Motion/TreasuryBoardSecretariat-e.pdf" TargetMode="External"/><Relationship Id="rId80" Type="http://schemas.openxmlformats.org/officeDocument/2006/relationships/hyperlink" Target="https://www.ourcommons.ca/content/Committee/432/OGGO/WebDoc/WD11193033/432_OGGO_Mar10-Motion/TreasuryBoardSecretariat-e.pdf" TargetMode="External"/><Relationship Id="rId85" Type="http://schemas.openxmlformats.org/officeDocument/2006/relationships/hyperlink" Target="https://www.ourcommons.ca/content/Committee/432/OGGO/WebDoc/WD11193033/432_OGGO_Mar10-Motion/TreasuryBoardSecretariat-e.pdf" TargetMode="External"/><Relationship Id="rId93" Type="http://schemas.openxmlformats.org/officeDocument/2006/relationships/hyperlink" Target="https://www.ourcommons.ca/content/Committee/432/OGGO/WebDoc/WD11193033/432_OGGO_Mar10-Motion/TreasuryBoardSecretariat-e.pdf" TargetMode="External"/><Relationship Id="rId98" Type="http://schemas.openxmlformats.org/officeDocument/2006/relationships/hyperlink" Target="https://www.ourcommons.ca/content/Committee/432/OGGO/WebDoc/WD11193033/432_OGGO_Mar10-Motion/TreasuryBoardSecretariat-e.pdf" TargetMode="External"/><Relationship Id="rId3" Type="http://schemas.openxmlformats.org/officeDocument/2006/relationships/hyperlink" Target="https://www.pbo-dpb.gc.ca/web/default/files/Documents/Info%20Requests/2020/IR0530_CIHR_granting_COVID-19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8_CIHR_COVID-19_ltr_e.pdf" TargetMode="External"/><Relationship Id="rId25" Type="http://schemas.openxmlformats.org/officeDocument/2006/relationships/hyperlink" Target="https://www.pbo-dpb.gc.ca/web/default/files/Documents/Info%20Requests/2020/IR0475_WAGE_COVID-19_Measures_request_e_signed.pdf" TargetMode="External"/><Relationship Id="rId33" Type="http://schemas.openxmlformats.org/officeDocument/2006/relationships/hyperlink" Target="https://www.pbo-dpb.gc.ca/web/default/files/Documents/Info%20Requests/2020/IR0529_PSEP_COVID19_update_request_e.pdf" TargetMode="External"/><Relationship Id="rId38" Type="http://schemas.openxmlformats.org/officeDocument/2006/relationships/hyperlink" Target="https://www.pbo-dpb.gc.ca/web/default/files/Documents/Info%20Requests/2020/IR0476_GAC_ID_COVID-19_Measures_request_e_signed.pdf" TargetMode="External"/><Relationship Id="rId46" Type="http://schemas.openxmlformats.org/officeDocument/2006/relationships/hyperlink" Target="https://www.pbo-dpb.gc.ca/web/default/files/Documents/Info%20Requests/2020/IR0459_CBSA_COVID-19_Measures_request_e_signed.pdf" TargetMode="External"/><Relationship Id="rId59" Type="http://schemas.openxmlformats.org/officeDocument/2006/relationships/hyperlink" Target="https://www.pbo-dpb.gc.ca/web/default/files/Documents/Info%20Requests/2020/IR0523_ISC_COVID19_update_2_request_e.pdf" TargetMode="External"/><Relationship Id="rId67" Type="http://schemas.openxmlformats.org/officeDocument/2006/relationships/hyperlink" Target="https://www.pbo-dpb.gc.ca/web/default/files/Documents/Info%20Requests/2021/IR0581_IFC_COVID_Measures_request_e.pdf" TargetMode="External"/><Relationship Id="rId20" Type="http://schemas.openxmlformats.org/officeDocument/2006/relationships/hyperlink" Target="https://www.pbo-dpb.gc.ca/web/default/files/Documents/Info%20Requests/2020/IR0490_ISED_COVID-19_Measures_request_e.pdf" TargetMode="External"/><Relationship Id="rId41" Type="http://schemas.openxmlformats.org/officeDocument/2006/relationships/hyperlink" Target="https://www.pbo-dpb.gc.ca/web/default/files/Documents/Info%20Requests/2020/IR0472_NRC_COVID-19_Measures_request_e_signed.pdf" TargetMode="External"/><Relationship Id="rId54" Type="http://schemas.openxmlformats.org/officeDocument/2006/relationships/hyperlink" Target="https://www.pbo-dpb.gc.ca/web/default/files/Documents/Info%20Requests/2020/IR0524_ISED_COVID19_update_2_request_e.pdf" TargetMode="External"/><Relationship Id="rId62" Type="http://schemas.openxmlformats.org/officeDocument/2006/relationships/hyperlink" Target="https://www.pbo-dpb.gc.ca/web/default/files/Documents/Info%20Requests/2020/IR0550_FIN_COVID-19_Support_request_e.pdf" TargetMode="External"/><Relationship Id="rId70" Type="http://schemas.openxmlformats.org/officeDocument/2006/relationships/hyperlink" Target="https://www.ourcommons.ca/content/Committee/432/OGGO/WebDoc/WD11193033/432_OGGO_Mar10-Motion/TreasuryBoardSecretariat-e.pdf" TargetMode="External"/><Relationship Id="rId75" Type="http://schemas.openxmlformats.org/officeDocument/2006/relationships/hyperlink" Target="https://www.ourcommons.ca/content/Committee/432/OGGO/WebDoc/WD11193033/432_OGGO_Mar10-Motion/TreasuryBoardSecretariat-e.pdf" TargetMode="External"/><Relationship Id="rId83" Type="http://schemas.openxmlformats.org/officeDocument/2006/relationships/hyperlink" Target="https://www.ourcommons.ca/content/Committee/432/OGGO/WebDoc/WD11193033/432_OGGO_Mar10-Motion/TreasuryBoardSecretariat-e.pdf" TargetMode="External"/><Relationship Id="rId88" Type="http://schemas.openxmlformats.org/officeDocument/2006/relationships/hyperlink" Target="https://www.ourcommons.ca/content/Committee/432/OGGO/WebDoc/WD11193033/432_OGGO_Mar10-Motion/TreasuryBoardSecretariat-e.pdf" TargetMode="External"/><Relationship Id="rId91" Type="http://schemas.openxmlformats.org/officeDocument/2006/relationships/hyperlink" Target="https://www.ourcommons.ca/content/Committee/432/OGGO/WebDoc/WD11193033/432_OGGO_Mar10-Motion/TreasuryBoardSecretariat-e.pdf" TargetMode="External"/><Relationship Id="rId96" Type="http://schemas.openxmlformats.org/officeDocument/2006/relationships/hyperlink" Target="https://www.ourcommons.ca/content/Committee/432/OGGO/WebDoc/WD11193033/432_OGGO_Mar10-Motion/TreasuryBoardSecretariat-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e.pdf" TargetMode="External"/><Relationship Id="rId15" Type="http://schemas.openxmlformats.org/officeDocument/2006/relationships/hyperlink" Target="https://www.pbo-dpb.gc.ca/web/default/files/Documents/Info%20Requests/2020/IR0549_ESDC_COVID-19_Measures_Q_request_e.pdf" TargetMode="External"/><Relationship Id="rId23" Type="http://schemas.openxmlformats.org/officeDocument/2006/relationships/hyperlink" Target="https://www.pbo-dpb.gc.ca/web/default/files/Documents/Info%20Requests/2020/IR0468_HC_COVID-19_Measures_request_e_signed.pdf" TargetMode="External"/><Relationship Id="rId28" Type="http://schemas.openxmlformats.org/officeDocument/2006/relationships/hyperlink" Target="https://www.pbo-dpb.gc.ca/web/default/files/Documents/Info%20Requests/2020/IR0456_AAFC_COVID-19_Allocations_request_e_signed.pdf" TargetMode="External"/><Relationship Id="rId36" Type="http://schemas.openxmlformats.org/officeDocument/2006/relationships/hyperlink" Target="https://www.pbo-dpb.gc.ca/web/default/files/Documents/Info%20Requests/2020/IR0561_SSC_COVID-19_Measures_request_e.pdf" TargetMode="External"/><Relationship Id="rId49" Type="http://schemas.openxmlformats.org/officeDocument/2006/relationships/hyperlink" Target="https://www.pbo-dpb.gc.ca/web/default/files/Documents/Info%20Requests/2020/IR0528_PHAC_COVID19_update_request_e.pdf" TargetMode="External"/><Relationship Id="rId57" Type="http://schemas.openxmlformats.org/officeDocument/2006/relationships/hyperlink" Target="https://www.pbo-dpb.gc.ca/web/default/files/Documents/Info%20Requests/2020/IR0551_HC_COVID-19_Measures_request_e.pdf" TargetMode="External"/><Relationship Id="rId10" Type="http://schemas.openxmlformats.org/officeDocument/2006/relationships/hyperlink" Target="https://www.pbo-dpb.gc.ca/web/default/files/Documents/Info%20Requests/2020/IR0519_TC_Fed-Bridge-corp_COVID-19_request_e.pdf" TargetMode="External"/><Relationship Id="rId31" Type="http://schemas.openxmlformats.org/officeDocument/2006/relationships/hyperlink" Target="https://www.pbo-dpb.gc.ca/web/default/files/Documents/Info%20Requests/2020/IR0549_ESDC_COVID-19_Measures_Q_request_e.pdf" TargetMode="External"/><Relationship Id="rId44" Type="http://schemas.openxmlformats.org/officeDocument/2006/relationships/hyperlink" Target="https://www.pbo-dpb.gc.ca/web/default/files/Documents/Info%20Requests/2020/IR0523_ISC_COVID19_update_2_request_e.pdf" TargetMode="External"/><Relationship Id="rId52" Type="http://schemas.openxmlformats.org/officeDocument/2006/relationships/hyperlink" Target="https://www.pbo-dpb.gc.ca/web/default/files/Documents/Info%20Requests/2020/IR0528_PHAC_COVID19_update_request_e.pdf" TargetMode="External"/><Relationship Id="rId60" Type="http://schemas.openxmlformats.org/officeDocument/2006/relationships/hyperlink" Target="https://www.pbo-dpb.gc.ca/web/default/files/Documents/Info%20Requests/2020/IR0528_PHAC_COVID19_update_request_e.pdf" TargetMode="External"/><Relationship Id="rId65" Type="http://schemas.openxmlformats.org/officeDocument/2006/relationships/hyperlink" Target="https://www.pbo-dpb.gc.ca/web/default/files/Documents/Info%20Requests/2020/IR0468_HC_COVID-19_Measures_request_e_signed.pdf" TargetMode="External"/><Relationship Id="rId73" Type="http://schemas.openxmlformats.org/officeDocument/2006/relationships/hyperlink" Target="https://www.ourcommons.ca/content/Committee/432/OGGO/WebDoc/WD11193033/432_OGGO_Mar10-Motion/TreasuryBoardSecretariat-e.pdf" TargetMode="External"/><Relationship Id="rId78" Type="http://schemas.openxmlformats.org/officeDocument/2006/relationships/hyperlink" Target="https://www.ourcommons.ca/content/Committee/432/OGGO/WebDoc/WD11193033/432_OGGO_Mar10-Motion/TreasuryBoardSecretariat-e.pdf" TargetMode="External"/><Relationship Id="rId81" Type="http://schemas.openxmlformats.org/officeDocument/2006/relationships/hyperlink" Target="https://www.ourcommons.ca/content/Committee/432/OGGO/WebDoc/WD11193033/432_OGGO_Mar10-Motion/TreasuryBoardSecretariat-e.pdf" TargetMode="External"/><Relationship Id="rId86" Type="http://schemas.openxmlformats.org/officeDocument/2006/relationships/hyperlink" Target="https://www.ourcommons.ca/content/Committee/432/OGGO/WebDoc/WD11193033/432_OGGO_Mar10-Motion/TreasuryBoardSecretariat-e.pdf" TargetMode="External"/><Relationship Id="rId94" Type="http://schemas.openxmlformats.org/officeDocument/2006/relationships/hyperlink" Target="https://www.ourcommons.ca/content/Committee/432/OGGO/WebDoc/WD11193033/432_OGGO_Mar10-Motion/TreasuryBoardSecretariat-e.pdf" TargetMode="External"/><Relationship Id="rId99" Type="http://schemas.openxmlformats.org/officeDocument/2006/relationships/printerSettings" Target="../printerSettings/printerSettings2.bin"/><Relationship Id="rId4" Type="http://schemas.openxmlformats.org/officeDocument/2006/relationships/hyperlink" Target="https://www.pbo-dpb.gc.ca/web/default/files/Documents/Info%20Requests/2020/IR0551_HC_COVID-19_Measures_request_e.pdf" TargetMode="External"/><Relationship Id="rId9" Type="http://schemas.openxmlformats.org/officeDocument/2006/relationships/hyperlink" Target="https://www.pbo-dpb.gc.ca/web/default/files/Documents/Info%20Requests/2020/IR0462_CIRNAC_COVID-19_Measures_request_e_signed.pdf" TargetMode="External"/><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478_CIHR_COVID-19_ltr_e.pdf" TargetMode="External"/><Relationship Id="rId39" Type="http://schemas.openxmlformats.org/officeDocument/2006/relationships/hyperlink" Target="https://www.pbo-dpb.gc.ca/web/default/files/Documents/Info%20Requests/2020/IR0530_CIHR_granting_COVID-19_request_e.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40_PCO_COVID-19_Communications_request_e.pdf" TargetMode="External"/><Relationship Id="rId117" Type="http://schemas.openxmlformats.org/officeDocument/2006/relationships/hyperlink" Target="https://www.ourcommons.ca/content/Committee/432/OGGO/WebDoc/WD11193033/432_OGGO_Mar10-Motion/TreasuryBoardSecretariat-e.pdf" TargetMode="External"/><Relationship Id="rId21" Type="http://schemas.openxmlformats.org/officeDocument/2006/relationships/hyperlink" Target="https://www.pbo-dpb.gc.ca/web/default/files/Documents/Info%20Requests/2020/IR0515_CIRNAC_COVID-19_update_request_e.pdf" TargetMode="External"/><Relationship Id="rId42" Type="http://schemas.openxmlformats.org/officeDocument/2006/relationships/hyperlink" Target="https://www.pbo-dpb.gc.ca/web/default/files/Documents/Info%20Requests/2020/IR0482_FOC_COVID-19_ltr_e.pdf" TargetMode="External"/><Relationship Id="rId47" Type="http://schemas.openxmlformats.org/officeDocument/2006/relationships/hyperlink" Target="https://www.pbo-dpb.gc.ca/web/default/files/Documents/Info%20Requests/2020/IR0547_CRA_RRIF_request_e.pdf" TargetMode="External"/><Relationship Id="rId63" Type="http://schemas.openxmlformats.org/officeDocument/2006/relationships/hyperlink" Target="https://www.pbo-dpb.gc.ca/web/default/files/Documents/Info%20Requests/2020/IR0526_NRCCan_COVID19_update_2_request_e.pdf" TargetMode="External"/><Relationship Id="rId68" Type="http://schemas.openxmlformats.org/officeDocument/2006/relationships/hyperlink" Target="https://www.pbo-dpb.gc.ca/web/default/files/Documents/Info%20Requests/2020/IR0549_ESDC_COVID-19_Measures_Q_request_e.pdf" TargetMode="External"/><Relationship Id="rId84" Type="http://schemas.openxmlformats.org/officeDocument/2006/relationships/hyperlink" Target="https://www.pbo-dpb.gc.ca/web/default/files/Documents/Info%20Requests/2020/IR0549_ESDC_COVID-19_Measures_Q_request_e.pdf" TargetMode="External"/><Relationship Id="rId89" Type="http://schemas.openxmlformats.org/officeDocument/2006/relationships/hyperlink" Target="https://www.pbo-dpb.gc.ca/web/default/files/Documents/Info%20Requests/2020/IR0549_ESDC_COVID-19_Measures_Q_request_e.pdf" TargetMode="External"/><Relationship Id="rId112" Type="http://schemas.openxmlformats.org/officeDocument/2006/relationships/hyperlink" Target="https://www.ourcommons.ca/content/Committee/432/OGGO/WebDoc/WD11193033/432_OGGO_Mar10-Motion/TreasuryBoardSecretariat-e.pdf" TargetMode="External"/><Relationship Id="rId133" Type="http://schemas.openxmlformats.org/officeDocument/2006/relationships/hyperlink" Target="https://www.ourcommons.ca/content/Committee/432/OGGO/WebDoc/WD11193033/432_OGGO_Mar10-Motion/TreasuryBoardSecretariat-e.pdf" TargetMode="External"/><Relationship Id="rId138" Type="http://schemas.openxmlformats.org/officeDocument/2006/relationships/hyperlink" Target="https://www.ourcommons.ca/content/Committee/432/OGGO/WebDoc/WD11193033/432_OGGO_Mar10-Motion/TreasuryBoardSecretariat-e.pdf" TargetMode="External"/><Relationship Id="rId154" Type="http://schemas.openxmlformats.org/officeDocument/2006/relationships/hyperlink" Target="https://www.ourcommons.ca/content/Committee/432/OGGO/WebDoc/WD11193033/432_OGGO_Mar10-Motion/TreasuryBoardSecretariat-e.pdf" TargetMode="External"/><Relationship Id="rId159" Type="http://schemas.openxmlformats.org/officeDocument/2006/relationships/hyperlink" Target="https://www.ourcommons.ca/content/Committee/432/OGGO/WebDoc/WD11193033/432_OGGO_Mar10-Motion/TreasuryBoardSecretariat-e.pdf" TargetMode="External"/><Relationship Id="rId170" Type="http://schemas.openxmlformats.org/officeDocument/2006/relationships/hyperlink" Target="https://www.ourcommons.ca/content/Committee/432/OGGO/WebDoc/WD11193033/432_OGGO_Mar10-Motion/TreasuryBoardSecretariat-e.pdf" TargetMode="External"/><Relationship Id="rId16" Type="http://schemas.openxmlformats.org/officeDocument/2006/relationships/hyperlink" Target="https://www.canada.ca/en/services/benefits/ei/claims-report.html" TargetMode="External"/><Relationship Id="rId107" Type="http://schemas.openxmlformats.org/officeDocument/2006/relationships/hyperlink" Target="https://www.pbo-dpb.gc.ca/web/default/files/Documents/Info%20Requests/2020/IR0559_PSPC_COVID-19_Safety_request_e.pdf" TargetMode="External"/><Relationship Id="rId11" Type="http://schemas.openxmlformats.org/officeDocument/2006/relationships/hyperlink" Target="https://www.pbo-dpb.gc.ca/web/default/files/Documents/Info%20Requests/2020/IR0471_ISED_COVID-19_Measures_request_e_signed.pdf" TargetMode="External"/><Relationship Id="rId32" Type="http://schemas.openxmlformats.org/officeDocument/2006/relationships/hyperlink" Target="https://www.pbo-dpb.gc.ca/web/default/files/Documents/Info%20Requests/2020/IR0461_CFIA_COVID-19_Allocations_request_e_signed.pdf" TargetMode="External"/><Relationship Id="rId37" Type="http://schemas.openxmlformats.org/officeDocument/2006/relationships/hyperlink" Target="https://www.pbo-dpb.gc.ca/web/default/files/Documents/Info%20Requests/2020/IR0473_NRCan_COVID-19_Measures_request_e_signed.pdf" TargetMode="External"/><Relationship Id="rId53" Type="http://schemas.openxmlformats.org/officeDocument/2006/relationships/hyperlink" Target="https://www.pbo-dpb.gc.ca/web/default/files/Documents/Info%20Requests/2020/IR0549_ESDC_COVID-19_Measures_Q_request_e.pdf" TargetMode="External"/><Relationship Id="rId58" Type="http://schemas.openxmlformats.org/officeDocument/2006/relationships/hyperlink" Target="https://www.pbo-dpb.gc.ca/web/default/files/Documents/Info%20Requests/2020/IR0523_ISC_COVID19_update_2_request_e.pdf" TargetMode="External"/><Relationship Id="rId74" Type="http://schemas.openxmlformats.org/officeDocument/2006/relationships/hyperlink" Target="https://www.pbo-dpb.gc.ca/web/default/files/Documents/Info%20Requests/2020/IR0523_ISC_COVID19_update_2_request_e.pdf" TargetMode="External"/><Relationship Id="rId79" Type="http://schemas.openxmlformats.org/officeDocument/2006/relationships/hyperlink" Target="https://www.pbo-dpb.gc.ca/web/default/files/Documents/Info%20Requests/2020/IR0475_WAGE_COVID-19_Measures_request_e_signed.pdf" TargetMode="External"/><Relationship Id="rId102" Type="http://schemas.openxmlformats.org/officeDocument/2006/relationships/hyperlink" Target="https://www.pbo-dpb.gc.ca/web/default/files/Documents/Info%20Requests/2021/IR0580_ESDC_Fam_COVID_Benefits_request_e.pdf" TargetMode="External"/><Relationship Id="rId123" Type="http://schemas.openxmlformats.org/officeDocument/2006/relationships/hyperlink" Target="https://www.ourcommons.ca/content/Committee/432/OGGO/WebDoc/WD11193033/432_OGGO_Mar10-Motion/TreasuryBoardSecretariat-e.pdf" TargetMode="External"/><Relationship Id="rId128" Type="http://schemas.openxmlformats.org/officeDocument/2006/relationships/hyperlink" Target="https://www.ourcommons.ca/content/Committee/432/OGGO/WebDoc/WD11193033/432_OGGO_Mar10-Motion/TreasuryBoardSecretariat-e.pdf" TargetMode="External"/><Relationship Id="rId144" Type="http://schemas.openxmlformats.org/officeDocument/2006/relationships/hyperlink" Target="https://www.ourcommons.ca/content/Committee/432/OGGO/WebDoc/WD11193033/432_OGGO_Mar10-Motion/TreasuryBoardSecretariat-e.pdf" TargetMode="External"/><Relationship Id="rId149" Type="http://schemas.openxmlformats.org/officeDocument/2006/relationships/hyperlink" Target="https://www.ourcommons.ca/content/Committee/432/OGGO/WebDoc/WD11193033/432_OGGO_Mar10-Motion/TreasuryBoardSecretariat-e.pdf" TargetMode="External"/><Relationship Id="rId5" Type="http://schemas.openxmlformats.org/officeDocument/2006/relationships/hyperlink" Target="https://www.pbo-dpb.gc.ca/web/default/files/Documents/Info%20Requests/2020/IR0490_ISED_COVID-19_Measures_request_e.pdf" TargetMode="External"/><Relationship Id="rId90" Type="http://schemas.openxmlformats.org/officeDocument/2006/relationships/hyperlink" Target="https://www.pbo-dpb.gc.ca/web/default/files/Documents/Info%20Requests/2020/IR0465_EDC_COVID-19%20Measures_request_e_signed.pdf" TargetMode="External"/><Relationship Id="rId95" Type="http://schemas.openxmlformats.org/officeDocument/2006/relationships/hyperlink" Target="https://www.pbo-dpb.gc.ca/web/default/files/Documents/Info%20Requests/2020/IR0519_TC_Fed-Bridge-corp_COVID-19_request_e.pdf" TargetMode="External"/><Relationship Id="rId160" Type="http://schemas.openxmlformats.org/officeDocument/2006/relationships/hyperlink" Target="https://www.ourcommons.ca/content/Committee/432/OGGO/WebDoc/WD11193033/432_OGGO_Mar10-Motion/TreasuryBoardSecretariat-e.pdf" TargetMode="External"/><Relationship Id="rId165" Type="http://schemas.openxmlformats.org/officeDocument/2006/relationships/hyperlink" Target="https://www.ourcommons.ca/content/Committee/432/OGGO/WebDoc/WD11193033/432_OGGO_Mar10-Motion/TreasuryBoardSecretariat-e.pdf" TargetMode="External"/><Relationship Id="rId22" Type="http://schemas.openxmlformats.org/officeDocument/2006/relationships/hyperlink" Target="https://www.pbo-dpb.gc.ca/web/default/files/Documents/Info%20Requests/2020/IR0523_ISC_COVID19_update_2_request_e.pdf" TargetMode="External"/><Relationship Id="rId27"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82_FOC_COVID-19_ltr_e.pdf" TargetMode="External"/><Relationship Id="rId48" Type="http://schemas.openxmlformats.org/officeDocument/2006/relationships/hyperlink" Target="https://www.pbo-dpb.gc.ca/web/default/files/Documents/Info%20Requests/2020/IR0561_SSC_COVID-19_Measures_request_e.pdf" TargetMode="External"/><Relationship Id="rId64" Type="http://schemas.openxmlformats.org/officeDocument/2006/relationships/hyperlink" Target="https://www.pbo-dpb.gc.ca/web/default/files/Documents/Info%20Requests/2020/IR0522_ISEDC_Granting_Councils_COVID19_request_e.pdf" TargetMode="External"/><Relationship Id="rId69" Type="http://schemas.openxmlformats.org/officeDocument/2006/relationships/hyperlink" Target="https://www.pbo-dpb.gc.ca/web/default/files/Documents/Info%20Requests/2020/IR0557_ECCC_COVID-19_Measures_request_e.pdf" TargetMode="External"/><Relationship Id="rId113" Type="http://schemas.openxmlformats.org/officeDocument/2006/relationships/hyperlink" Target="https://www.ourcommons.ca/content/Committee/432/OGGO/WebDoc/WD11193033/432_OGGO_Mar10-Motion/TreasuryBoardSecretariat-e.pdf" TargetMode="External"/><Relationship Id="rId118" Type="http://schemas.openxmlformats.org/officeDocument/2006/relationships/hyperlink" Target="https://www.ourcommons.ca/content/Committee/432/OGGO/WebDoc/WD11193033/432_OGGO_Mar10-Motion/TreasuryBoardSecretariat-e.pdf" TargetMode="External"/><Relationship Id="rId134" Type="http://schemas.openxmlformats.org/officeDocument/2006/relationships/hyperlink" Target="https://www.ourcommons.ca/content/Committee/432/OGGO/WebDoc/WD11193033/432_OGGO_Mar10-Motion/TreasuryBoardSecretariat-e.pdf" TargetMode="External"/><Relationship Id="rId139" Type="http://schemas.openxmlformats.org/officeDocument/2006/relationships/hyperlink" Target="https://www.ourcommons.ca/content/Committee/432/OGGO/WebDoc/WD11193033/432_OGGO_Mar10-Motion/TreasuryBoardSecretariat-e.pdf" TargetMode="External"/><Relationship Id="rId80" Type="http://schemas.openxmlformats.org/officeDocument/2006/relationships/hyperlink" Target="https://www.pbo-dpb.gc.ca/web/default/files/Documents/Info%20Requests/2020/IR0475_WAGE_COVID-19_Measures_request_e_signed.pdf" TargetMode="External"/><Relationship Id="rId85" Type="http://schemas.openxmlformats.org/officeDocument/2006/relationships/hyperlink" Target="https://www.pbo-dpb.gc.ca/web/default/files/Documents/Info%20Requests/2020/IR0516_CMHC_COVID19_update_2_request_e.pdf" TargetMode="External"/><Relationship Id="rId150" Type="http://schemas.openxmlformats.org/officeDocument/2006/relationships/hyperlink" Target="https://www.ourcommons.ca/content/Committee/432/OGGO/WebDoc/WD11193033/432_OGGO_Mar10-Motion/TreasuryBoardSecretariat-e.pdf" TargetMode="External"/><Relationship Id="rId155" Type="http://schemas.openxmlformats.org/officeDocument/2006/relationships/hyperlink" Target="https://www.ourcommons.ca/content/Committee/432/OGGO/WebDoc/WD11193033/432_OGGO_Mar10-Motion/TreasuryBoardSecretariat-e.pdf" TargetMode="External"/><Relationship Id="rId171" Type="http://schemas.openxmlformats.org/officeDocument/2006/relationships/hyperlink" Target="https://www.ourcommons.ca/content/Committee/432/OGGO/WebDoc/WD11193033/432_OGGO_Mar10-Motion/TreasuryBoardSecretariat-e.pdf" TargetMode="External"/><Relationship Id="rId12" Type="http://schemas.openxmlformats.org/officeDocument/2006/relationships/hyperlink" Target="https://www.pbo-dpb.gc.ca/web/default/files/Documents/Info%20Requests/2020/IR0471_ISED_COVID-19_Measures_request_e_signed.pdf" TargetMode="External"/><Relationship Id="rId17" Type="http://schemas.openxmlformats.org/officeDocument/2006/relationships/hyperlink" Target="https://www.pbo-dpb.gc.ca/web/default/files/Documents/Info%20Requests/2020/IR0561_SSC_COVID-19_Measures_request_e.pdf" TargetMode="External"/><Relationship Id="rId33" Type="http://schemas.openxmlformats.org/officeDocument/2006/relationships/hyperlink" Target="https://www.pbo-dpb.gc.ca/web/default/files/Documents/Info%20Requests/2020/IR0469_Heritage_COVID-19_Measures_request_e_signed.pdf" TargetMode="External"/><Relationship Id="rId38" Type="http://schemas.openxmlformats.org/officeDocument/2006/relationships/hyperlink" Target="https://www.pbo-dpb.gc.ca/web/default/files/Documents/Info%20Requests/2020/IR0456_AAFC_COVID-19_Allocations_request_e_signed.pdf" TargetMode="External"/><Relationship Id="rId59" Type="http://schemas.openxmlformats.org/officeDocument/2006/relationships/hyperlink" Target="https://www.pbo-dpb.gc.ca/web/default/files/Documents/Info%20Requests/2020/IR0523_ISC_COVID19_update_2_request_e.pdf" TargetMode="External"/><Relationship Id="rId103" Type="http://schemas.openxmlformats.org/officeDocument/2006/relationships/hyperlink" Target="https://www.pbo-dpb.gc.ca/web/default/files/Documents/Info%20Requests/2021/IR0580_ESDC_Fam_COVID_Benefits_request_e.pdf" TargetMode="External"/><Relationship Id="rId108" Type="http://schemas.openxmlformats.org/officeDocument/2006/relationships/hyperlink" Target="https://www.pbo-dpb.gc.ca/web/default/files/Documents/Info%20Requests/2020/IR0523_ISC_COVID19_update_2_request_e.pdf" TargetMode="External"/><Relationship Id="rId124" Type="http://schemas.openxmlformats.org/officeDocument/2006/relationships/hyperlink" Target="https://www.ourcommons.ca/content/Committee/432/OGGO/WebDoc/WD11193033/432_OGGO_Mar10-Motion/TreasuryBoardSecretariat-e.pdf" TargetMode="External"/><Relationship Id="rId129" Type="http://schemas.openxmlformats.org/officeDocument/2006/relationships/hyperlink" Target="https://www.ourcommons.ca/content/Committee/432/OGGO/WebDoc/WD11193033/432_OGGO_Mar10-Motion/TreasuryBoardSecretariat-e.pdf" TargetMode="External"/><Relationship Id="rId54" Type="http://schemas.openxmlformats.org/officeDocument/2006/relationships/hyperlink" Target="https://www.pbo-dpb.gc.ca/web/default/files/Documents/Info%20Requests/2020/IR0456_AAFC_COVID-19_Allocations_request_e_signed.pdf" TargetMode="External"/><Relationship Id="rId70" Type="http://schemas.openxmlformats.org/officeDocument/2006/relationships/hyperlink" Target="https://www.pbo-dpb.gc.ca/web/default/files/Documents/Info%20Requests/2020/IR0558_Heritage_COVID-19_Support_request_e.pdf" TargetMode="External"/><Relationship Id="rId75" Type="http://schemas.openxmlformats.org/officeDocument/2006/relationships/hyperlink" Target="https://www.pbo-dpb.gc.ca/web/default/files/Documents/Info%20Requests/2020/IR0468_HC_COVID-19_Measures_request_e_signed.pdf" TargetMode="External"/><Relationship Id="rId91" Type="http://schemas.openxmlformats.org/officeDocument/2006/relationships/hyperlink" Target="https://ceba-cuec.ca/" TargetMode="External"/><Relationship Id="rId96" Type="http://schemas.openxmlformats.org/officeDocument/2006/relationships/hyperlink" Target="https://www.pbo-dpb.gc.ca/web/default/files/Documents/Info%20Requests/2021/IR0579_ESDC_COVID_Temp-EI_request_e.pdf" TargetMode="External"/><Relationship Id="rId140" Type="http://schemas.openxmlformats.org/officeDocument/2006/relationships/hyperlink" Target="https://www.ourcommons.ca/content/Committee/432/OGGO/WebDoc/WD11193033/432_OGGO_Mar10-Motion/TreasuryBoardSecretariat-e.pdf" TargetMode="External"/><Relationship Id="rId145" Type="http://schemas.openxmlformats.org/officeDocument/2006/relationships/hyperlink" Target="https://www.ourcommons.ca/content/Committee/432/OGGO/WebDoc/WD11193033/432_OGGO_Mar10-Motion/TreasuryBoardSecretariat-e.pdf" TargetMode="External"/><Relationship Id="rId161" Type="http://schemas.openxmlformats.org/officeDocument/2006/relationships/hyperlink" Target="https://www.ourcommons.ca/content/Committee/432/OGGO/WebDoc/WD11193033/432_OGGO_Mar10-Motion/TreasuryBoardSecretariat-e.pdf" TargetMode="External"/><Relationship Id="rId166" Type="http://schemas.openxmlformats.org/officeDocument/2006/relationships/hyperlink" Target="https://www.ourcommons.ca/content/Committee/432/OGGO/WebDoc/WD11193033/432_OGGO_Mar10-Motion/TreasuryBoardSecretariat-e.pdf" TargetMode="External"/><Relationship Id="rId1" Type="http://schemas.openxmlformats.org/officeDocument/2006/relationships/hyperlink" Target="https://www.pbo-dpb.gc.ca/web/default/files/Documents/Info%20Requests/2020/IR0464_CRTC_COVID-19_Measures_request_e_signed.pdf" TargetMode="External"/><Relationship Id="rId6" Type="http://schemas.openxmlformats.org/officeDocument/2006/relationships/hyperlink" Target="https://www.canada.ca/en/revenue-agency/services/subsidy/emergency-wage-subsidy/cews-statistics.html" TargetMode="External"/><Relationship Id="rId15" Type="http://schemas.openxmlformats.org/officeDocument/2006/relationships/hyperlink" Target="https://www.pbo-dpb.gc.ca/web/default/files/Documents/Info%20Requests/2020/IR0517_CRA_COVID19_followup_request_e.pdf" TargetMode="External"/><Relationship Id="rId23" Type="http://schemas.openxmlformats.org/officeDocument/2006/relationships/hyperlink" Target="https://www.pbo-dpb.gc.ca/web/default/files/Documents/Info%20Requests/2020/IR0524_ISED_COVID19_update_2_request_e.pdf" TargetMode="External"/><Relationship Id="rId28" Type="http://schemas.openxmlformats.org/officeDocument/2006/relationships/hyperlink" Target="https://www.pbo-dpb.gc.ca/web/default/files/Documents/Info%20Requests/2020/IR0528_PHAC_COVID19_update_request_e.pdf" TargetMode="External"/><Relationship Id="rId36" Type="http://schemas.openxmlformats.org/officeDocument/2006/relationships/hyperlink" Target="https://www.pbo-dpb.gc.ca/web/default/files/Documents/Info%20Requests/2020/IR0494_FIN_COVID-19_Measures_request_e.pdf" TargetMode="External"/><Relationship Id="rId49" Type="http://schemas.openxmlformats.org/officeDocument/2006/relationships/hyperlink" Target="https://www.pbo-dpb.gc.ca/web/default/files/Documents/Info%20Requests/2020/IR0547_CRA_RRIF_request_e.pdf" TargetMode="External"/><Relationship Id="rId57" Type="http://schemas.openxmlformats.org/officeDocument/2006/relationships/hyperlink" Target="https://www.pbo-dpb.gc.ca/web/default/files/Documents/Info%20Requests/2020/IR0516_CMHC_COVID19_update_2_request_e.pdf" TargetMode="External"/><Relationship Id="rId106" Type="http://schemas.openxmlformats.org/officeDocument/2006/relationships/hyperlink" Target="https://www.pbo-dpb.gc.ca/web/default/files/Documents/Info%20Requests/2021/IR0582_Justice_COVID_Measures_request_e.pdf" TargetMode="External"/><Relationship Id="rId114" Type="http://schemas.openxmlformats.org/officeDocument/2006/relationships/hyperlink" Target="https://www.ourcommons.ca/content/Committee/432/OGGO/WebDoc/WD11193033/432_OGGO_Mar10-Motion/TreasuryBoardSecretariat-e.pdf" TargetMode="External"/><Relationship Id="rId119" Type="http://schemas.openxmlformats.org/officeDocument/2006/relationships/hyperlink" Target="https://www.ourcommons.ca/content/Committee/432/OGGO/WebDoc/WD11193033/432_OGGO_Mar10-Motion/TreasuryBoardSecretariat-e.pdf" TargetMode="External"/><Relationship Id="rId127" Type="http://schemas.openxmlformats.org/officeDocument/2006/relationships/hyperlink" Target="https://www.ourcommons.ca/content/Committee/432/OGGO/WebDoc/WD11193033/432_OGGO_Mar10-Motion/TreasuryBoardSecretariat-e.pdf" TargetMode="External"/><Relationship Id="rId10" Type="http://schemas.openxmlformats.org/officeDocument/2006/relationships/hyperlink" Target="https://www.canada.ca/en/revenue-agency/services/benefits/recovery-caregiving-benefit/crcb-statistics.html" TargetMode="External"/><Relationship Id="rId31" Type="http://schemas.openxmlformats.org/officeDocument/2006/relationships/hyperlink" Target="https://www.pbo-dpb.gc.ca/web/default/files/Documents/Info%20Requests/2020/IR0549_ESDC_COVID-19_Measures_Q_request_e.pdf" TargetMode="External"/><Relationship Id="rId44" Type="http://schemas.openxmlformats.org/officeDocument/2006/relationships/hyperlink" Target="https://www.pbo-dpb.gc.ca/web/default/files/Documents/Info%20Requests/2020/IR0482_FOC_COVID-19_ltr_e.pdf" TargetMode="External"/><Relationship Id="rId52" Type="http://schemas.openxmlformats.org/officeDocument/2006/relationships/hyperlink" Target="https://www.pbo-dpb.gc.ca/web/default/files/Documents/Info%20Requests/2020/IR0518_ESDC_COVIID19_update_request_e.pdf" TargetMode="External"/><Relationship Id="rId60" Type="http://schemas.openxmlformats.org/officeDocument/2006/relationships/hyperlink" Target="https://www.pbo-dpb.gc.ca/web/default/files/Documents/Info%20Requests/2020/IR0524_ISED_COVID19_update_2_request_e.pdf" TargetMode="External"/><Relationship Id="rId65" Type="http://schemas.openxmlformats.org/officeDocument/2006/relationships/hyperlink" Target="https://www.pbo-dpb.gc.ca/web/default/files/Documents/Info%20Requests/2020/IR0522_ISEDC_Granting_Councils_COVID19_request_e.pdf" TargetMode="External"/><Relationship Id="rId73" Type="http://schemas.openxmlformats.org/officeDocument/2006/relationships/hyperlink" Target="https://www.pbo-dpb.gc.ca/web/default/files/Documents/Info%20Requests/2020/IR0549_ESDC_COVID-19_Measures_Q_request_e.pdf" TargetMode="External"/><Relationship Id="rId78" Type="http://schemas.openxmlformats.org/officeDocument/2006/relationships/hyperlink" Target="https://www.pbo-dpb.gc.ca/web/default/files/Documents/Info%20Requests/2020/IR0456_AAFC_COVID-19_Allocations_request_e_signed.pdf" TargetMode="External"/><Relationship Id="rId81" Type="http://schemas.openxmlformats.org/officeDocument/2006/relationships/hyperlink" Target="https://www.pbo-dpb.gc.ca/web/default/files/Documents/Info%20Requests/2020/IR0475_WAGE_COVID-19_Measures_request_e_signed.pdf" TargetMode="External"/><Relationship Id="rId86" Type="http://schemas.openxmlformats.org/officeDocument/2006/relationships/hyperlink" Target="https://www.pbo-dpb.gc.ca/web/default/files/Documents/Info%20Requests/2020/IR0552_NRcan_COVID-19_Measures_request_e.pdf" TargetMode="External"/><Relationship Id="rId94" Type="http://schemas.openxmlformats.org/officeDocument/2006/relationships/hyperlink" Target="https://www.pbo-dpb.gc.ca/web/default/files/Documents/Info%20Requests/2020/IR0524_ISED_COVID19_update_2_request_e.pdf" TargetMode="External"/><Relationship Id="rId99" Type="http://schemas.openxmlformats.org/officeDocument/2006/relationships/hyperlink" Target="https://www.pbo-dpb.gc.ca/web/default/files/Documents/Info%20Requests/2020/IR0560_VA_COVID-19_Measures_request_e.pdf" TargetMode="External"/><Relationship Id="rId101" Type="http://schemas.openxmlformats.org/officeDocument/2006/relationships/hyperlink" Target="https://www.pbo-dpb.gc.ca/web/default/files/Documents/Info%20Requests/2021/IR0583_NCC_COVID_Measures_request_e.pdf" TargetMode="External"/><Relationship Id="rId122" Type="http://schemas.openxmlformats.org/officeDocument/2006/relationships/hyperlink" Target="https://www.ourcommons.ca/content/Committee/432/OGGO/WebDoc/WD11193033/432_OGGO_Mar10-Motion/TreasuryBoardSecretariat-e.pdf" TargetMode="External"/><Relationship Id="rId130" Type="http://schemas.openxmlformats.org/officeDocument/2006/relationships/hyperlink" Target="https://www.ourcommons.ca/content/Committee/432/OGGO/WebDoc/WD11193033/432_OGGO_Mar10-Motion/TreasuryBoardSecretariat-e.pdf" TargetMode="External"/><Relationship Id="rId135" Type="http://schemas.openxmlformats.org/officeDocument/2006/relationships/hyperlink" Target="https://www.ourcommons.ca/content/Committee/432/OGGO/WebDoc/WD11193033/432_OGGO_Mar10-Motion/TreasuryBoardSecretariat-e.pdf" TargetMode="External"/><Relationship Id="rId143" Type="http://schemas.openxmlformats.org/officeDocument/2006/relationships/hyperlink" Target="https://www.ourcommons.ca/content/Committee/432/OGGO/WebDoc/WD11193033/432_OGGO_Mar10-Motion/TreasuryBoardSecretariat-e.pdf" TargetMode="External"/><Relationship Id="rId148" Type="http://schemas.openxmlformats.org/officeDocument/2006/relationships/hyperlink" Target="https://www.ourcommons.ca/content/Committee/432/OGGO/WebDoc/WD11193033/432_OGGO_Mar10-Motion/TreasuryBoardSecretariat-e.pdf" TargetMode="External"/><Relationship Id="rId151" Type="http://schemas.openxmlformats.org/officeDocument/2006/relationships/hyperlink" Target="https://www.ourcommons.ca/content/Committee/432/OGGO/WebDoc/WD11193033/432_OGGO_Mar10-Motion/TreasuryBoardSecretariat-e.pdf" TargetMode="External"/><Relationship Id="rId156" Type="http://schemas.openxmlformats.org/officeDocument/2006/relationships/hyperlink" Target="https://www.ourcommons.ca/content/Committee/432/OGGO/WebDoc/WD11193033/432_OGGO_Mar10-Motion/TreasuryBoardSecretariat-e.pdf" TargetMode="External"/><Relationship Id="rId164" Type="http://schemas.openxmlformats.org/officeDocument/2006/relationships/hyperlink" Target="https://www.ourcommons.ca/content/Committee/432/OGGO/WebDoc/WD11193033/432_OGGO_Mar10-Motion/TreasuryBoardSecretariat-e.pdf" TargetMode="External"/><Relationship Id="rId169" Type="http://schemas.openxmlformats.org/officeDocument/2006/relationships/hyperlink" Target="https://www.ourcommons.ca/content/Committee/432/OGGO/WebDoc/WD11193033/432_OGGO_Mar10-Motion/TreasuryBoardSecretariat-e.pdf" TargetMode="External"/><Relationship Id="rId4" Type="http://schemas.openxmlformats.org/officeDocument/2006/relationships/hyperlink" Target="https://www.pbo-dpb.gc.ca/web/default/files/Documents/Info%20Requests/2020/IR0471_ISED_COVID-19_Measures_request_e_signed.pdf" TargetMode="External"/><Relationship Id="rId9" Type="http://schemas.openxmlformats.org/officeDocument/2006/relationships/hyperlink" Target="https://www.canada.ca/en/revenue-agency/services/benefits/recovery-sickness-benefit/crsb-statistics.html" TargetMode="External"/><Relationship Id="rId172" Type="http://schemas.openxmlformats.org/officeDocument/2006/relationships/hyperlink" Target="https://www.ourcommons.ca/content/Committee/432/OGGO/WebDoc/WD11193033/432_OGGO_Mar10-Motion/TreasuryBoardSecretariat-e.pdf" TargetMode="External"/><Relationship Id="rId13" Type="http://schemas.openxmlformats.org/officeDocument/2006/relationships/hyperlink" Target="https://www.pbo-dpb.gc.ca/web/default/files/Documents/Info%20Requests/2020/IR0547_CRA_RRIF_request_e.pdf" TargetMode="External"/><Relationship Id="rId18" Type="http://schemas.openxmlformats.org/officeDocument/2006/relationships/hyperlink" Target="https://www.canada.ca/en/revenue-agency/services/benefits/emergency-student-benefit/cesb-statistics.html" TargetMode="External"/><Relationship Id="rId39" Type="http://schemas.openxmlformats.org/officeDocument/2006/relationships/hyperlink" Target="https://www.pbo-dpb.gc.ca/web/default/files/Documents/Info%20Requests/2020/IR0456_AAFC_COVID-19_Allocations_request_e_signed.pdf" TargetMode="External"/><Relationship Id="rId109" Type="http://schemas.openxmlformats.org/officeDocument/2006/relationships/hyperlink" Target="https://www.canada.ca/en/revenue-agency/services/subsidy/emergency-rent-subsidy/cers-statistics.html" TargetMode="External"/><Relationship Id="rId34" Type="http://schemas.openxmlformats.org/officeDocument/2006/relationships/hyperlink" Target="https://www.pbo-dpb.gc.ca/web/default/files/Documents/Info%20Requests/2020/IR0469_Heritage_COVID-19_Measures_request_e_signed.pdf" TargetMode="External"/><Relationship Id="rId50" Type="http://schemas.openxmlformats.org/officeDocument/2006/relationships/hyperlink" Target="https://www.pbo-dpb.gc.ca/web/default/files/Documents/Info%20Requests/2020/IR0517_CRA_COVID19_followup_request_e.pdf" TargetMode="External"/><Relationship Id="rId55" Type="http://schemas.openxmlformats.org/officeDocument/2006/relationships/hyperlink" Target="https://www.pbo-dpb.gc.ca/web/default/files/Documents/Info%20Requests/2020/IR0456_AAFC_COVID-19_Allocations_request_e_signed.pdf" TargetMode="External"/><Relationship Id="rId76" Type="http://schemas.openxmlformats.org/officeDocument/2006/relationships/hyperlink" Target="https://www.pbo-dpb.gc.ca/web/default/files/Documents/Info%20Requests/2020/IR0547_CRA_RRIF_request_e.pdf" TargetMode="External"/><Relationship Id="rId97" Type="http://schemas.openxmlformats.org/officeDocument/2006/relationships/hyperlink" Target="https://www.pbo-dpb.gc.ca/web/default/files/Documents/Info%20Requests/2020/IR0524_ISED_COVID19_update_2_request_e.pdf" TargetMode="External"/><Relationship Id="rId104" Type="http://schemas.openxmlformats.org/officeDocument/2006/relationships/hyperlink" Target="https://www.pbo-dpb.gc.ca/web/default/files/Documents/Info%20Requests/2021/IR0585_VIA_COVID_Funding_request_e.pdf" TargetMode="External"/><Relationship Id="rId120" Type="http://schemas.openxmlformats.org/officeDocument/2006/relationships/hyperlink" Target="https://www.ourcommons.ca/content/Committee/432/OGGO/WebDoc/WD11193033/432_OGGO_Mar10-Motion/TreasuryBoardSecretariat-e.pdf" TargetMode="External"/><Relationship Id="rId125" Type="http://schemas.openxmlformats.org/officeDocument/2006/relationships/hyperlink" Target="https://www.ourcommons.ca/content/Committee/432/OGGO/WebDoc/WD11193033/432_OGGO_Mar10-Motion/TreasuryBoardSecretariat-e.pdf" TargetMode="External"/><Relationship Id="rId141" Type="http://schemas.openxmlformats.org/officeDocument/2006/relationships/hyperlink" Target="https://www.ourcommons.ca/content/Committee/432/OGGO/WebDoc/WD11193033/432_OGGO_Mar10-Motion/TreasuryBoardSecretariat-e.pdf" TargetMode="External"/><Relationship Id="rId146" Type="http://schemas.openxmlformats.org/officeDocument/2006/relationships/hyperlink" Target="https://www.ourcommons.ca/content/Committee/432/OGGO/WebDoc/WD11193033/432_OGGO_Mar10-Motion/TreasuryBoardSecretariat-e.pdf" TargetMode="External"/><Relationship Id="rId167" Type="http://schemas.openxmlformats.org/officeDocument/2006/relationships/hyperlink" Target="https://www.ourcommons.ca/content/Committee/432/OGGO/WebDoc/WD11193033/432_OGGO_Mar10-Motion/TreasuryBoardSecretariat-e.pdf" TargetMode="External"/><Relationship Id="rId7" Type="http://schemas.openxmlformats.org/officeDocument/2006/relationships/hyperlink" Target="https://www.pbo-dpb.gc.ca/web/default/files/Documents/Info%20Requests/2020/IR0481_CRA_COVID-19_ltr_e.pdf" TargetMode="External"/><Relationship Id="rId71" Type="http://schemas.openxmlformats.org/officeDocument/2006/relationships/hyperlink" Target="https://www.pbo-dpb.gc.ca/web/default/files/Documents/Info%20Requests/2020/IR0561_SSC_COVID-19_Measures_request_e.pdf" TargetMode="External"/><Relationship Id="rId92" Type="http://schemas.openxmlformats.org/officeDocument/2006/relationships/hyperlink" Target="http://www.gazette.gc.ca/rp-pr/p2/2020/2020-10-14/html/sor-dors208-eng.html" TargetMode="External"/><Relationship Id="rId162" Type="http://schemas.openxmlformats.org/officeDocument/2006/relationships/hyperlink" Target="https://www.ourcommons.ca/content/Committee/432/OGGO/WebDoc/WD11193033/432_OGGO_Mar10-Motion/TreasuryBoardSecretariat-e.pdf" TargetMode="External"/><Relationship Id="rId2" Type="http://schemas.openxmlformats.org/officeDocument/2006/relationships/hyperlink" Target="https://www.pbo-dpb.gc.ca/web/default/files/Documents/Info%20Requests/2020/IR0558_Heritage_COVID-19_Support_request_e.pdf" TargetMode="External"/><Relationship Id="rId29" Type="http://schemas.openxmlformats.org/officeDocument/2006/relationships/hyperlink" Target="https://www.pbo-dpb.gc.ca/web/default/files/Documents/Info%20Requests/2020/IR0550_FIN_COVID-19_Support_request_e.pdf" TargetMode="External"/><Relationship Id="rId24" Type="http://schemas.openxmlformats.org/officeDocument/2006/relationships/hyperlink" Target="https://www.pbo-dpb.gc.ca/web/default/files/Documents/Info%20Requests/2020/IR0516_CMHC_COVID19_update_2_request_e.pdf" TargetMode="External"/><Relationship Id="rId40" Type="http://schemas.openxmlformats.org/officeDocument/2006/relationships/hyperlink" Target="https://www.pbo-dpb.gc.ca/web/default/files/Documents/Info%20Requests/2020/IR0539_ISED_COVID-19_Funding_request_e.pdf" TargetMode="External"/><Relationship Id="rId45" Type="http://schemas.openxmlformats.org/officeDocument/2006/relationships/hyperlink" Target="https://www.pbo-dpb.gc.ca/web/default/files/Documents/Info%20Requests/2020/IR0522_ISEDC_Granting_Councils_COVID19_request_e.pdf" TargetMode="External"/><Relationship Id="rId66" Type="http://schemas.openxmlformats.org/officeDocument/2006/relationships/hyperlink" Target="https://www.pbo-dpb.gc.ca/web/default/files/Documents/Info%20Requests/2020/IR0530_CIHR_granting_COVID-19_request_e.pdf" TargetMode="External"/><Relationship Id="rId87" Type="http://schemas.openxmlformats.org/officeDocument/2006/relationships/hyperlink" Target="https://www.pbo-dpb.gc.ca/web/default/files/Documents/Info%20Requests/2020/IR0524_ISED_COVID19_update_2_request_e.pdf" TargetMode="External"/><Relationship Id="rId110" Type="http://schemas.openxmlformats.org/officeDocument/2006/relationships/hyperlink" Target="https://www.pbo-dpb.gc.ca/web/default/files/Documents/Info%20Requests/2020/IR0524_ISED_COVID19_update_2_request_e.pdf" TargetMode="External"/><Relationship Id="rId115" Type="http://schemas.openxmlformats.org/officeDocument/2006/relationships/hyperlink" Target="https://www.ourcommons.ca/content/Committee/432/OGGO/WebDoc/WD11193033/432_OGGO_Mar10-Motion/TreasuryBoardSecretariat-e.pdf" TargetMode="External"/><Relationship Id="rId131" Type="http://schemas.openxmlformats.org/officeDocument/2006/relationships/hyperlink" Target="https://www.ourcommons.ca/content/Committee/432/OGGO/WebDoc/WD11193033/432_OGGO_Mar10-Motion/TreasuryBoardSecretariat-e.pdf" TargetMode="External"/><Relationship Id="rId136" Type="http://schemas.openxmlformats.org/officeDocument/2006/relationships/hyperlink" Target="https://www.ourcommons.ca/content/Committee/432/OGGO/WebDoc/WD11193033/432_OGGO_Mar10-Motion/TreasuryBoardSecretariat-e.pdf" TargetMode="External"/><Relationship Id="rId157" Type="http://schemas.openxmlformats.org/officeDocument/2006/relationships/hyperlink" Target="https://www.ourcommons.ca/content/Committee/432/OGGO/WebDoc/WD11193033/432_OGGO_Mar10-Motion/TreasuryBoardSecretariat-e.pdf" TargetMode="External"/><Relationship Id="rId61" Type="http://schemas.openxmlformats.org/officeDocument/2006/relationships/hyperlink" Target="https://www.pbo-dpb.gc.ca/web/default/files/Documents/Info%20Requests/2020/IR0524_ISED_COVID19_update_2_request_e.pdf" TargetMode="External"/><Relationship Id="rId82" Type="http://schemas.openxmlformats.org/officeDocument/2006/relationships/hyperlink" Target="https://www.pbo-dpb.gc.ca/web/default/files/Documents/Info%20Requests/2020/IR0523_ISC_COVID19_update_2_request_e.pdf" TargetMode="External"/><Relationship Id="rId152" Type="http://schemas.openxmlformats.org/officeDocument/2006/relationships/hyperlink" Target="https://www.ourcommons.ca/content/Committee/432/OGGO/WebDoc/WD11193033/432_OGGO_Mar10-Motion/TreasuryBoardSecretariat-e.pdf" TargetMode="External"/><Relationship Id="rId173" Type="http://schemas.openxmlformats.org/officeDocument/2006/relationships/printerSettings" Target="../printerSettings/printerSettings3.bin"/><Relationship Id="rId19" Type="http://schemas.openxmlformats.org/officeDocument/2006/relationships/hyperlink" Target="https://www.pbo-dpb.gc.ca/web/default/files/Documents/Info%20Requests/2020/IR0480_CMHC_COVID-19_ltr_e.pdf" TargetMode="External"/><Relationship Id="rId14" Type="http://schemas.openxmlformats.org/officeDocument/2006/relationships/hyperlink" Target="https://www.pbo-dpb.gc.ca/web/default/files/Documents/Info%20Requests/2020/IR0550_FIN_COVID-19_Support_request_e.pdf" TargetMode="External"/><Relationship Id="rId30" Type="http://schemas.openxmlformats.org/officeDocument/2006/relationships/hyperlink" Target="https://www.pbo-dpb.gc.ca/web/default/files/Documents/Info%20Requests/2020/IR0551_HC_COVID-19_Measures_request_e.pdf" TargetMode="External"/><Relationship Id="rId35" Type="http://schemas.openxmlformats.org/officeDocument/2006/relationships/hyperlink" Target="https://www.pbo-dpb.gc.ca/web/default/files/Documents/Info%20Requests/2020/IR0494_FIN_COVID-19_Measures_request_e.pdf" TargetMode="External"/><Relationship Id="rId56" Type="http://schemas.openxmlformats.org/officeDocument/2006/relationships/hyperlink" Target="https://www.pbo-dpb.gc.ca/web/default/files/Documents/Info%20Requests/2020/IR0516_CMHC_COVID19_update_2_request_e.pdf" TargetMode="External"/><Relationship Id="rId77" Type="http://schemas.openxmlformats.org/officeDocument/2006/relationships/hyperlink" Target="https://www.pbo-dpb.gc.ca/web/default/files/Documents/Info%20Requests/2020/IR0560_VA_COVID-19_Measures_request_e.pdf" TargetMode="External"/><Relationship Id="rId100" Type="http://schemas.openxmlformats.org/officeDocument/2006/relationships/hyperlink" Target="https://www.pbo-dpb.gc.ca/web/default/files/Documents/Info%20Requests/2021/IR0578_Corr-Serv_COVID_Measures_request_e.pdf" TargetMode="External"/><Relationship Id="rId105" Type="http://schemas.openxmlformats.org/officeDocument/2006/relationships/hyperlink" Target="https://www.pbo-dpb.gc.ca/web/default/files/Documents/Info%20Requests/2021/IR0582_Justice_COVID_Measures_request_e.pdf" TargetMode="External"/><Relationship Id="rId126" Type="http://schemas.openxmlformats.org/officeDocument/2006/relationships/hyperlink" Target="https://www.ourcommons.ca/content/Committee/432/OGGO/WebDoc/WD11193033/432_OGGO_Mar10-Motion/TreasuryBoardSecretariat-e.pdf" TargetMode="External"/><Relationship Id="rId147" Type="http://schemas.openxmlformats.org/officeDocument/2006/relationships/hyperlink" Target="https://www.ourcommons.ca/content/Committee/432/OGGO/WebDoc/WD11193033/432_OGGO_Mar10-Motion/TreasuryBoardSecretariat-e.pdf" TargetMode="External"/><Relationship Id="rId168" Type="http://schemas.openxmlformats.org/officeDocument/2006/relationships/hyperlink" Target="https://www.ourcommons.ca/content/Committee/432/OGGO/WebDoc/WD11193033/432_OGGO_Mar10-Motion/TreasuryBoardSecretariat-e.pdf" TargetMode="External"/><Relationship Id="rId8" Type="http://schemas.openxmlformats.org/officeDocument/2006/relationships/hyperlink" Target="https://www.canada.ca/en/revenue-agency/services/benefits/recovery-benefit/crb-statistics.html" TargetMode="External"/><Relationship Id="rId51" Type="http://schemas.openxmlformats.org/officeDocument/2006/relationships/hyperlink" Target="https://www.pbo-dpb.gc.ca/web/default/files/Documents/Info%20Requests/2020/IR0517_CRA_COVID19_followup_request_e.pdf" TargetMode="External"/><Relationship Id="rId72" Type="http://schemas.openxmlformats.org/officeDocument/2006/relationships/hyperlink" Target="https://www.pbo-dpb.gc.ca/web/default/files/Documents/Info%20Requests/2020/IR0549_ESDC_COVID-19_Measures_Q_request_e.pdf" TargetMode="External"/><Relationship Id="rId93" Type="http://schemas.openxmlformats.org/officeDocument/2006/relationships/hyperlink" Target="https://www.pbo-dpb.gc.ca/web/default/files/Documents/Info%20Requests/2020/IR0524_ISED_COVID19_update_2_request_e.pdf" TargetMode="External"/><Relationship Id="rId98" Type="http://schemas.openxmlformats.org/officeDocument/2006/relationships/hyperlink" Target="https://www.pbo-dpb.gc.ca/web/default/files/Documents/Info%20Requests/2020/IR0550_FIN_COVID-19_Support_request_e.pdf" TargetMode="External"/><Relationship Id="rId121" Type="http://schemas.openxmlformats.org/officeDocument/2006/relationships/hyperlink" Target="https://www.ourcommons.ca/content/Committee/432/OGGO/WebDoc/WD11193033/432_OGGO_Mar10-Motion/TreasuryBoardSecretariat-e.pdf" TargetMode="External"/><Relationship Id="rId142" Type="http://schemas.openxmlformats.org/officeDocument/2006/relationships/hyperlink" Target="https://www.ourcommons.ca/content/Committee/432/OGGO/WebDoc/WD11193033/432_OGGO_Mar10-Motion/TreasuryBoardSecretariat-e.pdf" TargetMode="External"/><Relationship Id="rId163" Type="http://schemas.openxmlformats.org/officeDocument/2006/relationships/hyperlink" Target="https://www.ourcommons.ca/content/Committee/432/OGGO/WebDoc/WD11193033/432_OGGO_Mar10-Motion/TreasuryBoardSecretariat-e.pdf" TargetMode="External"/><Relationship Id="rId3" Type="http://schemas.openxmlformats.org/officeDocument/2006/relationships/hyperlink" Target="https://www.pbo-dpb.gc.ca/web/default/files/Documents/Info%20Requests/2020/IR0474_TC_COVID-19_Measures_request_e_signed.pdf" TargetMode="External"/><Relationship Id="rId25" Type="http://schemas.openxmlformats.org/officeDocument/2006/relationships/hyperlink" Target="https://www.pbo-dpb.gc.ca/web/default/files/Documents/Info%20Requests/2020/IR0521_Finance_Canada_COVID19_update_request_e.pdf" TargetMode="External"/><Relationship Id="rId46" Type="http://schemas.openxmlformats.org/officeDocument/2006/relationships/hyperlink" Target="https://www.pbo-dpb.gc.ca/web/default/files/Documents/Info%20Requests/2020/IR0519_TC_Fed-Bridge-corp_COVID-19_request_e.pdf" TargetMode="External"/><Relationship Id="rId67" Type="http://schemas.openxmlformats.org/officeDocument/2006/relationships/hyperlink" Target="https://www.pbo-dpb.gc.ca/web/default/files/Documents/Info%20Requests/2020/IR0552_NRcan_COVID-19_Measures_request_e.pdf" TargetMode="External"/><Relationship Id="rId116" Type="http://schemas.openxmlformats.org/officeDocument/2006/relationships/hyperlink" Target="https://www.ourcommons.ca/content/Committee/432/OGGO/WebDoc/WD11193033/432_OGGO_Mar10-Motion/TreasuryBoardSecretariat-e.pdf" TargetMode="External"/><Relationship Id="rId137" Type="http://schemas.openxmlformats.org/officeDocument/2006/relationships/hyperlink" Target="https://www.ourcommons.ca/content/Committee/432/OGGO/WebDoc/WD11193033/432_OGGO_Mar10-Motion/TreasuryBoardSecretariat-e.pdf" TargetMode="External"/><Relationship Id="rId158" Type="http://schemas.openxmlformats.org/officeDocument/2006/relationships/hyperlink" Target="https://www.ourcommons.ca/content/Committee/432/OGGO/WebDoc/WD11193033/432_OGGO_Mar10-Motion/TreasuryBoardSecretariat-e.pdf" TargetMode="External"/><Relationship Id="rId20" Type="http://schemas.openxmlformats.org/officeDocument/2006/relationships/hyperlink" Target="https://www.pbo-dpb.gc.ca/web/default/files/Documents/Info%20Requests/2020/IR0523_ISC_COVID19_update_2_request_e.pdf" TargetMode="External"/><Relationship Id="rId41" Type="http://schemas.openxmlformats.org/officeDocument/2006/relationships/hyperlink" Target="https://www.pbo-dpb.gc.ca/web/default/files/Documents/Info%20Requests/2020/IR0539_ISED_COVID-19_Funding_request_e.pdf" TargetMode="External"/><Relationship Id="rId62" Type="http://schemas.openxmlformats.org/officeDocument/2006/relationships/hyperlink" Target="https://www.pbo-dpb.gc.ca/web/default/files/Documents/Info%20Requests/2020/IR0526_NRCCan_COVID19_update_2_request_e.pdf" TargetMode="External"/><Relationship Id="rId83" Type="http://schemas.openxmlformats.org/officeDocument/2006/relationships/hyperlink" Target="https://www.pbo-dpb.gc.ca/web/default/files/Documents/Info%20Requests/2020/IR0523_ISC_COVID19_update_2_request_e.pdf" TargetMode="External"/><Relationship Id="rId88" Type="http://schemas.openxmlformats.org/officeDocument/2006/relationships/hyperlink" Target="https://www.pbo-dpb.gc.ca/web/default/files/Documents/Info%20Requests/2020/IR0492_ECC_COVID-19_Measures_request_e.pdf" TargetMode="External"/><Relationship Id="rId111" Type="http://schemas.openxmlformats.org/officeDocument/2006/relationships/hyperlink" Target="https://www.pbo-dpb.gc.ca/web/default/files/Documents/Info%20Requests/2020/IR0523_ISC_COVID19_update_2_request_e.pdf" TargetMode="External"/><Relationship Id="rId132" Type="http://schemas.openxmlformats.org/officeDocument/2006/relationships/hyperlink" Target="https://www.ourcommons.ca/content/Committee/432/OGGO/WebDoc/WD11193033/432_OGGO_Mar10-Motion/TreasuryBoardSecretariat-e.pdf" TargetMode="External"/><Relationship Id="rId153" Type="http://schemas.openxmlformats.org/officeDocument/2006/relationships/hyperlink" Target="https://www.ourcommons.ca/content/Committee/432/OGGO/WebDoc/WD11193033/432_OGGO_Mar10-Motion/TreasuryBoardSecretariat-e.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79_CDIC_COVID-19_ltr_e.pdf" TargetMode="External"/><Relationship Id="rId13" Type="http://schemas.openxmlformats.org/officeDocument/2006/relationships/hyperlink" Target="https://ceba-cuec.ca/" TargetMode="External"/><Relationship Id="rId3" Type="http://schemas.openxmlformats.org/officeDocument/2006/relationships/hyperlink" Target="https://www.pbo-dpb.gc.ca/web/default/files/Documents/Info%20Requests/2020/IR0480_CMHC_COVID-19_ltr_e.pdf" TargetMode="External"/><Relationship Id="rId7" Type="http://schemas.openxmlformats.org/officeDocument/2006/relationships/hyperlink" Target="https://www.ceefc-cfuec.ca/approved-loans/" TargetMode="External"/><Relationship Id="rId12"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65_EDC_COVID-19%20Measures_request_e_signed.pdf" TargetMode="External"/><Relationship Id="rId1" Type="http://schemas.openxmlformats.org/officeDocument/2006/relationships/hyperlink" Target="https://www.pbo-dpb.gc.ca/web/default/files/Documents/Info%20Requests/2020/IR0465_EDC_COVID-19%20Measures_request_e_signed.pdf" TargetMode="External"/><Relationship Id="rId6" Type="http://schemas.openxmlformats.org/officeDocument/2006/relationships/hyperlink" Target="https://www.pbo-dpb.gc.ca/web/default/files/Documents/Info%20Requests/2020/IR0466_FCC_COVID-19_Measures_request_e_signed.pdf" TargetMode="External"/><Relationship Id="rId11" Type="http://schemas.openxmlformats.org/officeDocument/2006/relationships/hyperlink" Target="https://www.cmhc-schl.gc.ca/en/finance-and-investing/insured-mortgage-purchase-program" TargetMode="External"/><Relationship Id="rId5" Type="http://schemas.openxmlformats.org/officeDocument/2006/relationships/hyperlink" Target="https://www.pbo-dpb.gc.ca/web/default/files/Documents/Info%20Requests/2020/IR0457_BDC_COVID-19_Measures_request_e_signed.pdf" TargetMode="External"/><Relationship Id="rId10" Type="http://schemas.openxmlformats.org/officeDocument/2006/relationships/hyperlink" Target="https://www.pbo-dpb.gc.ca/web/default/files/Documents/Info%20Requests/2020/IR0465_EDC_COVID-19%20Measures_request_e_signed.pdf" TargetMode="External"/><Relationship Id="rId4" Type="http://schemas.openxmlformats.org/officeDocument/2006/relationships/hyperlink" Target="https://www.pbo-dpb.gc.ca/web/default/files/Documents/Info%20Requests/2020/IR0457_BDC_COVID-19_Measures_request_e_signed.pdf" TargetMode="External"/><Relationship Id="rId9" Type="http://schemas.openxmlformats.org/officeDocument/2006/relationships/hyperlink" Target="https://www.pbo-dpb.gc.ca/web/default/files/Documents/Info%20Requests/2020/IR0456_AAFC_COVID-19_Allocations_request_e_signed.pdf"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3_ISC_COVID19_update_2_request_e.pdf" TargetMode="External"/><Relationship Id="rId13" Type="http://schemas.openxmlformats.org/officeDocument/2006/relationships/hyperlink" Target="https://search.open.canada.ca/en/gc/?sort=score%20desc&amp;page=1&amp;search_text=new%20horizons%20seniors&amp;gc-search-orgs=Employment%20and%20Social%20Development%20Canada" TargetMode="External"/><Relationship Id="rId18" Type="http://schemas.openxmlformats.org/officeDocument/2006/relationships/hyperlink" Target="https://www.pbo-dpb.gc.ca/web/default/files/Documents/Info%20Requests/2020/IR0530_CIHR_granting_COVID-19_request_e.pdf" TargetMode="External"/><Relationship Id="rId3" Type="http://schemas.openxmlformats.org/officeDocument/2006/relationships/hyperlink" Target="https://www.pbo-dpb.gc.ca/web/default/files/Documents/Info%20Requests/2020/IR0526_NRCCan_COVID19_update_2_request_e.pdf" TargetMode="External"/><Relationship Id="rId21" Type="http://schemas.openxmlformats.org/officeDocument/2006/relationships/hyperlink" Target="https://www.pbo-dpb.gc.ca/web/default/files/Documents/Info%20Requests/2020/IR0526_NRCCan_COVID19_update_2_request_e.pdf" TargetMode="External"/><Relationship Id="rId7" Type="http://schemas.openxmlformats.org/officeDocument/2006/relationships/hyperlink" Target="https://www.pbo-dpb.gc.ca/web/default/files/Documents/Info%20Requests/2020/IR0524_ISED_COVID19_update_2_request_e.pdf" TargetMode="External"/><Relationship Id="rId12" Type="http://schemas.openxmlformats.org/officeDocument/2006/relationships/hyperlink" Target="https://www.pbo-dpb.gc.ca/web/default/files/Documents/Info%20Requests/2020/IR0564_ESDC_COVID-19_Measures_T_request_e.pdf" TargetMode="External"/><Relationship Id="rId17" Type="http://schemas.openxmlformats.org/officeDocument/2006/relationships/hyperlink" Target="http://gazette.gc.ca/rp-pr/p2/2020/2020-08-19/html/sor-dors173-eng.html" TargetMode="External"/><Relationship Id="rId25" Type="http://schemas.openxmlformats.org/officeDocument/2006/relationships/printerSettings" Target="../printerSettings/printerSettings5.bin"/><Relationship Id="rId2" Type="http://schemas.openxmlformats.org/officeDocument/2006/relationships/hyperlink" Target="https://www.pbo-dpb.gc.ca/web/default/files/Documents/Info%20Requests/2020/IR0522_ISEDC_Granting_Councils_COVID19_request_e.pdf" TargetMode="External"/><Relationship Id="rId16" Type="http://schemas.openxmlformats.org/officeDocument/2006/relationships/hyperlink" Target="https://www.pbo-dpb.gc.ca/web/default/files/Documents/Info%20Requests/2020/IR0524_ISED_COVID19_update_2_request_e.pdf" TargetMode="External"/><Relationship Id="rId20" Type="http://schemas.openxmlformats.org/officeDocument/2006/relationships/hyperlink" Target="https://www.pbo-dpb.gc.ca/web/default/files/Documents/Info%20Requests/2020/IR0526_NRCCan_COVID19_update_2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62_CCOHS_COVID-19_Measures_request_e.pdf" TargetMode="External"/><Relationship Id="rId24" Type="http://schemas.openxmlformats.org/officeDocument/2006/relationships/hyperlink" Target="https://www.pbo-dpb.gc.ca/web/default/files/Documents/Info%20Requests/2020/IR0561_SSC_COVID-19_Measures_request_e.pdf" TargetMode="External"/><Relationship Id="rId5" Type="http://schemas.openxmlformats.org/officeDocument/2006/relationships/hyperlink" Target="https://www.pbo-dpb.gc.ca/web/default/files/Documents/Info%20Requests/2020/IR0519_TC_Fed-Bridge-corp_COVID-19_request_e.pdf" TargetMode="External"/><Relationship Id="rId15" Type="http://schemas.openxmlformats.org/officeDocument/2006/relationships/hyperlink" Target="https://www.canada.ca/en/employment-social-development/services/work-sharing/statistics.html" TargetMode="External"/><Relationship Id="rId23" Type="http://schemas.openxmlformats.org/officeDocument/2006/relationships/hyperlink" Target="https://www.pbo-dpb.gc.ca/web/default/files/Documents/Info%20Requests/2020/IR0523_ISC_COVID19_update_2_request_e.pdf" TargetMode="External"/><Relationship Id="rId10" Type="http://schemas.openxmlformats.org/officeDocument/2006/relationships/hyperlink" Target="https://www.pbo-dpb.gc.ca/web/default/files/Documents/Info%20Requests/2020/IR0561_SSC_COVID-19_Measures_request_e.pdf" TargetMode="External"/><Relationship Id="rId19" Type="http://schemas.openxmlformats.org/officeDocument/2006/relationships/hyperlink" Target="https://www.pbo-dpb.gc.ca/web/default/files/Documents/Info%20Requests/2020/IR0519_TC_Fed-Bridge-corp_COVID-19_request_e.pdf" TargetMode="External"/><Relationship Id="rId4" Type="http://schemas.openxmlformats.org/officeDocument/2006/relationships/hyperlink" Target="https://www.pbo-dpb.gc.ca/web/default/files/Documents/Info%20Requests/2020/IR0524_ISED_COVID19_update_2_request_e.pdf" TargetMode="External"/><Relationship Id="rId9" Type="http://schemas.openxmlformats.org/officeDocument/2006/relationships/hyperlink" Target="https://www.pbo-dpb.gc.ca/web/default/files/Documents/Info%20Requests/2020/IR0548_Des-Can_COVID-19_Measures_request_e.pdf" TargetMode="External"/><Relationship Id="rId14" Type="http://schemas.openxmlformats.org/officeDocument/2006/relationships/hyperlink" Target="https://www.pbo-dpb.gc.ca/web/default/files/Documents/Info%20Requests/2020/IR0483_ESDC_COVID-19_ltr_e.pdf" TargetMode="External"/><Relationship Id="rId22" Type="http://schemas.openxmlformats.org/officeDocument/2006/relationships/hyperlink" Target="https://www.pbo-dpb.gc.ca/web/default/files/Documents/Info%20Requests/2020/IR0524_ISED_COVID19_update_2_request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6C36-EE25-43D8-8250-29CBD7B14DB0}">
  <dimension ref="A1:B32"/>
  <sheetViews>
    <sheetView showGridLines="0" tabSelected="1" zoomScale="80" zoomScaleNormal="80" workbookViewId="0"/>
  </sheetViews>
  <sheetFormatPr defaultRowHeight="14.25" x14ac:dyDescent="0.45"/>
  <cols>
    <col min="1" max="1" width="31.265625" customWidth="1"/>
    <col min="2" max="2" width="28.1328125" customWidth="1"/>
  </cols>
  <sheetData>
    <row r="1" spans="1:1" ht="18" x14ac:dyDescent="0.55000000000000004">
      <c r="A1" s="14" t="s">
        <v>45</v>
      </c>
    </row>
    <row r="2" spans="1:1" x14ac:dyDescent="0.45">
      <c r="A2" t="s">
        <v>46</v>
      </c>
    </row>
    <row r="3" spans="1:1" x14ac:dyDescent="0.45">
      <c r="A3" t="s">
        <v>47</v>
      </c>
    </row>
    <row r="5" spans="1:1" ht="15.75" x14ac:dyDescent="0.5">
      <c r="A5" s="15" t="s">
        <v>48</v>
      </c>
    </row>
    <row r="6" spans="1:1" x14ac:dyDescent="0.45">
      <c r="A6" t="s">
        <v>49</v>
      </c>
    </row>
    <row r="7" spans="1:1" x14ac:dyDescent="0.45">
      <c r="A7" t="s">
        <v>387</v>
      </c>
    </row>
    <row r="8" spans="1:1" s="56" customFormat="1" x14ac:dyDescent="0.45">
      <c r="A8" s="56" t="s">
        <v>386</v>
      </c>
    </row>
    <row r="10" spans="1:1" ht="15.75" x14ac:dyDescent="0.5">
      <c r="A10" s="15" t="s">
        <v>50</v>
      </c>
    </row>
    <row r="11" spans="1:1" x14ac:dyDescent="0.45">
      <c r="A11" t="s">
        <v>349</v>
      </c>
    </row>
    <row r="12" spans="1:1" x14ac:dyDescent="0.45">
      <c r="A12" s="16" t="s">
        <v>0</v>
      </c>
    </row>
    <row r="13" spans="1:1" x14ac:dyDescent="0.45">
      <c r="A13" s="16" t="s">
        <v>51</v>
      </c>
    </row>
    <row r="14" spans="1:1" x14ac:dyDescent="0.45">
      <c r="A14" s="16" t="s">
        <v>52</v>
      </c>
    </row>
    <row r="15" spans="1:1" x14ac:dyDescent="0.45">
      <c r="A15" s="16" t="s">
        <v>53</v>
      </c>
    </row>
    <row r="16" spans="1:1" x14ac:dyDescent="0.45">
      <c r="A16" t="s">
        <v>350</v>
      </c>
    </row>
    <row r="17" spans="1:2" x14ac:dyDescent="0.45">
      <c r="A17" s="17" t="s">
        <v>351</v>
      </c>
    </row>
    <row r="19" spans="1:2" ht="15.75" x14ac:dyDescent="0.5">
      <c r="A19" s="15" t="s">
        <v>54</v>
      </c>
    </row>
    <row r="20" spans="1:2" x14ac:dyDescent="0.45">
      <c r="A20" s="18" t="s">
        <v>55</v>
      </c>
      <c r="B20" t="s">
        <v>56</v>
      </c>
    </row>
    <row r="21" spans="1:2" x14ac:dyDescent="0.45">
      <c r="A21" s="18" t="s">
        <v>57</v>
      </c>
      <c r="B21" t="s">
        <v>58</v>
      </c>
    </row>
    <row r="22" spans="1:2" x14ac:dyDescent="0.45">
      <c r="A22" s="18" t="s">
        <v>59</v>
      </c>
      <c r="B22" t="s">
        <v>402</v>
      </c>
    </row>
    <row r="23" spans="1:2" x14ac:dyDescent="0.45">
      <c r="A23" s="18" t="s">
        <v>60</v>
      </c>
      <c r="B23" t="s">
        <v>61</v>
      </c>
    </row>
    <row r="24" spans="1:2" x14ac:dyDescent="0.45">
      <c r="A24" s="18" t="s">
        <v>62</v>
      </c>
      <c r="B24" t="s">
        <v>63</v>
      </c>
    </row>
    <row r="25" spans="1:2" x14ac:dyDescent="0.45">
      <c r="A25" s="18" t="s">
        <v>404</v>
      </c>
      <c r="B25" t="s">
        <v>403</v>
      </c>
    </row>
    <row r="27" spans="1:2" ht="15.75" x14ac:dyDescent="0.5">
      <c r="A27" s="19" t="s">
        <v>64</v>
      </c>
    </row>
    <row r="28" spans="1:2" x14ac:dyDescent="0.45">
      <c r="A28" t="s">
        <v>357</v>
      </c>
    </row>
    <row r="29" spans="1:2" x14ac:dyDescent="0.45">
      <c r="A29" t="s">
        <v>65</v>
      </c>
    </row>
    <row r="30" spans="1:2" x14ac:dyDescent="0.45">
      <c r="A30" t="s">
        <v>66</v>
      </c>
    </row>
    <row r="31" spans="1:2" x14ac:dyDescent="0.45">
      <c r="A31" s="56" t="s">
        <v>425</v>
      </c>
    </row>
    <row r="32" spans="1:2" x14ac:dyDescent="0.45">
      <c r="A32" t="s">
        <v>564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87"/>
  <sheetViews>
    <sheetView showGridLines="0" zoomScale="70" zoomScaleNormal="70" workbookViewId="0"/>
  </sheetViews>
  <sheetFormatPr defaultRowHeight="14.25" x14ac:dyDescent="0.45"/>
  <cols>
    <col min="1" max="1" width="68.73046875" bestFit="1" customWidth="1"/>
    <col min="2" max="2" width="42.73046875" style="56" bestFit="1" customWidth="1"/>
    <col min="3" max="3" width="26.1328125" bestFit="1" customWidth="1"/>
    <col min="4" max="4" width="40.265625" customWidth="1"/>
    <col min="5" max="5" width="26.86328125" bestFit="1" customWidth="1"/>
    <col min="6" max="6" width="57.59765625" style="56" customWidth="1"/>
    <col min="7" max="7" width="35.265625" bestFit="1" customWidth="1"/>
    <col min="8" max="8" width="17" customWidth="1"/>
    <col min="9" max="9" width="13.73046875" bestFit="1" customWidth="1"/>
    <col min="10" max="10" width="20.86328125" customWidth="1"/>
    <col min="11" max="11" width="40.1328125" customWidth="1"/>
    <col min="12" max="12" width="20.1328125" customWidth="1"/>
  </cols>
  <sheetData>
    <row r="1" spans="1:12" x14ac:dyDescent="0.45">
      <c r="A1" s="2" t="s">
        <v>0</v>
      </c>
      <c r="B1" s="2"/>
    </row>
    <row r="2" spans="1:12" ht="14.65" thickBot="1" x14ac:dyDescent="0.5">
      <c r="A2" s="1"/>
      <c r="B2" s="1"/>
    </row>
    <row r="3" spans="1:12" ht="15.75" x14ac:dyDescent="0.45">
      <c r="A3" s="3" t="s">
        <v>0</v>
      </c>
      <c r="B3" s="77" t="s">
        <v>392</v>
      </c>
      <c r="C3" s="4" t="s">
        <v>428</v>
      </c>
      <c r="D3" s="4" t="s">
        <v>1</v>
      </c>
      <c r="E3" s="4" t="s">
        <v>2</v>
      </c>
      <c r="F3" s="30" t="s">
        <v>348</v>
      </c>
      <c r="G3" s="4" t="s">
        <v>3</v>
      </c>
      <c r="H3" s="5" t="s">
        <v>4</v>
      </c>
      <c r="I3" s="5" t="s">
        <v>5</v>
      </c>
      <c r="J3" s="5" t="s">
        <v>6</v>
      </c>
      <c r="K3" s="5" t="s">
        <v>7</v>
      </c>
      <c r="L3" s="6" t="s">
        <v>8</v>
      </c>
    </row>
    <row r="4" spans="1:12" ht="60" customHeight="1" x14ac:dyDescent="0.45">
      <c r="A4" s="244" t="s">
        <v>9</v>
      </c>
      <c r="B4" s="247">
        <f>14000+4809</f>
        <v>18809</v>
      </c>
      <c r="C4" s="179" t="s">
        <v>10</v>
      </c>
      <c r="D4" s="182" t="s">
        <v>11</v>
      </c>
      <c r="E4" s="187" t="s">
        <v>12</v>
      </c>
      <c r="F4" s="182" t="s">
        <v>369</v>
      </c>
      <c r="G4" s="145">
        <v>1.2</v>
      </c>
      <c r="H4" s="305" t="s">
        <v>13</v>
      </c>
      <c r="I4" s="308" t="s">
        <v>14</v>
      </c>
      <c r="J4" s="305" t="s">
        <v>21</v>
      </c>
      <c r="K4" s="255" t="s">
        <v>397</v>
      </c>
      <c r="L4" s="257">
        <v>44257</v>
      </c>
    </row>
    <row r="5" spans="1:12" s="56" customFormat="1" x14ac:dyDescent="0.45">
      <c r="A5" s="245"/>
      <c r="B5" s="248"/>
      <c r="C5" s="187" t="s">
        <v>430</v>
      </c>
      <c r="D5" s="61" t="s">
        <v>11</v>
      </c>
      <c r="E5" s="187" t="s">
        <v>18</v>
      </c>
      <c r="F5" s="182" t="s">
        <v>115</v>
      </c>
      <c r="G5" s="145">
        <v>2.5</v>
      </c>
      <c r="H5" s="306"/>
      <c r="I5" s="309"/>
      <c r="J5" s="306"/>
      <c r="K5" s="332"/>
      <c r="L5" s="258"/>
    </row>
    <row r="6" spans="1:12" s="56" customFormat="1" x14ac:dyDescent="0.45">
      <c r="A6" s="245"/>
      <c r="B6" s="248"/>
      <c r="C6" s="187" t="s">
        <v>430</v>
      </c>
      <c r="D6" s="61" t="s">
        <v>22</v>
      </c>
      <c r="E6" s="187" t="s">
        <v>18</v>
      </c>
      <c r="F6" s="182" t="s">
        <v>115</v>
      </c>
      <c r="G6" s="145">
        <v>-2.5</v>
      </c>
      <c r="H6" s="307"/>
      <c r="I6" s="310"/>
      <c r="J6" s="307"/>
      <c r="K6" s="256"/>
      <c r="L6" s="259"/>
    </row>
    <row r="7" spans="1:12" ht="42.75" x14ac:dyDescent="0.45">
      <c r="A7" s="245"/>
      <c r="B7" s="248"/>
      <c r="C7" s="179" t="s">
        <v>10</v>
      </c>
      <c r="D7" s="182" t="s">
        <v>16</v>
      </c>
      <c r="E7" s="187" t="s">
        <v>12</v>
      </c>
      <c r="F7" s="182" t="s">
        <v>369</v>
      </c>
      <c r="G7" s="145">
        <v>12276.726000000001</v>
      </c>
      <c r="H7" s="293" t="s">
        <v>13</v>
      </c>
      <c r="I7" s="278" t="s">
        <v>17</v>
      </c>
      <c r="J7" s="254" t="s">
        <v>569</v>
      </c>
      <c r="K7" s="316" t="s">
        <v>475</v>
      </c>
      <c r="L7" s="294">
        <v>44227</v>
      </c>
    </row>
    <row r="8" spans="1:12" x14ac:dyDescent="0.45">
      <c r="A8" s="245"/>
      <c r="B8" s="248"/>
      <c r="C8" s="179" t="s">
        <v>10</v>
      </c>
      <c r="D8" s="181" t="s">
        <v>16</v>
      </c>
      <c r="E8" s="187" t="s">
        <v>18</v>
      </c>
      <c r="F8" s="110" t="s">
        <v>115</v>
      </c>
      <c r="G8" s="145">
        <v>700</v>
      </c>
      <c r="H8" s="293"/>
      <c r="I8" s="278"/>
      <c r="J8" s="254"/>
      <c r="K8" s="316"/>
      <c r="L8" s="328"/>
    </row>
    <row r="9" spans="1:12" ht="42.75" x14ac:dyDescent="0.45">
      <c r="A9" s="245"/>
      <c r="B9" s="248"/>
      <c r="C9" s="179" t="s">
        <v>10</v>
      </c>
      <c r="D9" s="182" t="s">
        <v>19</v>
      </c>
      <c r="E9" s="187" t="s">
        <v>12</v>
      </c>
      <c r="F9" s="182" t="s">
        <v>369</v>
      </c>
      <c r="G9" s="145">
        <v>622.26666599999999</v>
      </c>
      <c r="H9" s="305" t="s">
        <v>13</v>
      </c>
      <c r="I9" s="308" t="s">
        <v>20</v>
      </c>
      <c r="J9" s="305" t="s">
        <v>21</v>
      </c>
      <c r="K9" s="311" t="s">
        <v>597</v>
      </c>
      <c r="L9" s="257">
        <v>44255</v>
      </c>
    </row>
    <row r="10" spans="1:12" s="56" customFormat="1" x14ac:dyDescent="0.45">
      <c r="A10" s="245"/>
      <c r="B10" s="248"/>
      <c r="C10" s="179" t="s">
        <v>10</v>
      </c>
      <c r="D10" s="182" t="s">
        <v>19</v>
      </c>
      <c r="E10" s="187" t="s">
        <v>18</v>
      </c>
      <c r="F10" s="110" t="s">
        <v>115</v>
      </c>
      <c r="G10" s="145">
        <v>320.13333399999999</v>
      </c>
      <c r="H10" s="306"/>
      <c r="I10" s="309"/>
      <c r="J10" s="306"/>
      <c r="K10" s="312"/>
      <c r="L10" s="258"/>
    </row>
    <row r="11" spans="1:12" s="56" customFormat="1" ht="42.75" x14ac:dyDescent="0.45">
      <c r="A11" s="245"/>
      <c r="B11" s="248"/>
      <c r="C11" s="179" t="s">
        <v>430</v>
      </c>
      <c r="D11" s="182" t="s">
        <v>19</v>
      </c>
      <c r="E11" s="187" t="s">
        <v>12</v>
      </c>
      <c r="F11" s="182" t="s">
        <v>369</v>
      </c>
      <c r="G11" s="146">
        <v>-522.88831300000004</v>
      </c>
      <c r="H11" s="306"/>
      <c r="I11" s="309"/>
      <c r="J11" s="306"/>
      <c r="K11" s="312"/>
      <c r="L11" s="258"/>
    </row>
    <row r="12" spans="1:12" s="56" customFormat="1" x14ac:dyDescent="0.45">
      <c r="A12" s="245"/>
      <c r="B12" s="248"/>
      <c r="C12" s="179" t="s">
        <v>430</v>
      </c>
      <c r="D12" s="182" t="s">
        <v>19</v>
      </c>
      <c r="E12" s="187" t="s">
        <v>18</v>
      </c>
      <c r="F12" s="110" t="s">
        <v>115</v>
      </c>
      <c r="G12" s="146">
        <f>504.570313+18.248+0.07</f>
        <v>522.88831300000004</v>
      </c>
      <c r="H12" s="306"/>
      <c r="I12" s="309"/>
      <c r="J12" s="306"/>
      <c r="K12" s="312"/>
      <c r="L12" s="258"/>
    </row>
    <row r="13" spans="1:12" ht="42.75" x14ac:dyDescent="0.45">
      <c r="A13" s="245"/>
      <c r="B13" s="248"/>
      <c r="C13" s="179" t="s">
        <v>10</v>
      </c>
      <c r="D13" s="182" t="s">
        <v>19</v>
      </c>
      <c r="E13" s="187" t="s">
        <v>12</v>
      </c>
      <c r="F13" s="182" t="s">
        <v>369</v>
      </c>
      <c r="G13" s="145">
        <v>3347.0251779999999</v>
      </c>
      <c r="H13" s="306"/>
      <c r="I13" s="309"/>
      <c r="J13" s="306"/>
      <c r="K13" s="312"/>
      <c r="L13" s="258"/>
    </row>
    <row r="14" spans="1:12" s="56" customFormat="1" x14ac:dyDescent="0.45">
      <c r="A14" s="245"/>
      <c r="B14" s="248"/>
      <c r="C14" s="179" t="s">
        <v>10</v>
      </c>
      <c r="D14" s="182" t="s">
        <v>19</v>
      </c>
      <c r="E14" s="187" t="s">
        <v>18</v>
      </c>
      <c r="F14" s="110" t="s">
        <v>115</v>
      </c>
      <c r="G14" s="145">
        <v>2202.8748220000002</v>
      </c>
      <c r="H14" s="306"/>
      <c r="I14" s="309"/>
      <c r="J14" s="306"/>
      <c r="K14" s="312"/>
      <c r="L14" s="258"/>
    </row>
    <row r="15" spans="1:12" s="56" customFormat="1" ht="42.75" x14ac:dyDescent="0.45">
      <c r="A15" s="245"/>
      <c r="B15" s="248"/>
      <c r="C15" s="179" t="s">
        <v>430</v>
      </c>
      <c r="D15" s="182" t="s">
        <v>19</v>
      </c>
      <c r="E15" s="187" t="s">
        <v>12</v>
      </c>
      <c r="F15" s="182" t="s">
        <v>369</v>
      </c>
      <c r="G15" s="146">
        <v>-1722.2837</v>
      </c>
      <c r="H15" s="306"/>
      <c r="I15" s="309"/>
      <c r="J15" s="306"/>
      <c r="K15" s="312"/>
      <c r="L15" s="258"/>
    </row>
    <row r="16" spans="1:12" s="56" customFormat="1" x14ac:dyDescent="0.45">
      <c r="A16" s="245"/>
      <c r="B16" s="248"/>
      <c r="C16" s="179" t="s">
        <v>430</v>
      </c>
      <c r="D16" s="182" t="s">
        <v>19</v>
      </c>
      <c r="E16" s="187" t="s">
        <v>18</v>
      </c>
      <c r="F16" s="182" t="s">
        <v>115</v>
      </c>
      <c r="G16" s="146">
        <v>1722.2837</v>
      </c>
      <c r="H16" s="306"/>
      <c r="I16" s="309"/>
      <c r="J16" s="306"/>
      <c r="K16" s="313"/>
      <c r="L16" s="258"/>
    </row>
    <row r="17" spans="1:12" ht="42.75" x14ac:dyDescent="0.45">
      <c r="A17" s="245"/>
      <c r="B17" s="248"/>
      <c r="C17" s="179" t="s">
        <v>10</v>
      </c>
      <c r="D17" s="182" t="s">
        <v>22</v>
      </c>
      <c r="E17" s="187" t="s">
        <v>12</v>
      </c>
      <c r="F17" s="182" t="s">
        <v>370</v>
      </c>
      <c r="G17" s="145">
        <v>18.5</v>
      </c>
      <c r="H17" s="305" t="s">
        <v>13</v>
      </c>
      <c r="I17" s="308" t="s">
        <v>23</v>
      </c>
      <c r="J17" s="299" t="s">
        <v>569</v>
      </c>
      <c r="K17" s="255" t="s">
        <v>479</v>
      </c>
      <c r="L17" s="257">
        <v>44227</v>
      </c>
    </row>
    <row r="18" spans="1:12" x14ac:dyDescent="0.45">
      <c r="A18" s="245"/>
      <c r="B18" s="248"/>
      <c r="C18" s="179" t="s">
        <v>10</v>
      </c>
      <c r="D18" s="182" t="s">
        <v>22</v>
      </c>
      <c r="E18" s="187" t="s">
        <v>18</v>
      </c>
      <c r="F18" s="110" t="s">
        <v>115</v>
      </c>
      <c r="G18" s="145">
        <f>202.625+112.426062</f>
        <v>315.051062</v>
      </c>
      <c r="H18" s="306"/>
      <c r="I18" s="309"/>
      <c r="J18" s="300"/>
      <c r="K18" s="332"/>
      <c r="L18" s="258"/>
    </row>
    <row r="19" spans="1:12" s="56" customFormat="1" ht="42.75" x14ac:dyDescent="0.45">
      <c r="A19" s="245"/>
      <c r="B19" s="248"/>
      <c r="C19" s="179" t="s">
        <v>430</v>
      </c>
      <c r="D19" s="182" t="s">
        <v>22</v>
      </c>
      <c r="E19" s="187" t="s">
        <v>12</v>
      </c>
      <c r="F19" s="182" t="s">
        <v>370</v>
      </c>
      <c r="G19" s="146">
        <v>-16.448232999999998</v>
      </c>
      <c r="H19" s="306"/>
      <c r="I19" s="309"/>
      <c r="J19" s="300"/>
      <c r="K19" s="332"/>
      <c r="L19" s="258"/>
    </row>
    <row r="20" spans="1:12" s="56" customFormat="1" x14ac:dyDescent="0.45">
      <c r="A20" s="245"/>
      <c r="B20" s="248"/>
      <c r="C20" s="179" t="s">
        <v>430</v>
      </c>
      <c r="D20" s="182" t="s">
        <v>22</v>
      </c>
      <c r="E20" s="187" t="s">
        <v>18</v>
      </c>
      <c r="F20" s="110" t="s">
        <v>115</v>
      </c>
      <c r="G20" s="146">
        <v>16.448232999999998</v>
      </c>
      <c r="H20" s="307"/>
      <c r="I20" s="310"/>
      <c r="J20" s="301"/>
      <c r="K20" s="256"/>
      <c r="L20" s="259"/>
    </row>
    <row r="21" spans="1:12" ht="42.75" x14ac:dyDescent="0.45">
      <c r="A21" s="245"/>
      <c r="B21" s="248"/>
      <c r="C21" s="179" t="s">
        <v>10</v>
      </c>
      <c r="D21" s="182" t="s">
        <v>24</v>
      </c>
      <c r="E21" s="187" t="s">
        <v>12</v>
      </c>
      <c r="F21" s="182" t="s">
        <v>369</v>
      </c>
      <c r="G21" s="145">
        <v>100</v>
      </c>
      <c r="H21" s="293" t="s">
        <v>13</v>
      </c>
      <c r="I21" s="278" t="s">
        <v>25</v>
      </c>
      <c r="J21" s="254" t="s">
        <v>569</v>
      </c>
      <c r="K21" s="279" t="s">
        <v>530</v>
      </c>
      <c r="L21" s="275">
        <v>44227</v>
      </c>
    </row>
    <row r="22" spans="1:12" s="56" customFormat="1" ht="28.5" x14ac:dyDescent="0.45">
      <c r="A22" s="245"/>
      <c r="B22" s="248"/>
      <c r="C22" s="187" t="s">
        <v>10</v>
      </c>
      <c r="D22" s="182" t="s">
        <v>24</v>
      </c>
      <c r="E22" s="187" t="s">
        <v>18</v>
      </c>
      <c r="F22" s="110" t="s">
        <v>115</v>
      </c>
      <c r="G22" s="145">
        <v>400</v>
      </c>
      <c r="H22" s="293"/>
      <c r="I22" s="278"/>
      <c r="J22" s="254"/>
      <c r="K22" s="279"/>
      <c r="L22" s="275"/>
    </row>
    <row r="23" spans="1:12" s="56" customFormat="1" ht="42.75" x14ac:dyDescent="0.45">
      <c r="A23" s="245"/>
      <c r="B23" s="248"/>
      <c r="C23" s="179" t="s">
        <v>430</v>
      </c>
      <c r="D23" s="182" t="s">
        <v>24</v>
      </c>
      <c r="E23" s="187" t="s">
        <v>12</v>
      </c>
      <c r="F23" s="182" t="s">
        <v>369</v>
      </c>
      <c r="G23" s="146">
        <v>-379.99461200000002</v>
      </c>
      <c r="H23" s="293"/>
      <c r="I23" s="278"/>
      <c r="J23" s="254"/>
      <c r="K23" s="279"/>
      <c r="L23" s="275"/>
    </row>
    <row r="24" spans="1:12" ht="28.5" x14ac:dyDescent="0.45">
      <c r="A24" s="245"/>
      <c r="B24" s="248"/>
      <c r="C24" s="179" t="s">
        <v>430</v>
      </c>
      <c r="D24" s="182" t="s">
        <v>24</v>
      </c>
      <c r="E24" s="187" t="s">
        <v>18</v>
      </c>
      <c r="F24" s="71" t="s">
        <v>115</v>
      </c>
      <c r="G24" s="145">
        <v>379.99461200000002</v>
      </c>
      <c r="H24" s="293"/>
      <c r="I24" s="278"/>
      <c r="J24" s="254"/>
      <c r="K24" s="279"/>
      <c r="L24" s="276"/>
    </row>
    <row r="25" spans="1:12" s="56" customFormat="1" x14ac:dyDescent="0.45">
      <c r="A25" s="245"/>
      <c r="B25" s="248"/>
      <c r="C25" s="179" t="s">
        <v>430</v>
      </c>
      <c r="D25" s="182" t="s">
        <v>22</v>
      </c>
      <c r="E25" s="187" t="s">
        <v>18</v>
      </c>
      <c r="F25" s="71" t="s">
        <v>115</v>
      </c>
      <c r="G25" s="145">
        <v>-7</v>
      </c>
      <c r="H25" s="250" t="s">
        <v>462</v>
      </c>
      <c r="I25" s="252" t="s">
        <v>115</v>
      </c>
      <c r="J25" s="254" t="s">
        <v>569</v>
      </c>
      <c r="K25" s="255" t="s">
        <v>561</v>
      </c>
      <c r="L25" s="241">
        <v>44227</v>
      </c>
    </row>
    <row r="26" spans="1:12" s="56" customFormat="1" x14ac:dyDescent="0.45">
      <c r="A26" s="246"/>
      <c r="B26" s="249"/>
      <c r="C26" s="179" t="s">
        <v>430</v>
      </c>
      <c r="D26" s="182" t="s">
        <v>560</v>
      </c>
      <c r="E26" s="187" t="s">
        <v>18</v>
      </c>
      <c r="F26" s="71" t="s">
        <v>115</v>
      </c>
      <c r="G26" s="145">
        <v>7</v>
      </c>
      <c r="H26" s="251"/>
      <c r="I26" s="253"/>
      <c r="J26" s="254"/>
      <c r="K26" s="256"/>
      <c r="L26" s="243"/>
    </row>
    <row r="27" spans="1:12" ht="28.5" x14ac:dyDescent="0.45">
      <c r="A27" s="315" t="s">
        <v>26</v>
      </c>
      <c r="B27" s="247">
        <v>2000</v>
      </c>
      <c r="C27" s="187" t="s">
        <v>10</v>
      </c>
      <c r="D27" s="182" t="s">
        <v>16</v>
      </c>
      <c r="E27" s="187" t="s">
        <v>12</v>
      </c>
      <c r="F27" s="182" t="s">
        <v>367</v>
      </c>
      <c r="G27" s="145">
        <v>1000</v>
      </c>
      <c r="H27" s="262" t="s">
        <v>13</v>
      </c>
      <c r="I27" s="263" t="s">
        <v>17</v>
      </c>
      <c r="J27" s="264" t="s">
        <v>21</v>
      </c>
      <c r="K27" s="265" t="s">
        <v>459</v>
      </c>
      <c r="L27" s="275">
        <v>44228</v>
      </c>
    </row>
    <row r="28" spans="1:12" x14ac:dyDescent="0.45">
      <c r="A28" s="315"/>
      <c r="B28" s="277"/>
      <c r="C28" s="187" t="s">
        <v>10</v>
      </c>
      <c r="D28" s="182" t="s">
        <v>16</v>
      </c>
      <c r="E28" s="187" t="s">
        <v>18</v>
      </c>
      <c r="F28" s="182" t="s">
        <v>115</v>
      </c>
      <c r="G28" s="145">
        <v>1000</v>
      </c>
      <c r="H28" s="262"/>
      <c r="I28" s="263"/>
      <c r="J28" s="264"/>
      <c r="K28" s="265"/>
      <c r="L28" s="276"/>
    </row>
    <row r="29" spans="1:12" ht="28.5" x14ac:dyDescent="0.45">
      <c r="A29" s="244" t="s">
        <v>27</v>
      </c>
      <c r="B29" s="281">
        <f>115+65</f>
        <v>180</v>
      </c>
      <c r="C29" s="179" t="s">
        <v>28</v>
      </c>
      <c r="D29" s="182" t="s">
        <v>29</v>
      </c>
      <c r="E29" s="187" t="s">
        <v>12</v>
      </c>
      <c r="F29" s="182" t="s">
        <v>367</v>
      </c>
      <c r="G29" s="145">
        <v>25</v>
      </c>
      <c r="H29" s="305" t="s">
        <v>13</v>
      </c>
      <c r="I29" s="308" t="s">
        <v>30</v>
      </c>
      <c r="J29" s="299" t="s">
        <v>569</v>
      </c>
      <c r="K29" s="311" t="s">
        <v>517</v>
      </c>
      <c r="L29" s="257">
        <v>44227</v>
      </c>
    </row>
    <row r="30" spans="1:12" ht="28.5" x14ac:dyDescent="0.45">
      <c r="A30" s="245"/>
      <c r="B30" s="282"/>
      <c r="C30" s="179" t="s">
        <v>28</v>
      </c>
      <c r="D30" s="182" t="s">
        <v>29</v>
      </c>
      <c r="E30" s="187" t="s">
        <v>12</v>
      </c>
      <c r="F30" s="182" t="s">
        <v>367</v>
      </c>
      <c r="G30" s="145">
        <v>17.3</v>
      </c>
      <c r="H30" s="306"/>
      <c r="I30" s="309"/>
      <c r="J30" s="300"/>
      <c r="K30" s="312"/>
      <c r="L30" s="258"/>
    </row>
    <row r="31" spans="1:12" ht="28.5" x14ac:dyDescent="0.45">
      <c r="A31" s="245"/>
      <c r="B31" s="282"/>
      <c r="C31" s="179" t="s">
        <v>28</v>
      </c>
      <c r="D31" s="182" t="s">
        <v>29</v>
      </c>
      <c r="E31" s="187" t="s">
        <v>12</v>
      </c>
      <c r="F31" s="182" t="s">
        <v>367</v>
      </c>
      <c r="G31" s="145">
        <v>72.599999999999994</v>
      </c>
      <c r="H31" s="306"/>
      <c r="I31" s="309"/>
      <c r="J31" s="300"/>
      <c r="K31" s="312"/>
      <c r="L31" s="258"/>
    </row>
    <row r="32" spans="1:12" s="56" customFormat="1" ht="28.5" x14ac:dyDescent="0.45">
      <c r="A32" s="246"/>
      <c r="B32" s="277"/>
      <c r="C32" s="179" t="s">
        <v>430</v>
      </c>
      <c r="D32" s="182" t="s">
        <v>29</v>
      </c>
      <c r="E32" s="187" t="s">
        <v>18</v>
      </c>
      <c r="F32" s="182" t="s">
        <v>115</v>
      </c>
      <c r="G32" s="145">
        <v>64.7</v>
      </c>
      <c r="H32" s="307"/>
      <c r="I32" s="310"/>
      <c r="J32" s="301"/>
      <c r="K32" s="313"/>
      <c r="L32" s="259"/>
    </row>
    <row r="33" spans="1:12" ht="28.5" x14ac:dyDescent="0.45">
      <c r="A33" s="201" t="s">
        <v>31</v>
      </c>
      <c r="B33" s="83">
        <v>115</v>
      </c>
      <c r="C33" s="187" t="s">
        <v>10</v>
      </c>
      <c r="D33" s="182" t="s">
        <v>32</v>
      </c>
      <c r="E33" s="187" t="s">
        <v>18</v>
      </c>
      <c r="F33" s="182" t="s">
        <v>115</v>
      </c>
      <c r="G33" s="145">
        <f>115.782133</f>
        <v>115.782133</v>
      </c>
      <c r="H33" s="187" t="s">
        <v>13</v>
      </c>
      <c r="I33" s="188" t="s">
        <v>33</v>
      </c>
      <c r="J33" s="187" t="s">
        <v>21</v>
      </c>
      <c r="K33" s="205" t="s">
        <v>474</v>
      </c>
      <c r="L33" s="202">
        <v>44245</v>
      </c>
    </row>
    <row r="34" spans="1:12" ht="28.5" x14ac:dyDescent="0.45">
      <c r="A34" s="266" t="s">
        <v>34</v>
      </c>
      <c r="B34" s="296">
        <f>305+380+380</f>
        <v>1065</v>
      </c>
      <c r="C34" s="187" t="s">
        <v>28</v>
      </c>
      <c r="D34" s="182" t="s">
        <v>35</v>
      </c>
      <c r="E34" s="187" t="s">
        <v>12</v>
      </c>
      <c r="F34" s="182" t="s">
        <v>367</v>
      </c>
      <c r="G34" s="145">
        <v>305</v>
      </c>
      <c r="H34" s="283" t="s">
        <v>13</v>
      </c>
      <c r="I34" s="286" t="s">
        <v>36</v>
      </c>
      <c r="J34" s="269" t="s">
        <v>569</v>
      </c>
      <c r="K34" s="272" t="s">
        <v>486</v>
      </c>
      <c r="L34" s="241">
        <v>44227</v>
      </c>
    </row>
    <row r="35" spans="1:12" ht="28.5" x14ac:dyDescent="0.45">
      <c r="A35" s="267"/>
      <c r="B35" s="297"/>
      <c r="C35" s="187" t="s">
        <v>28</v>
      </c>
      <c r="D35" s="182" t="s">
        <v>35</v>
      </c>
      <c r="E35" s="187" t="s">
        <v>12</v>
      </c>
      <c r="F35" s="182" t="s">
        <v>367</v>
      </c>
      <c r="G35" s="145">
        <v>75</v>
      </c>
      <c r="H35" s="284"/>
      <c r="I35" s="287"/>
      <c r="J35" s="270"/>
      <c r="K35" s="273"/>
      <c r="L35" s="260"/>
    </row>
    <row r="36" spans="1:12" x14ac:dyDescent="0.45">
      <c r="A36" s="267"/>
      <c r="B36" s="297"/>
      <c r="C36" s="187" t="s">
        <v>10</v>
      </c>
      <c r="D36" s="182" t="s">
        <v>35</v>
      </c>
      <c r="E36" s="187" t="s">
        <v>12</v>
      </c>
      <c r="F36" s="144"/>
      <c r="G36" s="145">
        <v>305</v>
      </c>
      <c r="H36" s="284"/>
      <c r="I36" s="287"/>
      <c r="J36" s="270"/>
      <c r="K36" s="273"/>
      <c r="L36" s="260"/>
    </row>
    <row r="37" spans="1:12" s="56" customFormat="1" ht="42.75" x14ac:dyDescent="0.45">
      <c r="A37" s="267"/>
      <c r="B37" s="297"/>
      <c r="C37" s="187" t="s">
        <v>430</v>
      </c>
      <c r="D37" s="182" t="s">
        <v>35</v>
      </c>
      <c r="E37" s="187" t="s">
        <v>12</v>
      </c>
      <c r="F37" s="182" t="s">
        <v>369</v>
      </c>
      <c r="G37" s="145">
        <v>-3.838641</v>
      </c>
      <c r="H37" s="284"/>
      <c r="I37" s="287"/>
      <c r="J37" s="270"/>
      <c r="K37" s="273"/>
      <c r="L37" s="260"/>
    </row>
    <row r="38" spans="1:12" s="56" customFormat="1" x14ac:dyDescent="0.45">
      <c r="A38" s="268"/>
      <c r="B38" s="298"/>
      <c r="C38" s="187" t="s">
        <v>430</v>
      </c>
      <c r="D38" s="182" t="s">
        <v>35</v>
      </c>
      <c r="E38" s="187" t="s">
        <v>18</v>
      </c>
      <c r="F38" s="182" t="s">
        <v>115</v>
      </c>
      <c r="G38" s="145">
        <v>383.838641</v>
      </c>
      <c r="H38" s="285"/>
      <c r="I38" s="288"/>
      <c r="J38" s="271"/>
      <c r="K38" s="274"/>
      <c r="L38" s="261"/>
    </row>
    <row r="39" spans="1:12" ht="28.5" x14ac:dyDescent="0.45">
      <c r="A39" s="244" t="s">
        <v>42</v>
      </c>
      <c r="B39" s="281">
        <v>205</v>
      </c>
      <c r="C39" s="187" t="s">
        <v>10</v>
      </c>
      <c r="D39" s="182" t="s">
        <v>37</v>
      </c>
      <c r="E39" s="187" t="s">
        <v>12</v>
      </c>
      <c r="F39" s="182" t="s">
        <v>371</v>
      </c>
      <c r="G39" s="145">
        <v>63.9</v>
      </c>
      <c r="H39" s="283" t="s">
        <v>13</v>
      </c>
      <c r="I39" s="286" t="s">
        <v>38</v>
      </c>
      <c r="J39" s="254" t="s">
        <v>569</v>
      </c>
      <c r="K39" s="290" t="s">
        <v>501</v>
      </c>
      <c r="L39" s="241">
        <v>44227</v>
      </c>
    </row>
    <row r="40" spans="1:12" s="56" customFormat="1" ht="28.5" x14ac:dyDescent="0.45">
      <c r="A40" s="245"/>
      <c r="B40" s="282"/>
      <c r="C40" s="187" t="s">
        <v>430</v>
      </c>
      <c r="D40" s="182" t="s">
        <v>37</v>
      </c>
      <c r="E40" s="187" t="s">
        <v>12</v>
      </c>
      <c r="F40" s="182" t="s">
        <v>371</v>
      </c>
      <c r="G40" s="166">
        <v>-0.12490999999999999</v>
      </c>
      <c r="H40" s="285"/>
      <c r="I40" s="288"/>
      <c r="J40" s="254"/>
      <c r="K40" s="292"/>
      <c r="L40" s="261"/>
    </row>
    <row r="41" spans="1:12" ht="28.5" x14ac:dyDescent="0.45">
      <c r="A41" s="245"/>
      <c r="B41" s="282"/>
      <c r="C41" s="187" t="s">
        <v>10</v>
      </c>
      <c r="D41" s="182" t="s">
        <v>39</v>
      </c>
      <c r="E41" s="187" t="s">
        <v>12</v>
      </c>
      <c r="F41" s="182" t="s">
        <v>371</v>
      </c>
      <c r="G41" s="145">
        <v>237.3</v>
      </c>
      <c r="H41" s="283" t="s">
        <v>13</v>
      </c>
      <c r="I41" s="286" t="s">
        <v>40</v>
      </c>
      <c r="J41" s="269" t="s">
        <v>569</v>
      </c>
      <c r="K41" s="290" t="s">
        <v>487</v>
      </c>
      <c r="L41" s="241">
        <v>44227</v>
      </c>
    </row>
    <row r="42" spans="1:12" x14ac:dyDescent="0.45">
      <c r="A42" s="245"/>
      <c r="B42" s="282"/>
      <c r="C42" s="187" t="s">
        <v>10</v>
      </c>
      <c r="D42" s="182" t="s">
        <v>39</v>
      </c>
      <c r="E42" s="187" t="s">
        <v>18</v>
      </c>
      <c r="F42" s="208" t="s">
        <v>115</v>
      </c>
      <c r="G42" s="145">
        <v>8.1</v>
      </c>
      <c r="H42" s="284"/>
      <c r="I42" s="287"/>
      <c r="J42" s="270"/>
      <c r="K42" s="291"/>
      <c r="L42" s="242"/>
    </row>
    <row r="43" spans="1:12" s="56" customFormat="1" ht="28.5" x14ac:dyDescent="0.45">
      <c r="A43" s="245"/>
      <c r="B43" s="282"/>
      <c r="C43" s="187" t="s">
        <v>430</v>
      </c>
      <c r="D43" s="182" t="s">
        <v>39</v>
      </c>
      <c r="E43" s="187" t="s">
        <v>12</v>
      </c>
      <c r="F43" s="182" t="s">
        <v>371</v>
      </c>
      <c r="G43" s="145">
        <v>-25.795983</v>
      </c>
      <c r="H43" s="284"/>
      <c r="I43" s="287"/>
      <c r="J43" s="270"/>
      <c r="K43" s="291"/>
      <c r="L43" s="242"/>
    </row>
    <row r="44" spans="1:12" s="56" customFormat="1" x14ac:dyDescent="0.45">
      <c r="A44" s="245"/>
      <c r="B44" s="282"/>
      <c r="C44" s="187" t="s">
        <v>430</v>
      </c>
      <c r="D44" s="182" t="s">
        <v>39</v>
      </c>
      <c r="E44" s="187" t="s">
        <v>18</v>
      </c>
      <c r="F44" s="208" t="s">
        <v>115</v>
      </c>
      <c r="G44" s="145">
        <f>0.109703+23.503155</f>
        <v>23.612857999999999</v>
      </c>
      <c r="H44" s="285"/>
      <c r="I44" s="288"/>
      <c r="J44" s="271"/>
      <c r="K44" s="292"/>
      <c r="L44" s="243"/>
    </row>
    <row r="45" spans="1:12" ht="28.5" x14ac:dyDescent="0.45">
      <c r="A45" s="245"/>
      <c r="B45" s="282"/>
      <c r="C45" s="187" t="s">
        <v>10</v>
      </c>
      <c r="D45" s="182" t="s">
        <v>19</v>
      </c>
      <c r="E45" s="187" t="s">
        <v>12</v>
      </c>
      <c r="F45" s="182" t="s">
        <v>371</v>
      </c>
      <c r="G45" s="145">
        <v>0.6</v>
      </c>
      <c r="H45" s="283" t="s">
        <v>13</v>
      </c>
      <c r="I45" s="286" t="s">
        <v>20</v>
      </c>
      <c r="J45" s="283" t="s">
        <v>21</v>
      </c>
      <c r="K45" s="290" t="s">
        <v>598</v>
      </c>
      <c r="L45" s="241">
        <v>44255</v>
      </c>
    </row>
    <row r="46" spans="1:12" x14ac:dyDescent="0.45">
      <c r="A46" s="245"/>
      <c r="B46" s="282"/>
      <c r="C46" s="187" t="s">
        <v>10</v>
      </c>
      <c r="D46" s="182" t="s">
        <v>19</v>
      </c>
      <c r="E46" s="187" t="s">
        <v>18</v>
      </c>
      <c r="F46" s="208" t="s">
        <v>115</v>
      </c>
      <c r="G46" s="145">
        <v>8.1999999999999993</v>
      </c>
      <c r="H46" s="284"/>
      <c r="I46" s="287"/>
      <c r="J46" s="284"/>
      <c r="K46" s="291"/>
      <c r="L46" s="260"/>
    </row>
    <row r="47" spans="1:12" s="56" customFormat="1" ht="28.5" x14ac:dyDescent="0.45">
      <c r="A47" s="245"/>
      <c r="B47" s="282"/>
      <c r="C47" s="187" t="s">
        <v>430</v>
      </c>
      <c r="D47" s="182" t="s">
        <v>19</v>
      </c>
      <c r="E47" s="187" t="s">
        <v>12</v>
      </c>
      <c r="F47" s="182" t="s">
        <v>371</v>
      </c>
      <c r="G47" s="145">
        <v>-0.6</v>
      </c>
      <c r="H47" s="284"/>
      <c r="I47" s="287"/>
      <c r="J47" s="284"/>
      <c r="K47" s="291"/>
      <c r="L47" s="260"/>
    </row>
    <row r="48" spans="1:12" s="56" customFormat="1" x14ac:dyDescent="0.45">
      <c r="A48" s="245"/>
      <c r="B48" s="282"/>
      <c r="C48" s="187" t="s">
        <v>430</v>
      </c>
      <c r="D48" s="182" t="s">
        <v>19</v>
      </c>
      <c r="E48" s="187" t="s">
        <v>18</v>
      </c>
      <c r="F48" s="208" t="s">
        <v>115</v>
      </c>
      <c r="G48" s="145">
        <v>0.57145599999999996</v>
      </c>
      <c r="H48" s="285"/>
      <c r="I48" s="288"/>
      <c r="J48" s="285"/>
      <c r="K48" s="292"/>
      <c r="L48" s="261"/>
    </row>
    <row r="49" spans="1:12" s="56" customFormat="1" ht="28.5" x14ac:dyDescent="0.45">
      <c r="A49" s="246"/>
      <c r="B49" s="277"/>
      <c r="C49" s="187" t="s">
        <v>430</v>
      </c>
      <c r="D49" s="182" t="s">
        <v>29</v>
      </c>
      <c r="E49" s="187" t="s">
        <v>18</v>
      </c>
      <c r="F49" s="208" t="s">
        <v>115</v>
      </c>
      <c r="G49" s="145">
        <v>2.2772389999999998</v>
      </c>
      <c r="H49" s="191" t="s">
        <v>388</v>
      </c>
      <c r="I49" s="195"/>
      <c r="J49" s="191"/>
      <c r="K49" s="193"/>
      <c r="L49" s="211"/>
    </row>
    <row r="50" spans="1:12" x14ac:dyDescent="0.45">
      <c r="A50" s="201" t="s">
        <v>43</v>
      </c>
      <c r="B50" s="83">
        <v>0</v>
      </c>
      <c r="C50" s="187" t="s">
        <v>44</v>
      </c>
      <c r="D50" s="182" t="s">
        <v>35</v>
      </c>
      <c r="E50" s="187" t="s">
        <v>115</v>
      </c>
      <c r="F50" s="182" t="s">
        <v>115</v>
      </c>
      <c r="G50" s="145" t="s">
        <v>115</v>
      </c>
      <c r="H50" s="187" t="s">
        <v>388</v>
      </c>
      <c r="I50" s="188"/>
      <c r="J50" s="187"/>
      <c r="K50" s="214"/>
      <c r="L50" s="203"/>
    </row>
    <row r="51" spans="1:12" ht="15" customHeight="1" x14ac:dyDescent="0.45">
      <c r="A51" s="315" t="s">
        <v>67</v>
      </c>
      <c r="B51" s="281">
        <v>727</v>
      </c>
      <c r="C51" s="179" t="s">
        <v>28</v>
      </c>
      <c r="D51" s="182" t="s">
        <v>68</v>
      </c>
      <c r="E51" s="187" t="s">
        <v>18</v>
      </c>
      <c r="F51" s="110" t="s">
        <v>115</v>
      </c>
      <c r="G51" s="145">
        <v>375.06649900000002</v>
      </c>
      <c r="H51" s="206" t="s">
        <v>13</v>
      </c>
      <c r="I51" s="180" t="s">
        <v>69</v>
      </c>
      <c r="J51" s="229" t="s">
        <v>569</v>
      </c>
      <c r="K51" s="186" t="s">
        <v>557</v>
      </c>
      <c r="L51" s="202">
        <v>44227</v>
      </c>
    </row>
    <row r="52" spans="1:12" ht="28.5" x14ac:dyDescent="0.45">
      <c r="A52" s="315"/>
      <c r="B52" s="282"/>
      <c r="C52" s="179" t="s">
        <v>28</v>
      </c>
      <c r="D52" s="182" t="s">
        <v>70</v>
      </c>
      <c r="E52" s="187" t="s">
        <v>18</v>
      </c>
      <c r="F52" s="110" t="s">
        <v>115</v>
      </c>
      <c r="G52" s="145">
        <v>8</v>
      </c>
      <c r="H52" s="206" t="s">
        <v>13</v>
      </c>
      <c r="I52" s="180" t="s">
        <v>69</v>
      </c>
      <c r="J52" s="206" t="s">
        <v>21</v>
      </c>
      <c r="K52" s="186" t="s">
        <v>71</v>
      </c>
      <c r="L52" s="202">
        <v>44044</v>
      </c>
    </row>
    <row r="53" spans="1:12" ht="42.75" x14ac:dyDescent="0.45">
      <c r="A53" s="315"/>
      <c r="B53" s="282"/>
      <c r="C53" s="179" t="s">
        <v>28</v>
      </c>
      <c r="D53" s="182" t="s">
        <v>72</v>
      </c>
      <c r="E53" s="187" t="s">
        <v>18</v>
      </c>
      <c r="F53" s="110" t="s">
        <v>115</v>
      </c>
      <c r="G53" s="145">
        <v>17.090800000000002</v>
      </c>
      <c r="H53" s="206" t="s">
        <v>13</v>
      </c>
      <c r="I53" s="180" t="s">
        <v>73</v>
      </c>
      <c r="J53" s="229" t="s">
        <v>569</v>
      </c>
      <c r="K53" s="186" t="s">
        <v>551</v>
      </c>
      <c r="L53" s="202">
        <v>44227</v>
      </c>
    </row>
    <row r="54" spans="1:12" x14ac:dyDescent="0.45">
      <c r="A54" s="315"/>
      <c r="B54" s="282"/>
      <c r="C54" s="179" t="s">
        <v>28</v>
      </c>
      <c r="D54" s="182" t="s">
        <v>11</v>
      </c>
      <c r="E54" s="187" t="s">
        <v>18</v>
      </c>
      <c r="F54" s="110" t="s">
        <v>115</v>
      </c>
      <c r="G54" s="145">
        <v>1.78</v>
      </c>
      <c r="H54" s="324" t="s">
        <v>13</v>
      </c>
      <c r="I54" s="278" t="s">
        <v>74</v>
      </c>
      <c r="J54" s="289" t="s">
        <v>21</v>
      </c>
      <c r="K54" s="295" t="s">
        <v>574</v>
      </c>
      <c r="L54" s="241">
        <v>44257</v>
      </c>
    </row>
    <row r="55" spans="1:12" s="56" customFormat="1" ht="28.5" x14ac:dyDescent="0.45">
      <c r="A55" s="315"/>
      <c r="B55" s="282"/>
      <c r="C55" s="179" t="s">
        <v>28</v>
      </c>
      <c r="D55" s="182" t="s">
        <v>11</v>
      </c>
      <c r="E55" s="187" t="s">
        <v>12</v>
      </c>
      <c r="F55" s="143" t="s">
        <v>367</v>
      </c>
      <c r="G55" s="145">
        <v>112.7</v>
      </c>
      <c r="H55" s="324"/>
      <c r="I55" s="278"/>
      <c r="J55" s="289"/>
      <c r="K55" s="295"/>
      <c r="L55" s="260"/>
    </row>
    <row r="56" spans="1:12" x14ac:dyDescent="0.45">
      <c r="A56" s="315"/>
      <c r="B56" s="282"/>
      <c r="C56" s="71" t="s">
        <v>10</v>
      </c>
      <c r="D56" s="61" t="s">
        <v>11</v>
      </c>
      <c r="E56" s="71" t="s">
        <v>18</v>
      </c>
      <c r="F56" s="110" t="s">
        <v>115</v>
      </c>
      <c r="G56" s="145">
        <v>12.399149</v>
      </c>
      <c r="H56" s="324"/>
      <c r="I56" s="278"/>
      <c r="J56" s="289"/>
      <c r="K56" s="295"/>
      <c r="L56" s="261"/>
    </row>
    <row r="57" spans="1:12" x14ac:dyDescent="0.45">
      <c r="A57" s="315"/>
      <c r="B57" s="282"/>
      <c r="C57" s="179" t="s">
        <v>28</v>
      </c>
      <c r="D57" s="182" t="s">
        <v>19</v>
      </c>
      <c r="E57" s="187" t="s">
        <v>18</v>
      </c>
      <c r="F57" s="110" t="s">
        <v>115</v>
      </c>
      <c r="G57" s="145">
        <v>1.6896629999999999</v>
      </c>
      <c r="H57" s="324" t="s">
        <v>13</v>
      </c>
      <c r="I57" s="278" t="s">
        <v>20</v>
      </c>
      <c r="J57" s="324" t="s">
        <v>21</v>
      </c>
      <c r="K57" s="323" t="s">
        <v>599</v>
      </c>
      <c r="L57" s="275">
        <v>44255</v>
      </c>
    </row>
    <row r="58" spans="1:12" x14ac:dyDescent="0.45">
      <c r="A58" s="315"/>
      <c r="B58" s="282"/>
      <c r="C58" s="179" t="s">
        <v>28</v>
      </c>
      <c r="D58" s="182" t="s">
        <v>19</v>
      </c>
      <c r="E58" s="187" t="s">
        <v>18</v>
      </c>
      <c r="F58" s="110" t="s">
        <v>115</v>
      </c>
      <c r="G58" s="145">
        <v>3.3615650000000001</v>
      </c>
      <c r="H58" s="324"/>
      <c r="I58" s="278"/>
      <c r="J58" s="324"/>
      <c r="K58" s="323"/>
      <c r="L58" s="275"/>
    </row>
    <row r="59" spans="1:12" ht="28.5" x14ac:dyDescent="0.45">
      <c r="A59" s="315"/>
      <c r="B59" s="282"/>
      <c r="C59" s="179" t="s">
        <v>28</v>
      </c>
      <c r="D59" s="182" t="s">
        <v>19</v>
      </c>
      <c r="E59" s="187" t="s">
        <v>12</v>
      </c>
      <c r="F59" s="182" t="s">
        <v>367</v>
      </c>
      <c r="G59" s="145">
        <v>200</v>
      </c>
      <c r="H59" s="324"/>
      <c r="I59" s="278"/>
      <c r="J59" s="324"/>
      <c r="K59" s="323"/>
      <c r="L59" s="275"/>
    </row>
    <row r="60" spans="1:12" ht="28.5" x14ac:dyDescent="0.45">
      <c r="A60" s="315"/>
      <c r="B60" s="282"/>
      <c r="C60" s="179" t="s">
        <v>10</v>
      </c>
      <c r="D60" s="182" t="s">
        <v>19</v>
      </c>
      <c r="E60" s="187" t="s">
        <v>12</v>
      </c>
      <c r="F60" s="182" t="s">
        <v>367</v>
      </c>
      <c r="G60" s="145">
        <v>-101.549187</v>
      </c>
      <c r="H60" s="324"/>
      <c r="I60" s="278"/>
      <c r="J60" s="324"/>
      <c r="K60" s="323"/>
      <c r="L60" s="275"/>
    </row>
    <row r="61" spans="1:12" s="56" customFormat="1" x14ac:dyDescent="0.45">
      <c r="A61" s="315"/>
      <c r="B61" s="282"/>
      <c r="C61" s="179" t="s">
        <v>10</v>
      </c>
      <c r="D61" s="182" t="s">
        <v>19</v>
      </c>
      <c r="E61" s="187" t="s">
        <v>18</v>
      </c>
      <c r="F61" s="110" t="s">
        <v>115</v>
      </c>
      <c r="G61" s="145">
        <f>58+31.150038</f>
        <v>89.150037999999995</v>
      </c>
      <c r="H61" s="324"/>
      <c r="I61" s="278"/>
      <c r="J61" s="324"/>
      <c r="K61" s="323"/>
      <c r="L61" s="275"/>
    </row>
    <row r="62" spans="1:12" s="56" customFormat="1" ht="28.5" x14ac:dyDescent="0.45">
      <c r="A62" s="315"/>
      <c r="B62" s="282"/>
      <c r="C62" s="179" t="s">
        <v>430</v>
      </c>
      <c r="D62" s="182" t="s">
        <v>19</v>
      </c>
      <c r="E62" s="187" t="s">
        <v>12</v>
      </c>
      <c r="F62" s="182" t="s">
        <v>367</v>
      </c>
      <c r="G62" s="145">
        <v>-84.434709999999995</v>
      </c>
      <c r="H62" s="324"/>
      <c r="I62" s="278"/>
      <c r="J62" s="324"/>
      <c r="K62" s="323"/>
      <c r="L62" s="275"/>
    </row>
    <row r="63" spans="1:12" x14ac:dyDescent="0.45">
      <c r="A63" s="315"/>
      <c r="B63" s="282"/>
      <c r="C63" s="184" t="s">
        <v>430</v>
      </c>
      <c r="D63" s="182" t="s">
        <v>19</v>
      </c>
      <c r="E63" s="190" t="s">
        <v>18</v>
      </c>
      <c r="F63" s="71" t="s">
        <v>115</v>
      </c>
      <c r="G63" s="145">
        <f>27.72279+0.108+56.60392</f>
        <v>84.434709999999995</v>
      </c>
      <c r="H63" s="324"/>
      <c r="I63" s="278"/>
      <c r="J63" s="324"/>
      <c r="K63" s="323"/>
      <c r="L63" s="275"/>
    </row>
    <row r="64" spans="1:12" s="56" customFormat="1" ht="15" customHeight="1" x14ac:dyDescent="0.45">
      <c r="A64" s="244" t="s">
        <v>549</v>
      </c>
      <c r="B64" s="247">
        <f>4223-2806</f>
        <v>1417</v>
      </c>
      <c r="C64" s="187" t="s">
        <v>10</v>
      </c>
      <c r="D64" s="187" t="s">
        <v>11</v>
      </c>
      <c r="E64" s="187" t="s">
        <v>18</v>
      </c>
      <c r="F64" s="208" t="s">
        <v>115</v>
      </c>
      <c r="G64" s="145">
        <f>0.403571+10</f>
        <v>10.403570999999999</v>
      </c>
      <c r="H64" s="283" t="s">
        <v>13</v>
      </c>
      <c r="I64" s="286" t="s">
        <v>14</v>
      </c>
      <c r="J64" s="269" t="s">
        <v>569</v>
      </c>
      <c r="K64" s="329" t="s">
        <v>577</v>
      </c>
      <c r="L64" s="241">
        <v>44227</v>
      </c>
    </row>
    <row r="65" spans="1:12" s="56" customFormat="1" ht="42.75" x14ac:dyDescent="0.45">
      <c r="A65" s="245"/>
      <c r="B65" s="248"/>
      <c r="C65" s="187" t="s">
        <v>10</v>
      </c>
      <c r="D65" s="187" t="s">
        <v>11</v>
      </c>
      <c r="E65" s="187" t="s">
        <v>12</v>
      </c>
      <c r="F65" s="182" t="s">
        <v>369</v>
      </c>
      <c r="G65" s="145">
        <v>133.69999999999999</v>
      </c>
      <c r="H65" s="284"/>
      <c r="I65" s="287"/>
      <c r="J65" s="270"/>
      <c r="K65" s="330"/>
      <c r="L65" s="260"/>
    </row>
    <row r="66" spans="1:12" s="56" customFormat="1" ht="42.75" x14ac:dyDescent="0.45">
      <c r="A66" s="245"/>
      <c r="B66" s="248"/>
      <c r="C66" s="187" t="s">
        <v>430</v>
      </c>
      <c r="D66" s="187" t="s">
        <v>11</v>
      </c>
      <c r="E66" s="187" t="s">
        <v>12</v>
      </c>
      <c r="F66" s="182" t="s">
        <v>369</v>
      </c>
      <c r="G66" s="145">
        <v>-126.7</v>
      </c>
      <c r="H66" s="284"/>
      <c r="I66" s="287"/>
      <c r="J66" s="270"/>
      <c r="K66" s="330"/>
      <c r="L66" s="260"/>
    </row>
    <row r="67" spans="1:12" s="56" customFormat="1" x14ac:dyDescent="0.45">
      <c r="A67" s="245"/>
      <c r="B67" s="248"/>
      <c r="C67" s="187" t="s">
        <v>430</v>
      </c>
      <c r="D67" s="187" t="s">
        <v>11</v>
      </c>
      <c r="E67" s="187" t="s">
        <v>18</v>
      </c>
      <c r="F67" s="199" t="s">
        <v>115</v>
      </c>
      <c r="G67" s="145">
        <v>126.7</v>
      </c>
      <c r="H67" s="285"/>
      <c r="I67" s="288"/>
      <c r="J67" s="271"/>
      <c r="K67" s="331"/>
      <c r="L67" s="261"/>
    </row>
    <row r="68" spans="1:12" s="56" customFormat="1" ht="30" customHeight="1" x14ac:dyDescent="0.45">
      <c r="A68" s="245"/>
      <c r="B68" s="248"/>
      <c r="C68" s="187" t="s">
        <v>10</v>
      </c>
      <c r="D68" s="187" t="s">
        <v>22</v>
      </c>
      <c r="E68" s="187" t="s">
        <v>18</v>
      </c>
      <c r="F68" s="208" t="s">
        <v>115</v>
      </c>
      <c r="G68" s="145">
        <f>318.492543+0.45</f>
        <v>318.942543</v>
      </c>
      <c r="H68" s="283" t="s">
        <v>13</v>
      </c>
      <c r="I68" s="263" t="s">
        <v>23</v>
      </c>
      <c r="J68" s="280" t="s">
        <v>569</v>
      </c>
      <c r="K68" s="295" t="s">
        <v>480</v>
      </c>
      <c r="L68" s="241">
        <v>44227</v>
      </c>
    </row>
    <row r="69" spans="1:12" s="56" customFormat="1" ht="42.75" x14ac:dyDescent="0.45">
      <c r="A69" s="245"/>
      <c r="B69" s="248"/>
      <c r="C69" s="187" t="s">
        <v>10</v>
      </c>
      <c r="D69" s="187" t="s">
        <v>22</v>
      </c>
      <c r="E69" s="187" t="s">
        <v>12</v>
      </c>
      <c r="F69" s="182" t="s">
        <v>369</v>
      </c>
      <c r="G69" s="145">
        <v>308.37196399999999</v>
      </c>
      <c r="H69" s="284"/>
      <c r="I69" s="263"/>
      <c r="J69" s="280"/>
      <c r="K69" s="295"/>
      <c r="L69" s="260"/>
    </row>
    <row r="70" spans="1:12" s="56" customFormat="1" ht="42.75" x14ac:dyDescent="0.45">
      <c r="A70" s="245"/>
      <c r="B70" s="248"/>
      <c r="C70" s="187" t="s">
        <v>430</v>
      </c>
      <c r="D70" s="187" t="s">
        <v>22</v>
      </c>
      <c r="E70" s="187" t="s">
        <v>12</v>
      </c>
      <c r="F70" s="182" t="s">
        <v>369</v>
      </c>
      <c r="G70" s="145">
        <v>-217.57197500000001</v>
      </c>
      <c r="H70" s="284"/>
      <c r="I70" s="263"/>
      <c r="J70" s="280"/>
      <c r="K70" s="295"/>
      <c r="L70" s="260"/>
    </row>
    <row r="71" spans="1:12" s="56" customFormat="1" ht="28.5" x14ac:dyDescent="0.45">
      <c r="A71" s="245"/>
      <c r="B71" s="248"/>
      <c r="C71" s="187" t="s">
        <v>430</v>
      </c>
      <c r="D71" s="187" t="s">
        <v>22</v>
      </c>
      <c r="E71" s="187" t="s">
        <v>12</v>
      </c>
      <c r="F71" s="182" t="s">
        <v>431</v>
      </c>
      <c r="G71" s="145">
        <v>217.57197500000001</v>
      </c>
      <c r="H71" s="285"/>
      <c r="I71" s="263"/>
      <c r="J71" s="280"/>
      <c r="K71" s="295"/>
      <c r="L71" s="243"/>
    </row>
    <row r="72" spans="1:12" s="56" customFormat="1" ht="28.5" x14ac:dyDescent="0.45">
      <c r="A72" s="245"/>
      <c r="B72" s="248"/>
      <c r="C72" s="187" t="s">
        <v>10</v>
      </c>
      <c r="D72" s="187" t="s">
        <v>68</v>
      </c>
      <c r="E72" s="187" t="s">
        <v>18</v>
      </c>
      <c r="F72" s="208" t="s">
        <v>115</v>
      </c>
      <c r="G72" s="145">
        <f>1+14</f>
        <v>15</v>
      </c>
      <c r="H72" s="187" t="s">
        <v>13</v>
      </c>
      <c r="I72" s="188" t="s">
        <v>164</v>
      </c>
      <c r="J72" s="182" t="s">
        <v>75</v>
      </c>
      <c r="K72" s="186"/>
      <c r="L72" s="202"/>
    </row>
    <row r="73" spans="1:12" x14ac:dyDescent="0.45">
      <c r="A73" s="245"/>
      <c r="B73" s="248"/>
      <c r="C73" s="187" t="s">
        <v>10</v>
      </c>
      <c r="D73" s="182" t="s">
        <v>19</v>
      </c>
      <c r="E73" s="187" t="s">
        <v>18</v>
      </c>
      <c r="F73" s="182" t="s">
        <v>115</v>
      </c>
      <c r="G73" s="145">
        <f>5378.297032+776.076667+6.75+21.4+68.6+46.199588+25+7.533544+5.3016</f>
        <v>6335.1584310000007</v>
      </c>
      <c r="H73" s="283" t="s">
        <v>13</v>
      </c>
      <c r="I73" s="286" t="s">
        <v>20</v>
      </c>
      <c r="J73" s="283" t="s">
        <v>21</v>
      </c>
      <c r="K73" s="290" t="s">
        <v>600</v>
      </c>
      <c r="L73" s="241">
        <v>44255</v>
      </c>
    </row>
    <row r="74" spans="1:12" s="56" customFormat="1" ht="42.75" x14ac:dyDescent="0.45">
      <c r="A74" s="245"/>
      <c r="B74" s="248"/>
      <c r="C74" s="187" t="s">
        <v>10</v>
      </c>
      <c r="D74" s="97" t="s">
        <v>19</v>
      </c>
      <c r="E74" s="187" t="s">
        <v>12</v>
      </c>
      <c r="F74" s="182" t="s">
        <v>369</v>
      </c>
      <c r="G74" s="145">
        <f>3821.702968+536.473333+298.400412+13.4984+7.7+5.275384</f>
        <v>4683.0504970000002</v>
      </c>
      <c r="H74" s="284"/>
      <c r="I74" s="287"/>
      <c r="J74" s="284"/>
      <c r="K74" s="291"/>
      <c r="L74" s="260"/>
    </row>
    <row r="75" spans="1:12" s="56" customFormat="1" x14ac:dyDescent="0.45">
      <c r="A75" s="245"/>
      <c r="B75" s="248"/>
      <c r="C75" s="187" t="s">
        <v>430</v>
      </c>
      <c r="D75" s="97" t="s">
        <v>19</v>
      </c>
      <c r="E75" s="187" t="s">
        <v>18</v>
      </c>
      <c r="F75" s="182" t="s">
        <v>115</v>
      </c>
      <c r="G75" s="145">
        <f>3.18416+536.461532+7.2+2397.712418+10+0.5+75</f>
        <v>3030.0581099999999</v>
      </c>
      <c r="H75" s="284"/>
      <c r="I75" s="287"/>
      <c r="J75" s="284"/>
      <c r="K75" s="291"/>
      <c r="L75" s="260"/>
    </row>
    <row r="76" spans="1:12" s="56" customFormat="1" ht="42.75" x14ac:dyDescent="0.45">
      <c r="A76" s="245"/>
      <c r="B76" s="248"/>
      <c r="C76" s="187" t="s">
        <v>430</v>
      </c>
      <c r="D76" s="97" t="s">
        <v>19</v>
      </c>
      <c r="E76" s="187" t="s">
        <v>12</v>
      </c>
      <c r="F76" s="182" t="s">
        <v>369</v>
      </c>
      <c r="G76" s="145">
        <f>-2482.712418+-3.18416+-536.461532+-7.7</f>
        <v>-3030.0581099999999</v>
      </c>
      <c r="H76" s="285"/>
      <c r="I76" s="288"/>
      <c r="J76" s="285"/>
      <c r="K76" s="292"/>
      <c r="L76" s="243"/>
    </row>
    <row r="77" spans="1:12" s="56" customFormat="1" x14ac:dyDescent="0.45">
      <c r="A77" s="245"/>
      <c r="B77" s="248"/>
      <c r="C77" s="187" t="s">
        <v>10</v>
      </c>
      <c r="D77" s="97" t="s">
        <v>72</v>
      </c>
      <c r="E77" s="187" t="s">
        <v>18</v>
      </c>
      <c r="F77" s="182" t="s">
        <v>115</v>
      </c>
      <c r="G77" s="145">
        <f>2+31.5</f>
        <v>33.5</v>
      </c>
      <c r="H77" s="283" t="s">
        <v>13</v>
      </c>
      <c r="I77" s="263" t="s">
        <v>77</v>
      </c>
      <c r="J77" s="269" t="s">
        <v>569</v>
      </c>
      <c r="K77" s="290" t="s">
        <v>550</v>
      </c>
      <c r="L77" s="241">
        <v>44227</v>
      </c>
    </row>
    <row r="78" spans="1:12" s="56" customFormat="1" ht="42.75" x14ac:dyDescent="0.45">
      <c r="A78" s="245"/>
      <c r="B78" s="248"/>
      <c r="C78" s="187" t="s">
        <v>10</v>
      </c>
      <c r="D78" s="97" t="s">
        <v>72</v>
      </c>
      <c r="E78" s="187" t="s">
        <v>12</v>
      </c>
      <c r="F78" s="182" t="s">
        <v>369</v>
      </c>
      <c r="G78" s="145">
        <v>33.5</v>
      </c>
      <c r="H78" s="284"/>
      <c r="I78" s="263"/>
      <c r="J78" s="270"/>
      <c r="K78" s="291"/>
      <c r="L78" s="242"/>
    </row>
    <row r="79" spans="1:12" s="56" customFormat="1" x14ac:dyDescent="0.45">
      <c r="A79" s="245"/>
      <c r="B79" s="248"/>
      <c r="C79" s="187" t="s">
        <v>430</v>
      </c>
      <c r="D79" s="97" t="s">
        <v>72</v>
      </c>
      <c r="E79" s="187" t="s">
        <v>18</v>
      </c>
      <c r="F79" s="187" t="s">
        <v>115</v>
      </c>
      <c r="G79" s="145">
        <v>30.158628</v>
      </c>
      <c r="H79" s="284"/>
      <c r="I79" s="263"/>
      <c r="J79" s="270"/>
      <c r="K79" s="291"/>
      <c r="L79" s="242"/>
    </row>
    <row r="80" spans="1:12" s="56" customFormat="1" ht="42.75" x14ac:dyDescent="0.45">
      <c r="A80" s="246"/>
      <c r="B80" s="249"/>
      <c r="C80" s="187" t="s">
        <v>430</v>
      </c>
      <c r="D80" s="97" t="s">
        <v>72</v>
      </c>
      <c r="E80" s="187" t="s">
        <v>12</v>
      </c>
      <c r="F80" s="182" t="s">
        <v>369</v>
      </c>
      <c r="G80" s="145">
        <v>-30.158628</v>
      </c>
      <c r="H80" s="285"/>
      <c r="I80" s="263"/>
      <c r="J80" s="271"/>
      <c r="K80" s="292"/>
      <c r="L80" s="243"/>
    </row>
    <row r="81" spans="1:12" ht="28.5" x14ac:dyDescent="0.45">
      <c r="A81" s="315" t="s">
        <v>76</v>
      </c>
      <c r="B81" s="281">
        <v>90</v>
      </c>
      <c r="C81" s="187" t="s">
        <v>10</v>
      </c>
      <c r="D81" s="182" t="s">
        <v>72</v>
      </c>
      <c r="E81" s="187" t="s">
        <v>12</v>
      </c>
      <c r="F81" s="182" t="s">
        <v>371</v>
      </c>
      <c r="G81" s="145">
        <v>40.020000000000003</v>
      </c>
      <c r="H81" s="262" t="s">
        <v>13</v>
      </c>
      <c r="I81" s="263" t="s">
        <v>77</v>
      </c>
      <c r="J81" s="280" t="s">
        <v>569</v>
      </c>
      <c r="K81" s="314" t="s">
        <v>548</v>
      </c>
      <c r="L81" s="275">
        <v>44227</v>
      </c>
    </row>
    <row r="82" spans="1:12" s="56" customFormat="1" x14ac:dyDescent="0.45">
      <c r="A82" s="315"/>
      <c r="B82" s="282"/>
      <c r="C82" s="187" t="s">
        <v>10</v>
      </c>
      <c r="D82" s="182" t="s">
        <v>72</v>
      </c>
      <c r="E82" s="187" t="s">
        <v>18</v>
      </c>
      <c r="F82" s="182" t="s">
        <v>115</v>
      </c>
      <c r="G82" s="145">
        <v>50</v>
      </c>
      <c r="H82" s="262"/>
      <c r="I82" s="263"/>
      <c r="J82" s="280"/>
      <c r="K82" s="314"/>
      <c r="L82" s="276"/>
    </row>
    <row r="83" spans="1:12" s="56" customFormat="1" ht="28.5" x14ac:dyDescent="0.45">
      <c r="A83" s="315"/>
      <c r="B83" s="282"/>
      <c r="C83" s="187" t="s">
        <v>430</v>
      </c>
      <c r="D83" s="182" t="s">
        <v>72</v>
      </c>
      <c r="E83" s="187" t="s">
        <v>12</v>
      </c>
      <c r="F83" s="182" t="s">
        <v>371</v>
      </c>
      <c r="G83" s="145">
        <v>-32.746285</v>
      </c>
      <c r="H83" s="262"/>
      <c r="I83" s="263"/>
      <c r="J83" s="280"/>
      <c r="K83" s="314"/>
      <c r="L83" s="276"/>
    </row>
    <row r="84" spans="1:12" x14ac:dyDescent="0.45">
      <c r="A84" s="315"/>
      <c r="B84" s="277"/>
      <c r="C84" s="190" t="s">
        <v>430</v>
      </c>
      <c r="D84" s="182" t="s">
        <v>72</v>
      </c>
      <c r="E84" s="190" t="s">
        <v>18</v>
      </c>
      <c r="F84" s="198" t="s">
        <v>115</v>
      </c>
      <c r="G84" s="145">
        <f>8.532137+23.732769</f>
        <v>32.264906000000003</v>
      </c>
      <c r="H84" s="262"/>
      <c r="I84" s="263"/>
      <c r="J84" s="280"/>
      <c r="K84" s="314"/>
      <c r="L84" s="276"/>
    </row>
    <row r="85" spans="1:12" ht="34.5" customHeight="1" x14ac:dyDescent="0.45">
      <c r="A85" s="244" t="s">
        <v>78</v>
      </c>
      <c r="B85" s="281">
        <v>530</v>
      </c>
      <c r="C85" s="187" t="s">
        <v>430</v>
      </c>
      <c r="D85" s="182" t="s">
        <v>22</v>
      </c>
      <c r="E85" s="187" t="s">
        <v>12</v>
      </c>
      <c r="F85" s="182" t="s">
        <v>591</v>
      </c>
      <c r="G85" s="145">
        <v>45</v>
      </c>
      <c r="H85" s="187" t="s">
        <v>13</v>
      </c>
      <c r="I85" s="185" t="s">
        <v>23</v>
      </c>
      <c r="J85" s="187" t="s">
        <v>15</v>
      </c>
      <c r="K85" s="214"/>
      <c r="L85" s="203"/>
    </row>
    <row r="86" spans="1:12" s="56" customFormat="1" ht="34.5" customHeight="1" x14ac:dyDescent="0.45">
      <c r="A86" s="246"/>
      <c r="B86" s="277"/>
      <c r="C86" s="187" t="s">
        <v>430</v>
      </c>
      <c r="D86" s="182" t="s">
        <v>19</v>
      </c>
      <c r="E86" s="187" t="s">
        <v>18</v>
      </c>
      <c r="F86" s="182" t="s">
        <v>115</v>
      </c>
      <c r="G86" s="145">
        <f>484.509029+0.6</f>
        <v>485.10902900000002</v>
      </c>
      <c r="H86" s="187" t="s">
        <v>13</v>
      </c>
      <c r="I86" s="180" t="s">
        <v>20</v>
      </c>
      <c r="J86" s="187" t="s">
        <v>21</v>
      </c>
      <c r="K86" s="214" t="s">
        <v>416</v>
      </c>
      <c r="L86" s="202">
        <v>44255</v>
      </c>
    </row>
    <row r="87" spans="1:12" s="56" customFormat="1" ht="30" customHeight="1" x14ac:dyDescent="0.45">
      <c r="A87" s="244" t="s">
        <v>79</v>
      </c>
      <c r="B87" s="281">
        <v>255</v>
      </c>
      <c r="C87" s="187" t="s">
        <v>430</v>
      </c>
      <c r="D87" s="182" t="s">
        <v>19</v>
      </c>
      <c r="E87" s="187" t="s">
        <v>18</v>
      </c>
      <c r="F87" s="182" t="s">
        <v>115</v>
      </c>
      <c r="G87" s="145">
        <f>196.646863+11.35+0.5</f>
        <v>208.49686299999999</v>
      </c>
      <c r="H87" s="187" t="s">
        <v>13</v>
      </c>
      <c r="I87" s="180" t="s">
        <v>20</v>
      </c>
      <c r="J87" s="187" t="s">
        <v>21</v>
      </c>
      <c r="K87" s="214" t="s">
        <v>601</v>
      </c>
      <c r="L87" s="236">
        <v>44255</v>
      </c>
    </row>
    <row r="88" spans="1:12" s="56" customFormat="1" x14ac:dyDescent="0.45">
      <c r="A88" s="246"/>
      <c r="B88" s="277"/>
      <c r="C88" s="187" t="s">
        <v>430</v>
      </c>
      <c r="D88" s="182" t="s">
        <v>22</v>
      </c>
      <c r="E88" s="187" t="s">
        <v>18</v>
      </c>
      <c r="F88" s="182" t="s">
        <v>115</v>
      </c>
      <c r="G88" s="145">
        <v>24.399311999999998</v>
      </c>
      <c r="H88" s="187" t="s">
        <v>13</v>
      </c>
      <c r="I88" s="185" t="s">
        <v>23</v>
      </c>
      <c r="J88" s="149" t="s">
        <v>15</v>
      </c>
      <c r="K88" s="214"/>
      <c r="L88" s="202"/>
    </row>
    <row r="89" spans="1:12" x14ac:dyDescent="0.45">
      <c r="A89" s="201" t="s">
        <v>80</v>
      </c>
      <c r="B89" s="83">
        <v>5</v>
      </c>
      <c r="C89" s="187" t="s">
        <v>430</v>
      </c>
      <c r="D89" s="182" t="s">
        <v>409</v>
      </c>
      <c r="E89" s="187" t="s">
        <v>18</v>
      </c>
      <c r="F89" s="182" t="s">
        <v>115</v>
      </c>
      <c r="G89" s="145">
        <v>3.7789999999999999</v>
      </c>
      <c r="H89" s="187" t="s">
        <v>13</v>
      </c>
      <c r="I89" s="188" t="s">
        <v>455</v>
      </c>
      <c r="J89" s="182" t="s">
        <v>223</v>
      </c>
      <c r="K89" s="214"/>
      <c r="L89" s="203"/>
    </row>
    <row r="90" spans="1:12" ht="42.75" x14ac:dyDescent="0.45">
      <c r="A90" s="315" t="s">
        <v>81</v>
      </c>
      <c r="B90" s="247">
        <v>1800</v>
      </c>
      <c r="C90" s="179" t="s">
        <v>28</v>
      </c>
      <c r="D90" s="182" t="s">
        <v>19</v>
      </c>
      <c r="E90" s="187" t="s">
        <v>12</v>
      </c>
      <c r="F90" s="182" t="s">
        <v>369</v>
      </c>
      <c r="G90" s="145">
        <v>1800</v>
      </c>
      <c r="H90" s="293" t="s">
        <v>13</v>
      </c>
      <c r="I90" s="278" t="s">
        <v>82</v>
      </c>
      <c r="J90" s="293" t="s">
        <v>21</v>
      </c>
      <c r="K90" s="279" t="s">
        <v>602</v>
      </c>
      <c r="L90" s="294">
        <v>44255</v>
      </c>
    </row>
    <row r="91" spans="1:12" x14ac:dyDescent="0.45">
      <c r="A91" s="315"/>
      <c r="B91" s="277"/>
      <c r="C91" s="179" t="s">
        <v>28</v>
      </c>
      <c r="D91" s="182" t="s">
        <v>19</v>
      </c>
      <c r="E91" s="187" t="s">
        <v>18</v>
      </c>
      <c r="F91" s="110" t="s">
        <v>115</v>
      </c>
      <c r="G91" s="145">
        <v>37.200000000000003</v>
      </c>
      <c r="H91" s="293"/>
      <c r="I91" s="278"/>
      <c r="J91" s="293"/>
      <c r="K91" s="279"/>
      <c r="L91" s="294"/>
    </row>
    <row r="92" spans="1:12" ht="42.75" x14ac:dyDescent="0.45">
      <c r="A92" s="244" t="s">
        <v>83</v>
      </c>
      <c r="B92" s="281">
        <f>11+500</f>
        <v>511</v>
      </c>
      <c r="C92" s="179" t="s">
        <v>28</v>
      </c>
      <c r="D92" s="182" t="s">
        <v>24</v>
      </c>
      <c r="E92" s="187" t="s">
        <v>12</v>
      </c>
      <c r="F92" s="182" t="s">
        <v>369</v>
      </c>
      <c r="G92" s="145">
        <v>500</v>
      </c>
      <c r="H92" s="305" t="s">
        <v>13</v>
      </c>
      <c r="I92" s="308" t="s">
        <v>25</v>
      </c>
      <c r="J92" s="299" t="s">
        <v>569</v>
      </c>
      <c r="K92" s="255" t="s">
        <v>563</v>
      </c>
      <c r="L92" s="241">
        <v>44227</v>
      </c>
    </row>
    <row r="93" spans="1:12" s="56" customFormat="1" ht="28.5" x14ac:dyDescent="0.45">
      <c r="A93" s="246"/>
      <c r="B93" s="277"/>
      <c r="C93" s="183" t="s">
        <v>430</v>
      </c>
      <c r="D93" s="182" t="s">
        <v>24</v>
      </c>
      <c r="E93" s="187" t="s">
        <v>18</v>
      </c>
      <c r="F93" s="182" t="s">
        <v>115</v>
      </c>
      <c r="G93" s="145">
        <v>8.1844990000000006</v>
      </c>
      <c r="H93" s="307"/>
      <c r="I93" s="310"/>
      <c r="J93" s="301"/>
      <c r="K93" s="256"/>
      <c r="L93" s="261"/>
    </row>
    <row r="94" spans="1:12" ht="30" customHeight="1" x14ac:dyDescent="0.45">
      <c r="A94" s="200" t="s">
        <v>84</v>
      </c>
      <c r="B94" s="197">
        <v>1000</v>
      </c>
      <c r="C94" s="183" t="s">
        <v>44</v>
      </c>
      <c r="D94" s="182" t="s">
        <v>19</v>
      </c>
      <c r="E94" s="187" t="s">
        <v>115</v>
      </c>
      <c r="F94" s="182" t="s">
        <v>115</v>
      </c>
      <c r="G94" s="145" t="s">
        <v>115</v>
      </c>
      <c r="H94" s="187" t="s">
        <v>13</v>
      </c>
      <c r="I94" s="180" t="s">
        <v>20</v>
      </c>
      <c r="J94" s="187" t="s">
        <v>21</v>
      </c>
      <c r="K94" s="214" t="s">
        <v>41</v>
      </c>
      <c r="L94" s="202">
        <v>44255</v>
      </c>
    </row>
    <row r="95" spans="1:12" ht="28.5" x14ac:dyDescent="0.45">
      <c r="A95" s="201" t="s">
        <v>85</v>
      </c>
      <c r="B95" s="83">
        <v>20</v>
      </c>
      <c r="C95" s="179" t="s">
        <v>44</v>
      </c>
      <c r="D95" s="182" t="s">
        <v>16</v>
      </c>
      <c r="E95" s="187" t="s">
        <v>115</v>
      </c>
      <c r="F95" s="182" t="s">
        <v>115</v>
      </c>
      <c r="G95" s="145" t="s">
        <v>115</v>
      </c>
      <c r="H95" s="187" t="s">
        <v>13</v>
      </c>
      <c r="I95" s="180" t="s">
        <v>17</v>
      </c>
      <c r="J95" s="182" t="s">
        <v>75</v>
      </c>
      <c r="K95" s="214"/>
      <c r="L95" s="203"/>
    </row>
    <row r="96" spans="1:12" x14ac:dyDescent="0.45">
      <c r="A96" s="201" t="s">
        <v>422</v>
      </c>
      <c r="B96" s="83">
        <v>30</v>
      </c>
      <c r="C96" s="179" t="s">
        <v>44</v>
      </c>
      <c r="D96" s="182" t="s">
        <v>407</v>
      </c>
      <c r="E96" s="187" t="s">
        <v>115</v>
      </c>
      <c r="F96" s="182" t="s">
        <v>115</v>
      </c>
      <c r="G96" s="145" t="s">
        <v>115</v>
      </c>
      <c r="H96" s="190" t="s">
        <v>13</v>
      </c>
      <c r="I96" s="180" t="s">
        <v>423</v>
      </c>
      <c r="J96" s="182" t="s">
        <v>223</v>
      </c>
      <c r="K96" s="214"/>
      <c r="L96" s="203"/>
    </row>
    <row r="97" spans="1:12" ht="28.5" x14ac:dyDescent="0.45">
      <c r="A97" s="315" t="s">
        <v>86</v>
      </c>
      <c r="B97" s="281">
        <f>158+237</f>
        <v>395</v>
      </c>
      <c r="C97" s="187" t="s">
        <v>28</v>
      </c>
      <c r="D97" s="182" t="s">
        <v>37</v>
      </c>
      <c r="E97" s="187" t="s">
        <v>12</v>
      </c>
      <c r="F97" s="182" t="s">
        <v>367</v>
      </c>
      <c r="G97" s="145">
        <v>157.5</v>
      </c>
      <c r="H97" s="264" t="s">
        <v>462</v>
      </c>
      <c r="I97" s="262" t="s">
        <v>115</v>
      </c>
      <c r="J97" s="299" t="s">
        <v>569</v>
      </c>
      <c r="K97" s="265" t="s">
        <v>507</v>
      </c>
      <c r="L97" s="275">
        <v>44227</v>
      </c>
    </row>
    <row r="98" spans="1:12" ht="28.5" x14ac:dyDescent="0.45">
      <c r="A98" s="315"/>
      <c r="B98" s="277"/>
      <c r="C98" s="187" t="s">
        <v>10</v>
      </c>
      <c r="D98" s="182" t="s">
        <v>37</v>
      </c>
      <c r="E98" s="187" t="s">
        <v>12</v>
      </c>
      <c r="F98" s="182" t="s">
        <v>371</v>
      </c>
      <c r="G98" s="145">
        <v>236.7</v>
      </c>
      <c r="H98" s="264"/>
      <c r="I98" s="262"/>
      <c r="J98" s="301"/>
      <c r="K98" s="265"/>
      <c r="L98" s="276"/>
    </row>
    <row r="99" spans="1:12" x14ac:dyDescent="0.45">
      <c r="A99" s="244" t="s">
        <v>89</v>
      </c>
      <c r="B99" s="281">
        <f>509</f>
        <v>509</v>
      </c>
      <c r="C99" s="187" t="s">
        <v>10</v>
      </c>
      <c r="D99" s="182" t="s">
        <v>19</v>
      </c>
      <c r="E99" s="187" t="s">
        <v>18</v>
      </c>
      <c r="F99" s="182" t="s">
        <v>115</v>
      </c>
      <c r="G99" s="145">
        <f>196.016667+34.744768</f>
        <v>230.76143500000001</v>
      </c>
      <c r="H99" s="283" t="s">
        <v>13</v>
      </c>
      <c r="I99" s="286" t="s">
        <v>20</v>
      </c>
      <c r="J99" s="283" t="s">
        <v>21</v>
      </c>
      <c r="K99" s="290" t="s">
        <v>603</v>
      </c>
      <c r="L99" s="241">
        <v>44255</v>
      </c>
    </row>
    <row r="100" spans="1:12" s="56" customFormat="1" ht="42.75" x14ac:dyDescent="0.45">
      <c r="A100" s="245"/>
      <c r="B100" s="282"/>
      <c r="C100" s="187" t="s">
        <v>10</v>
      </c>
      <c r="D100" s="97" t="s">
        <v>19</v>
      </c>
      <c r="E100" s="187" t="s">
        <v>12</v>
      </c>
      <c r="F100" s="182" t="s">
        <v>369</v>
      </c>
      <c r="G100" s="145">
        <f>278.038565</f>
        <v>278.03856500000001</v>
      </c>
      <c r="H100" s="284"/>
      <c r="I100" s="287"/>
      <c r="J100" s="284"/>
      <c r="K100" s="291"/>
      <c r="L100" s="260"/>
    </row>
    <row r="101" spans="1:12" s="56" customFormat="1" x14ac:dyDescent="0.45">
      <c r="A101" s="245"/>
      <c r="B101" s="282"/>
      <c r="C101" s="187" t="s">
        <v>430</v>
      </c>
      <c r="D101" s="97" t="s">
        <v>19</v>
      </c>
      <c r="E101" s="187" t="s">
        <v>18</v>
      </c>
      <c r="F101" s="182" t="s">
        <v>115</v>
      </c>
      <c r="G101" s="145">
        <f>155.154616+1.8+68.60198</f>
        <v>225.55659600000001</v>
      </c>
      <c r="H101" s="284"/>
      <c r="I101" s="287"/>
      <c r="J101" s="284"/>
      <c r="K101" s="291"/>
      <c r="L101" s="260"/>
    </row>
    <row r="102" spans="1:12" s="56" customFormat="1" ht="42.75" x14ac:dyDescent="0.45">
      <c r="A102" s="246"/>
      <c r="B102" s="277"/>
      <c r="C102" s="190" t="s">
        <v>430</v>
      </c>
      <c r="D102" s="97" t="s">
        <v>19</v>
      </c>
      <c r="E102" s="190" t="s">
        <v>12</v>
      </c>
      <c r="F102" s="182" t="s">
        <v>369</v>
      </c>
      <c r="G102" s="145">
        <v>-225.55659600000001</v>
      </c>
      <c r="H102" s="285"/>
      <c r="I102" s="288"/>
      <c r="J102" s="285"/>
      <c r="K102" s="292"/>
      <c r="L102" s="243"/>
    </row>
    <row r="103" spans="1:12" ht="42.75" x14ac:dyDescent="0.45">
      <c r="A103" s="315" t="s">
        <v>90</v>
      </c>
      <c r="B103" s="281">
        <v>54</v>
      </c>
      <c r="C103" s="187" t="s">
        <v>28</v>
      </c>
      <c r="D103" s="182" t="s">
        <v>91</v>
      </c>
      <c r="E103" s="187" t="s">
        <v>12</v>
      </c>
      <c r="F103" s="182" t="s">
        <v>369</v>
      </c>
      <c r="G103" s="145">
        <v>50</v>
      </c>
      <c r="H103" s="283" t="s">
        <v>13</v>
      </c>
      <c r="I103" s="286" t="s">
        <v>92</v>
      </c>
      <c r="J103" s="281" t="s">
        <v>21</v>
      </c>
      <c r="K103" s="272" t="s">
        <v>469</v>
      </c>
      <c r="L103" s="241">
        <v>44251</v>
      </c>
    </row>
    <row r="104" spans="1:12" s="56" customFormat="1" ht="42.75" x14ac:dyDescent="0.45">
      <c r="A104" s="315"/>
      <c r="B104" s="282"/>
      <c r="C104" s="187" t="s">
        <v>447</v>
      </c>
      <c r="D104" s="182" t="s">
        <v>91</v>
      </c>
      <c r="E104" s="187" t="s">
        <v>12</v>
      </c>
      <c r="F104" s="182" t="s">
        <v>369</v>
      </c>
      <c r="G104" s="145">
        <v>-13.124556</v>
      </c>
      <c r="H104" s="284"/>
      <c r="I104" s="287"/>
      <c r="J104" s="282"/>
      <c r="K104" s="273"/>
      <c r="L104" s="260"/>
    </row>
    <row r="105" spans="1:12" s="56" customFormat="1" x14ac:dyDescent="0.45">
      <c r="A105" s="315"/>
      <c r="B105" s="282"/>
      <c r="C105" s="187" t="s">
        <v>430</v>
      </c>
      <c r="D105" s="182" t="s">
        <v>91</v>
      </c>
      <c r="E105" s="187" t="s">
        <v>18</v>
      </c>
      <c r="F105" s="182" t="s">
        <v>115</v>
      </c>
      <c r="G105" s="145">
        <v>13.124556</v>
      </c>
      <c r="H105" s="285"/>
      <c r="I105" s="288"/>
      <c r="J105" s="277"/>
      <c r="K105" s="274"/>
      <c r="L105" s="261"/>
    </row>
    <row r="106" spans="1:12" ht="42.75" x14ac:dyDescent="0.45">
      <c r="A106" s="315"/>
      <c r="B106" s="277"/>
      <c r="C106" s="187" t="s">
        <v>10</v>
      </c>
      <c r="D106" s="182" t="s">
        <v>37</v>
      </c>
      <c r="E106" s="187" t="s">
        <v>12</v>
      </c>
      <c r="F106" s="182" t="s">
        <v>369</v>
      </c>
      <c r="G106" s="145">
        <v>4</v>
      </c>
      <c r="H106" s="187" t="s">
        <v>13</v>
      </c>
      <c r="I106" s="188" t="s">
        <v>38</v>
      </c>
      <c r="J106" s="220" t="s">
        <v>569</v>
      </c>
      <c r="K106" s="214" t="s">
        <v>529</v>
      </c>
      <c r="L106" s="202">
        <v>44227</v>
      </c>
    </row>
    <row r="107" spans="1:12" ht="30" customHeight="1" x14ac:dyDescent="0.45">
      <c r="A107" s="201" t="s">
        <v>95</v>
      </c>
      <c r="B107" s="83">
        <v>34</v>
      </c>
      <c r="C107" s="187" t="s">
        <v>430</v>
      </c>
      <c r="D107" s="182" t="s">
        <v>91</v>
      </c>
      <c r="E107" s="187" t="s">
        <v>18</v>
      </c>
      <c r="F107" s="182" t="s">
        <v>115</v>
      </c>
      <c r="G107" s="145">
        <f>31.7+2.06709+0.14</f>
        <v>33.907089999999997</v>
      </c>
      <c r="H107" s="187" t="s">
        <v>13</v>
      </c>
      <c r="I107" s="188" t="s">
        <v>92</v>
      </c>
      <c r="J107" s="187" t="s">
        <v>15</v>
      </c>
      <c r="K107" s="98"/>
      <c r="L107" s="232"/>
    </row>
    <row r="108" spans="1:12" x14ac:dyDescent="0.45">
      <c r="A108" s="315" t="s">
        <v>96</v>
      </c>
      <c r="B108" s="281">
        <v>59</v>
      </c>
      <c r="C108" s="187" t="s">
        <v>10</v>
      </c>
      <c r="D108" s="182" t="s">
        <v>91</v>
      </c>
      <c r="E108" s="187" t="s">
        <v>18</v>
      </c>
      <c r="F108" s="182" t="s">
        <v>115</v>
      </c>
      <c r="G108" s="145">
        <v>30.004252000000001</v>
      </c>
      <c r="H108" s="262" t="s">
        <v>13</v>
      </c>
      <c r="I108" s="263" t="s">
        <v>92</v>
      </c>
      <c r="J108" s="264" t="s">
        <v>21</v>
      </c>
      <c r="K108" s="290" t="s">
        <v>467</v>
      </c>
      <c r="L108" s="275">
        <v>44251</v>
      </c>
    </row>
    <row r="109" spans="1:12" ht="28.5" x14ac:dyDescent="0.45">
      <c r="A109" s="315"/>
      <c r="B109" s="282"/>
      <c r="C109" s="187" t="s">
        <v>10</v>
      </c>
      <c r="D109" s="182" t="s">
        <v>91</v>
      </c>
      <c r="E109" s="187" t="s">
        <v>12</v>
      </c>
      <c r="F109" s="182" t="s">
        <v>371</v>
      </c>
      <c r="G109" s="145">
        <v>5</v>
      </c>
      <c r="H109" s="262"/>
      <c r="I109" s="263"/>
      <c r="J109" s="264"/>
      <c r="K109" s="292"/>
      <c r="L109" s="275"/>
    </row>
    <row r="110" spans="1:12" ht="28.5" x14ac:dyDescent="0.45">
      <c r="A110" s="315"/>
      <c r="B110" s="282"/>
      <c r="C110" s="187" t="s">
        <v>10</v>
      </c>
      <c r="D110" s="182" t="s">
        <v>37</v>
      </c>
      <c r="E110" s="187" t="s">
        <v>12</v>
      </c>
      <c r="F110" s="182" t="s">
        <v>371</v>
      </c>
      <c r="G110" s="145">
        <v>15.495009</v>
      </c>
      <c r="H110" s="262" t="s">
        <v>13</v>
      </c>
      <c r="I110" s="263" t="s">
        <v>38</v>
      </c>
      <c r="J110" s="280" t="s">
        <v>569</v>
      </c>
      <c r="K110" s="314" t="s">
        <v>508</v>
      </c>
      <c r="L110" s="241">
        <v>44227</v>
      </c>
    </row>
    <row r="111" spans="1:12" ht="28.5" x14ac:dyDescent="0.45">
      <c r="A111" s="315"/>
      <c r="B111" s="277"/>
      <c r="C111" s="187" t="s">
        <v>10</v>
      </c>
      <c r="D111" s="182" t="s">
        <v>37</v>
      </c>
      <c r="E111" s="187" t="s">
        <v>18</v>
      </c>
      <c r="F111" s="182" t="s">
        <v>115</v>
      </c>
      <c r="G111" s="145">
        <v>6.9344419999999998</v>
      </c>
      <c r="H111" s="262"/>
      <c r="I111" s="263"/>
      <c r="J111" s="280"/>
      <c r="K111" s="314"/>
      <c r="L111" s="261"/>
    </row>
    <row r="112" spans="1:12" ht="42.75" x14ac:dyDescent="0.45">
      <c r="A112" s="201" t="s">
        <v>97</v>
      </c>
      <c r="B112" s="83">
        <v>292</v>
      </c>
      <c r="C112" s="187" t="s">
        <v>10</v>
      </c>
      <c r="D112" s="182" t="s">
        <v>98</v>
      </c>
      <c r="E112" s="187" t="s">
        <v>18</v>
      </c>
      <c r="F112" s="182" t="s">
        <v>115</v>
      </c>
      <c r="G112" s="145">
        <f>234.707427+21.265071</f>
        <v>255.972498</v>
      </c>
      <c r="H112" s="182" t="s">
        <v>99</v>
      </c>
      <c r="I112" s="176" t="s">
        <v>115</v>
      </c>
      <c r="J112" s="144" t="s">
        <v>21</v>
      </c>
      <c r="K112" s="22" t="s">
        <v>100</v>
      </c>
      <c r="L112" s="212">
        <v>43922</v>
      </c>
    </row>
    <row r="113" spans="1:12" ht="28.5" x14ac:dyDescent="0.45">
      <c r="A113" s="315" t="s">
        <v>101</v>
      </c>
      <c r="B113" s="281">
        <v>25</v>
      </c>
      <c r="C113" s="187" t="s">
        <v>10</v>
      </c>
      <c r="D113" s="182" t="s">
        <v>37</v>
      </c>
      <c r="E113" s="187" t="s">
        <v>12</v>
      </c>
      <c r="F113" s="182" t="s">
        <v>371</v>
      </c>
      <c r="G113" s="145">
        <v>12.65</v>
      </c>
      <c r="H113" s="262" t="s">
        <v>13</v>
      </c>
      <c r="I113" s="263" t="s">
        <v>38</v>
      </c>
      <c r="J113" s="280" t="s">
        <v>569</v>
      </c>
      <c r="K113" s="314" t="s">
        <v>509</v>
      </c>
      <c r="L113" s="241">
        <v>44227</v>
      </c>
    </row>
    <row r="114" spans="1:12" ht="28.5" x14ac:dyDescent="0.45">
      <c r="A114" s="315"/>
      <c r="B114" s="277"/>
      <c r="C114" s="187" t="s">
        <v>10</v>
      </c>
      <c r="D114" s="182" t="s">
        <v>37</v>
      </c>
      <c r="E114" s="187" t="s">
        <v>18</v>
      </c>
      <c r="F114" s="208" t="s">
        <v>115</v>
      </c>
      <c r="G114" s="145">
        <f>11.5+0.97319</f>
        <v>12.473190000000001</v>
      </c>
      <c r="H114" s="262"/>
      <c r="I114" s="263"/>
      <c r="J114" s="280"/>
      <c r="K114" s="314"/>
      <c r="L114" s="261"/>
    </row>
    <row r="115" spans="1:12" ht="28.5" x14ac:dyDescent="0.45">
      <c r="A115" s="244" t="s">
        <v>102</v>
      </c>
      <c r="B115" s="281">
        <v>506</v>
      </c>
      <c r="C115" s="187" t="s">
        <v>430</v>
      </c>
      <c r="D115" s="182" t="s">
        <v>22</v>
      </c>
      <c r="E115" s="187" t="s">
        <v>12</v>
      </c>
      <c r="F115" s="182" t="s">
        <v>591</v>
      </c>
      <c r="G115" s="145">
        <v>505.65</v>
      </c>
      <c r="H115" s="283" t="s">
        <v>13</v>
      </c>
      <c r="I115" s="308" t="s">
        <v>23</v>
      </c>
      <c r="J115" s="283" t="s">
        <v>15</v>
      </c>
      <c r="K115" s="290"/>
      <c r="L115" s="333"/>
    </row>
    <row r="116" spans="1:12" s="56" customFormat="1" x14ac:dyDescent="0.45">
      <c r="A116" s="246"/>
      <c r="B116" s="277"/>
      <c r="C116" s="187" t="s">
        <v>430</v>
      </c>
      <c r="D116" s="182" t="s">
        <v>22</v>
      </c>
      <c r="E116" s="187" t="s">
        <v>18</v>
      </c>
      <c r="F116" s="182" t="s">
        <v>115</v>
      </c>
      <c r="G116" s="166">
        <f>2.32261-2.066</f>
        <v>0.25661000000000023</v>
      </c>
      <c r="H116" s="285"/>
      <c r="I116" s="310"/>
      <c r="J116" s="285"/>
      <c r="K116" s="292"/>
      <c r="L116" s="243"/>
    </row>
    <row r="117" spans="1:12" ht="42.75" x14ac:dyDescent="0.45">
      <c r="A117" s="315" t="s">
        <v>103</v>
      </c>
      <c r="B117" s="281">
        <v>241</v>
      </c>
      <c r="C117" s="179" t="s">
        <v>28</v>
      </c>
      <c r="D117" s="182" t="s">
        <v>22</v>
      </c>
      <c r="E117" s="187" t="s">
        <v>12</v>
      </c>
      <c r="F117" s="182" t="s">
        <v>369</v>
      </c>
      <c r="G117" s="145">
        <v>253.264557</v>
      </c>
      <c r="H117" s="293" t="s">
        <v>13</v>
      </c>
      <c r="I117" s="278" t="s">
        <v>104</v>
      </c>
      <c r="J117" s="299" t="s">
        <v>569</v>
      </c>
      <c r="K117" s="279" t="s">
        <v>482</v>
      </c>
      <c r="L117" s="294">
        <v>44227</v>
      </c>
    </row>
    <row r="118" spans="1:12" ht="42.75" x14ac:dyDescent="0.45">
      <c r="A118" s="315"/>
      <c r="B118" s="282"/>
      <c r="C118" s="179" t="s">
        <v>10</v>
      </c>
      <c r="D118" s="182" t="s">
        <v>22</v>
      </c>
      <c r="E118" s="187" t="s">
        <v>12</v>
      </c>
      <c r="F118" s="182" t="s">
        <v>369</v>
      </c>
      <c r="G118" s="145">
        <v>-101.336512</v>
      </c>
      <c r="H118" s="293"/>
      <c r="I118" s="278"/>
      <c r="J118" s="300"/>
      <c r="K118" s="279"/>
      <c r="L118" s="328"/>
    </row>
    <row r="119" spans="1:12" s="56" customFormat="1" x14ac:dyDescent="0.45">
      <c r="A119" s="315"/>
      <c r="B119" s="282"/>
      <c r="C119" s="179" t="s">
        <v>10</v>
      </c>
      <c r="D119" s="182" t="s">
        <v>22</v>
      </c>
      <c r="E119" s="187" t="s">
        <v>18</v>
      </c>
      <c r="F119" s="182" t="s">
        <v>115</v>
      </c>
      <c r="G119" s="145">
        <f>14.975267+85</f>
        <v>99.975267000000002</v>
      </c>
      <c r="H119" s="293"/>
      <c r="I119" s="278"/>
      <c r="J119" s="300"/>
      <c r="K119" s="279"/>
      <c r="L119" s="328"/>
    </row>
    <row r="120" spans="1:12" s="56" customFormat="1" ht="42.75" x14ac:dyDescent="0.45">
      <c r="A120" s="315"/>
      <c r="B120" s="282"/>
      <c r="C120" s="179" t="s">
        <v>430</v>
      </c>
      <c r="D120" s="182" t="s">
        <v>22</v>
      </c>
      <c r="E120" s="187" t="s">
        <v>12</v>
      </c>
      <c r="F120" s="182" t="s">
        <v>369</v>
      </c>
      <c r="G120" s="145">
        <v>-116.14223699999999</v>
      </c>
      <c r="H120" s="293"/>
      <c r="I120" s="278"/>
      <c r="J120" s="300"/>
      <c r="K120" s="279"/>
      <c r="L120" s="328"/>
    </row>
    <row r="121" spans="1:12" s="56" customFormat="1" x14ac:dyDescent="0.45">
      <c r="A121" s="315"/>
      <c r="B121" s="282"/>
      <c r="C121" s="179" t="s">
        <v>430</v>
      </c>
      <c r="D121" s="182" t="s">
        <v>22</v>
      </c>
      <c r="E121" s="187" t="s">
        <v>18</v>
      </c>
      <c r="F121" s="182" t="s">
        <v>115</v>
      </c>
      <c r="G121" s="145">
        <v>47.492269</v>
      </c>
      <c r="H121" s="293"/>
      <c r="I121" s="278"/>
      <c r="J121" s="300"/>
      <c r="K121" s="279"/>
      <c r="L121" s="328"/>
    </row>
    <row r="122" spans="1:12" ht="28.5" x14ac:dyDescent="0.45">
      <c r="A122" s="315"/>
      <c r="B122" s="277"/>
      <c r="C122" s="179" t="s">
        <v>430</v>
      </c>
      <c r="D122" s="182" t="s">
        <v>22</v>
      </c>
      <c r="E122" s="190" t="s">
        <v>12</v>
      </c>
      <c r="F122" s="182" t="s">
        <v>591</v>
      </c>
      <c r="G122" s="147">
        <v>68.649968000000001</v>
      </c>
      <c r="H122" s="293"/>
      <c r="I122" s="278"/>
      <c r="J122" s="301"/>
      <c r="K122" s="279"/>
      <c r="L122" s="328"/>
    </row>
    <row r="123" spans="1:12" ht="29.25" customHeight="1" x14ac:dyDescent="0.45">
      <c r="A123" s="244" t="s">
        <v>105</v>
      </c>
      <c r="B123" s="281">
        <v>93</v>
      </c>
      <c r="C123" s="179" t="s">
        <v>430</v>
      </c>
      <c r="D123" s="182" t="s">
        <v>22</v>
      </c>
      <c r="E123" s="187" t="s">
        <v>12</v>
      </c>
      <c r="F123" s="182" t="s">
        <v>591</v>
      </c>
      <c r="G123" s="145">
        <v>43</v>
      </c>
      <c r="H123" s="187" t="s">
        <v>13</v>
      </c>
      <c r="I123" s="185" t="s">
        <v>23</v>
      </c>
      <c r="J123" s="187" t="s">
        <v>15</v>
      </c>
      <c r="K123" s="214"/>
      <c r="L123" s="203"/>
    </row>
    <row r="124" spans="1:12" s="56" customFormat="1" ht="29.25" customHeight="1" x14ac:dyDescent="0.45">
      <c r="A124" s="246"/>
      <c r="B124" s="277"/>
      <c r="C124" s="179" t="s">
        <v>430</v>
      </c>
      <c r="D124" s="182" t="s">
        <v>19</v>
      </c>
      <c r="E124" s="187" t="s">
        <v>18</v>
      </c>
      <c r="F124" s="182" t="s">
        <v>115</v>
      </c>
      <c r="G124" s="145">
        <v>50</v>
      </c>
      <c r="H124" s="187" t="s">
        <v>13</v>
      </c>
      <c r="I124" s="180" t="s">
        <v>20</v>
      </c>
      <c r="J124" s="187" t="s">
        <v>21</v>
      </c>
      <c r="K124" s="214" t="s">
        <v>41</v>
      </c>
      <c r="L124" s="202">
        <v>44255</v>
      </c>
    </row>
    <row r="125" spans="1:12" ht="28.5" x14ac:dyDescent="0.45">
      <c r="A125" s="201" t="s">
        <v>106</v>
      </c>
      <c r="B125" s="83">
        <v>21</v>
      </c>
      <c r="C125" s="179" t="s">
        <v>430</v>
      </c>
      <c r="D125" s="182" t="s">
        <v>22</v>
      </c>
      <c r="E125" s="187" t="s">
        <v>12</v>
      </c>
      <c r="F125" s="182" t="s">
        <v>591</v>
      </c>
      <c r="G125" s="145">
        <f>64.4273-43</f>
        <v>21.427300000000002</v>
      </c>
      <c r="H125" s="187" t="s">
        <v>13</v>
      </c>
      <c r="I125" s="185" t="s">
        <v>23</v>
      </c>
      <c r="J125" s="187" t="s">
        <v>15</v>
      </c>
      <c r="K125" s="214"/>
      <c r="L125" s="203"/>
    </row>
    <row r="126" spans="1:12" ht="28.5" x14ac:dyDescent="0.45">
      <c r="A126" s="315" t="s">
        <v>107</v>
      </c>
      <c r="B126" s="281">
        <f>100+35</f>
        <v>135</v>
      </c>
      <c r="C126" s="187" t="s">
        <v>28</v>
      </c>
      <c r="D126" s="182" t="s">
        <v>108</v>
      </c>
      <c r="E126" s="187" t="s">
        <v>18</v>
      </c>
      <c r="F126" s="182" t="s">
        <v>115</v>
      </c>
      <c r="G126" s="145">
        <v>59.32</v>
      </c>
      <c r="H126" s="262" t="s">
        <v>13</v>
      </c>
      <c r="I126" s="263" t="s">
        <v>109</v>
      </c>
      <c r="J126" s="269" t="s">
        <v>569</v>
      </c>
      <c r="K126" s="265" t="s">
        <v>485</v>
      </c>
      <c r="L126" s="334">
        <v>44227</v>
      </c>
    </row>
    <row r="127" spans="1:12" ht="28.5" x14ac:dyDescent="0.45">
      <c r="A127" s="315"/>
      <c r="B127" s="282"/>
      <c r="C127" s="187" t="s">
        <v>28</v>
      </c>
      <c r="D127" s="182" t="s">
        <v>108</v>
      </c>
      <c r="E127" s="187" t="s">
        <v>12</v>
      </c>
      <c r="F127" s="182" t="s">
        <v>367</v>
      </c>
      <c r="G127" s="145">
        <v>40.68</v>
      </c>
      <c r="H127" s="262"/>
      <c r="I127" s="263"/>
      <c r="J127" s="270"/>
      <c r="K127" s="265"/>
      <c r="L127" s="276"/>
    </row>
    <row r="128" spans="1:12" ht="28.5" x14ac:dyDescent="0.45">
      <c r="A128" s="315"/>
      <c r="B128" s="282"/>
      <c r="C128" s="187" t="s">
        <v>10</v>
      </c>
      <c r="D128" s="182" t="s">
        <v>108</v>
      </c>
      <c r="E128" s="187" t="s">
        <v>12</v>
      </c>
      <c r="F128" s="182" t="s">
        <v>367</v>
      </c>
      <c r="G128" s="145">
        <v>-1.2203999999999999</v>
      </c>
      <c r="H128" s="262"/>
      <c r="I128" s="263"/>
      <c r="J128" s="270"/>
      <c r="K128" s="265"/>
      <c r="L128" s="276"/>
    </row>
    <row r="129" spans="1:12" s="56" customFormat="1" ht="28.5" x14ac:dyDescent="0.45">
      <c r="A129" s="315"/>
      <c r="B129" s="282"/>
      <c r="C129" s="187" t="s">
        <v>10</v>
      </c>
      <c r="D129" s="182" t="s">
        <v>108</v>
      </c>
      <c r="E129" s="187" t="s">
        <v>18</v>
      </c>
      <c r="F129" s="182" t="s">
        <v>115</v>
      </c>
      <c r="G129" s="145">
        <v>1.2203999999999999</v>
      </c>
      <c r="H129" s="262"/>
      <c r="I129" s="263"/>
      <c r="J129" s="270"/>
      <c r="K129" s="265"/>
      <c r="L129" s="276"/>
    </row>
    <row r="130" spans="1:12" ht="28.5" x14ac:dyDescent="0.45">
      <c r="A130" s="315"/>
      <c r="B130" s="277"/>
      <c r="C130" s="190" t="s">
        <v>430</v>
      </c>
      <c r="D130" s="182" t="s">
        <v>108</v>
      </c>
      <c r="E130" s="190" t="s">
        <v>18</v>
      </c>
      <c r="F130" s="198" t="s">
        <v>115</v>
      </c>
      <c r="G130" s="145">
        <v>35</v>
      </c>
      <c r="H130" s="262"/>
      <c r="I130" s="263"/>
      <c r="J130" s="271"/>
      <c r="K130" s="265"/>
      <c r="L130" s="276"/>
    </row>
    <row r="131" spans="1:12" ht="28.5" x14ac:dyDescent="0.45">
      <c r="A131" s="201" t="s">
        <v>110</v>
      </c>
      <c r="B131" s="83">
        <v>0</v>
      </c>
      <c r="C131" s="187" t="s">
        <v>44</v>
      </c>
      <c r="D131" s="182" t="s">
        <v>108</v>
      </c>
      <c r="E131" s="187" t="s">
        <v>115</v>
      </c>
      <c r="F131" s="182" t="s">
        <v>115</v>
      </c>
      <c r="G131" s="145" t="s">
        <v>115</v>
      </c>
      <c r="H131" s="187" t="s">
        <v>388</v>
      </c>
      <c r="I131" s="187"/>
      <c r="J131" s="187"/>
      <c r="K131" s="214"/>
      <c r="L131" s="203"/>
    </row>
    <row r="132" spans="1:12" ht="42.75" x14ac:dyDescent="0.45">
      <c r="A132" s="315" t="s">
        <v>111</v>
      </c>
      <c r="B132" s="281">
        <f>285+537</f>
        <v>822</v>
      </c>
      <c r="C132" s="179" t="s">
        <v>28</v>
      </c>
      <c r="D132" s="182" t="s">
        <v>39</v>
      </c>
      <c r="E132" s="187" t="s">
        <v>12</v>
      </c>
      <c r="F132" s="182" t="s">
        <v>369</v>
      </c>
      <c r="G132" s="145">
        <v>280.536</v>
      </c>
      <c r="H132" s="305" t="s">
        <v>13</v>
      </c>
      <c r="I132" s="308" t="s">
        <v>40</v>
      </c>
      <c r="J132" s="299" t="s">
        <v>569</v>
      </c>
      <c r="K132" s="311" t="s">
        <v>497</v>
      </c>
      <c r="L132" s="257">
        <v>44227</v>
      </c>
    </row>
    <row r="133" spans="1:12" s="56" customFormat="1" x14ac:dyDescent="0.45">
      <c r="A133" s="315"/>
      <c r="B133" s="282"/>
      <c r="C133" s="179" t="s">
        <v>430</v>
      </c>
      <c r="D133" s="182" t="s">
        <v>39</v>
      </c>
      <c r="E133" s="187" t="s">
        <v>18</v>
      </c>
      <c r="F133" s="182" t="s">
        <v>115</v>
      </c>
      <c r="G133" s="145">
        <f>61.136105+16.606763+447.9837</f>
        <v>525.72656800000004</v>
      </c>
      <c r="H133" s="306"/>
      <c r="I133" s="309"/>
      <c r="J133" s="300"/>
      <c r="K133" s="312"/>
      <c r="L133" s="258"/>
    </row>
    <row r="134" spans="1:12" s="56" customFormat="1" x14ac:dyDescent="0.45">
      <c r="A134" s="315"/>
      <c r="B134" s="282"/>
      <c r="C134" s="179" t="s">
        <v>430</v>
      </c>
      <c r="D134" s="182" t="s">
        <v>39</v>
      </c>
      <c r="E134" s="187" t="s">
        <v>18</v>
      </c>
      <c r="F134" s="182" t="s">
        <v>115</v>
      </c>
      <c r="G134" s="145">
        <v>1.2530349999999999</v>
      </c>
      <c r="H134" s="306"/>
      <c r="I134" s="309"/>
      <c r="J134" s="300"/>
      <c r="K134" s="312"/>
      <c r="L134" s="258"/>
    </row>
    <row r="135" spans="1:12" s="56" customFormat="1" ht="42.75" x14ac:dyDescent="0.45">
      <c r="A135" s="315"/>
      <c r="B135" s="282"/>
      <c r="C135" s="179" t="s">
        <v>430</v>
      </c>
      <c r="D135" s="182" t="s">
        <v>39</v>
      </c>
      <c r="E135" s="187" t="s">
        <v>12</v>
      </c>
      <c r="F135" s="182" t="s">
        <v>369</v>
      </c>
      <c r="G135" s="145">
        <v>-1.2530349999999999</v>
      </c>
      <c r="H135" s="307"/>
      <c r="I135" s="310"/>
      <c r="J135" s="301"/>
      <c r="K135" s="313"/>
      <c r="L135" s="259"/>
    </row>
    <row r="136" spans="1:12" s="56" customFormat="1" ht="42.75" x14ac:dyDescent="0.45">
      <c r="A136" s="315"/>
      <c r="B136" s="282"/>
      <c r="C136" s="179" t="s">
        <v>10</v>
      </c>
      <c r="D136" s="182" t="s">
        <v>93</v>
      </c>
      <c r="E136" s="187" t="s">
        <v>12</v>
      </c>
      <c r="F136" s="182" t="s">
        <v>369</v>
      </c>
      <c r="G136" s="145">
        <v>1.1000000000000001</v>
      </c>
      <c r="H136" s="179" t="s">
        <v>13</v>
      </c>
      <c r="I136" s="188" t="s">
        <v>94</v>
      </c>
      <c r="J136" s="181" t="s">
        <v>21</v>
      </c>
      <c r="K136" s="217" t="s">
        <v>347</v>
      </c>
      <c r="L136" s="218">
        <v>44255</v>
      </c>
    </row>
    <row r="137" spans="1:12" s="56" customFormat="1" x14ac:dyDescent="0.45">
      <c r="A137" s="315"/>
      <c r="B137" s="282"/>
      <c r="C137" s="179" t="s">
        <v>430</v>
      </c>
      <c r="D137" s="182" t="s">
        <v>19</v>
      </c>
      <c r="E137" s="187" t="s">
        <v>18</v>
      </c>
      <c r="F137" s="182" t="s">
        <v>115</v>
      </c>
      <c r="G137" s="145">
        <v>6.25</v>
      </c>
      <c r="H137" s="187" t="s">
        <v>13</v>
      </c>
      <c r="I137" s="180" t="s">
        <v>20</v>
      </c>
      <c r="J137" s="181" t="s">
        <v>15</v>
      </c>
      <c r="K137" s="217"/>
      <c r="L137" s="218"/>
    </row>
    <row r="138" spans="1:12" x14ac:dyDescent="0.45">
      <c r="A138" s="315"/>
      <c r="B138" s="277"/>
      <c r="C138" s="179" t="s">
        <v>430</v>
      </c>
      <c r="D138" s="182" t="s">
        <v>22</v>
      </c>
      <c r="E138" s="187" t="s">
        <v>18</v>
      </c>
      <c r="F138" s="182" t="s">
        <v>115</v>
      </c>
      <c r="G138" s="145">
        <v>2.0659999999999998</v>
      </c>
      <c r="H138" s="187" t="s">
        <v>13</v>
      </c>
      <c r="I138" s="185" t="s">
        <v>23</v>
      </c>
      <c r="J138" s="187" t="s">
        <v>15</v>
      </c>
      <c r="K138" s="214"/>
      <c r="L138" s="203"/>
    </row>
    <row r="139" spans="1:12" ht="28.5" x14ac:dyDescent="0.45">
      <c r="A139" s="244" t="s">
        <v>112</v>
      </c>
      <c r="B139" s="281">
        <v>83</v>
      </c>
      <c r="C139" s="187" t="s">
        <v>10</v>
      </c>
      <c r="D139" s="182" t="s">
        <v>39</v>
      </c>
      <c r="E139" s="187" t="s">
        <v>12</v>
      </c>
      <c r="F139" s="97" t="s">
        <v>367</v>
      </c>
      <c r="G139" s="145">
        <v>82.5</v>
      </c>
      <c r="H139" s="262" t="s">
        <v>13</v>
      </c>
      <c r="I139" s="263" t="s">
        <v>40</v>
      </c>
      <c r="J139" s="280" t="s">
        <v>569</v>
      </c>
      <c r="K139" s="314" t="s">
        <v>488</v>
      </c>
      <c r="L139" s="275">
        <v>44227</v>
      </c>
    </row>
    <row r="140" spans="1:12" s="56" customFormat="1" x14ac:dyDescent="0.45">
      <c r="A140" s="245"/>
      <c r="B140" s="282"/>
      <c r="C140" s="187" t="s">
        <v>430</v>
      </c>
      <c r="D140" s="182" t="s">
        <v>39</v>
      </c>
      <c r="E140" s="187" t="s">
        <v>18</v>
      </c>
      <c r="F140" s="97" t="s">
        <v>115</v>
      </c>
      <c r="G140" s="145">
        <f>57.924343+0.343862</f>
        <v>58.268205000000002</v>
      </c>
      <c r="H140" s="262"/>
      <c r="I140" s="263"/>
      <c r="J140" s="280"/>
      <c r="K140" s="314"/>
      <c r="L140" s="276"/>
    </row>
    <row r="141" spans="1:12" s="56" customFormat="1" ht="28.5" x14ac:dyDescent="0.45">
      <c r="A141" s="246"/>
      <c r="B141" s="277"/>
      <c r="C141" s="187" t="s">
        <v>430</v>
      </c>
      <c r="D141" s="182" t="s">
        <v>39</v>
      </c>
      <c r="E141" s="187" t="s">
        <v>12</v>
      </c>
      <c r="F141" s="97" t="s">
        <v>367</v>
      </c>
      <c r="G141" s="145">
        <v>-58.340210999999996</v>
      </c>
      <c r="H141" s="262"/>
      <c r="I141" s="263"/>
      <c r="J141" s="280"/>
      <c r="K141" s="314"/>
      <c r="L141" s="276"/>
    </row>
    <row r="142" spans="1:12" x14ac:dyDescent="0.45">
      <c r="A142" s="201" t="s">
        <v>113</v>
      </c>
      <c r="B142" s="83">
        <v>64</v>
      </c>
      <c r="C142" s="187" t="s">
        <v>430</v>
      </c>
      <c r="D142" s="182" t="s">
        <v>39</v>
      </c>
      <c r="E142" s="187" t="s">
        <v>18</v>
      </c>
      <c r="F142" s="182" t="s">
        <v>115</v>
      </c>
      <c r="G142" s="145">
        <f>0.697346+0.04+63.012274</f>
        <v>63.74962</v>
      </c>
      <c r="H142" s="187" t="s">
        <v>13</v>
      </c>
      <c r="I142" s="188" t="s">
        <v>40</v>
      </c>
      <c r="J142" s="187" t="s">
        <v>15</v>
      </c>
      <c r="K142" s="214"/>
      <c r="L142" s="203"/>
    </row>
    <row r="143" spans="1:12" ht="28.5" x14ac:dyDescent="0.45">
      <c r="A143" s="244" t="s">
        <v>377</v>
      </c>
      <c r="B143" s="281">
        <f>299+400</f>
        <v>699</v>
      </c>
      <c r="C143" s="179" t="s">
        <v>430</v>
      </c>
      <c r="D143" s="181" t="s">
        <v>114</v>
      </c>
      <c r="E143" s="187" t="s">
        <v>18</v>
      </c>
      <c r="F143" s="182" t="s">
        <v>115</v>
      </c>
      <c r="G143" s="145">
        <v>400</v>
      </c>
      <c r="H143" s="305" t="s">
        <v>13</v>
      </c>
      <c r="I143" s="308" t="s">
        <v>116</v>
      </c>
      <c r="J143" s="305" t="s">
        <v>21</v>
      </c>
      <c r="K143" s="311" t="s">
        <v>582</v>
      </c>
      <c r="L143" s="257">
        <v>44260</v>
      </c>
    </row>
    <row r="144" spans="1:12" s="56" customFormat="1" ht="28.5" x14ac:dyDescent="0.45">
      <c r="A144" s="245"/>
      <c r="B144" s="282"/>
      <c r="C144" s="187" t="s">
        <v>430</v>
      </c>
      <c r="D144" s="61" t="s">
        <v>114</v>
      </c>
      <c r="E144" s="187" t="s">
        <v>18</v>
      </c>
      <c r="F144" s="182" t="s">
        <v>115</v>
      </c>
      <c r="G144" s="145">
        <f>705+120</f>
        <v>825</v>
      </c>
      <c r="H144" s="306"/>
      <c r="I144" s="309"/>
      <c r="J144" s="306"/>
      <c r="K144" s="312"/>
      <c r="L144" s="258"/>
    </row>
    <row r="145" spans="1:12" s="56" customFormat="1" x14ac:dyDescent="0.45">
      <c r="A145" s="246"/>
      <c r="B145" s="277"/>
      <c r="C145" s="187" t="s">
        <v>430</v>
      </c>
      <c r="D145" s="182" t="s">
        <v>19</v>
      </c>
      <c r="E145" s="187" t="s">
        <v>18</v>
      </c>
      <c r="F145" s="182" t="s">
        <v>115</v>
      </c>
      <c r="G145" s="145">
        <v>-705</v>
      </c>
      <c r="H145" s="307"/>
      <c r="I145" s="310"/>
      <c r="J145" s="307"/>
      <c r="K145" s="313"/>
      <c r="L145" s="259"/>
    </row>
    <row r="146" spans="1:12" ht="31.5" customHeight="1" x14ac:dyDescent="0.45">
      <c r="A146" s="201" t="s">
        <v>117</v>
      </c>
      <c r="B146" s="83">
        <v>25</v>
      </c>
      <c r="C146" s="179" t="s">
        <v>28</v>
      </c>
      <c r="D146" s="182" t="s">
        <v>11</v>
      </c>
      <c r="E146" s="187" t="s">
        <v>18</v>
      </c>
      <c r="F146" s="182" t="s">
        <v>115</v>
      </c>
      <c r="G146" s="145">
        <v>12.5</v>
      </c>
      <c r="H146" s="179" t="s">
        <v>13</v>
      </c>
      <c r="I146" s="180" t="s">
        <v>14</v>
      </c>
      <c r="J146" s="181" t="s">
        <v>21</v>
      </c>
      <c r="K146" s="217" t="s">
        <v>420</v>
      </c>
      <c r="L146" s="202">
        <v>44257</v>
      </c>
    </row>
    <row r="147" spans="1:12" x14ac:dyDescent="0.45">
      <c r="A147" s="315" t="s">
        <v>418</v>
      </c>
      <c r="B147" s="281">
        <f>513</f>
        <v>513</v>
      </c>
      <c r="C147" s="179" t="s">
        <v>28</v>
      </c>
      <c r="D147" s="182" t="s">
        <v>11</v>
      </c>
      <c r="E147" s="187" t="s">
        <v>18</v>
      </c>
      <c r="F147" s="182" t="s">
        <v>115</v>
      </c>
      <c r="G147" s="145">
        <v>25.795292</v>
      </c>
      <c r="H147" s="206" t="s">
        <v>13</v>
      </c>
      <c r="I147" s="180" t="s">
        <v>14</v>
      </c>
      <c r="J147" s="216" t="s">
        <v>21</v>
      </c>
      <c r="K147" s="207" t="s">
        <v>421</v>
      </c>
      <c r="L147" s="202">
        <v>44257</v>
      </c>
    </row>
    <row r="148" spans="1:12" x14ac:dyDescent="0.45">
      <c r="A148" s="315"/>
      <c r="B148" s="282"/>
      <c r="C148" s="179" t="s">
        <v>28</v>
      </c>
      <c r="D148" s="182" t="s">
        <v>68</v>
      </c>
      <c r="E148" s="187" t="s">
        <v>18</v>
      </c>
      <c r="F148" s="182" t="s">
        <v>115</v>
      </c>
      <c r="G148" s="145">
        <v>192.20470800000001</v>
      </c>
      <c r="H148" s="206" t="s">
        <v>13</v>
      </c>
      <c r="I148" s="180" t="s">
        <v>118</v>
      </c>
      <c r="J148" s="206" t="s">
        <v>21</v>
      </c>
      <c r="K148" s="186" t="s">
        <v>41</v>
      </c>
      <c r="L148" s="202">
        <v>44104</v>
      </c>
    </row>
    <row r="149" spans="1:12" ht="42.75" x14ac:dyDescent="0.45">
      <c r="A149" s="315"/>
      <c r="B149" s="282"/>
      <c r="C149" s="179" t="s">
        <v>28</v>
      </c>
      <c r="D149" s="182" t="s">
        <v>70</v>
      </c>
      <c r="E149" s="187" t="s">
        <v>18</v>
      </c>
      <c r="F149" s="182" t="s">
        <v>115</v>
      </c>
      <c r="G149" s="145">
        <v>12</v>
      </c>
      <c r="H149" s="206" t="s">
        <v>13</v>
      </c>
      <c r="I149" s="180" t="s">
        <v>69</v>
      </c>
      <c r="J149" s="220" t="s">
        <v>569</v>
      </c>
      <c r="K149" s="207" t="s">
        <v>546</v>
      </c>
      <c r="L149" s="202">
        <v>44227</v>
      </c>
    </row>
    <row r="150" spans="1:12" ht="42.75" x14ac:dyDescent="0.45">
      <c r="A150" s="315"/>
      <c r="B150" s="282"/>
      <c r="C150" s="179" t="s">
        <v>28</v>
      </c>
      <c r="D150" s="182" t="s">
        <v>72</v>
      </c>
      <c r="E150" s="187" t="s">
        <v>18</v>
      </c>
      <c r="F150" s="182" t="s">
        <v>115</v>
      </c>
      <c r="G150" s="145">
        <f>24.5133+20</f>
        <v>44.513300000000001</v>
      </c>
      <c r="H150" s="206" t="s">
        <v>13</v>
      </c>
      <c r="I150" s="180" t="s">
        <v>119</v>
      </c>
      <c r="J150" s="237" t="s">
        <v>569</v>
      </c>
      <c r="K150" s="186" t="s">
        <v>547</v>
      </c>
      <c r="L150" s="202">
        <v>44227</v>
      </c>
    </row>
    <row r="151" spans="1:12" ht="42.75" x14ac:dyDescent="0.45">
      <c r="A151" s="315"/>
      <c r="B151" s="282"/>
      <c r="C151" s="179" t="s">
        <v>10</v>
      </c>
      <c r="D151" s="182" t="s">
        <v>22</v>
      </c>
      <c r="E151" s="187" t="s">
        <v>12</v>
      </c>
      <c r="F151" s="182" t="s">
        <v>369</v>
      </c>
      <c r="G151" s="145">
        <v>-4.3365270000000002</v>
      </c>
      <c r="H151" s="325" t="s">
        <v>13</v>
      </c>
      <c r="I151" s="308" t="s">
        <v>23</v>
      </c>
      <c r="J151" s="280" t="s">
        <v>569</v>
      </c>
      <c r="K151" s="323" t="s">
        <v>483</v>
      </c>
      <c r="L151" s="241">
        <v>44227</v>
      </c>
    </row>
    <row r="152" spans="1:12" x14ac:dyDescent="0.45">
      <c r="A152" s="315"/>
      <c r="B152" s="282"/>
      <c r="C152" s="179" t="s">
        <v>10</v>
      </c>
      <c r="D152" s="182" t="s">
        <v>22</v>
      </c>
      <c r="E152" s="187" t="s">
        <v>18</v>
      </c>
      <c r="F152" s="110" t="s">
        <v>115</v>
      </c>
      <c r="G152" s="145">
        <v>3.6606359999999998</v>
      </c>
      <c r="H152" s="326"/>
      <c r="I152" s="310"/>
      <c r="J152" s="280"/>
      <c r="K152" s="323"/>
      <c r="L152" s="261"/>
    </row>
    <row r="153" spans="1:12" ht="42.75" x14ac:dyDescent="0.45">
      <c r="A153" s="315"/>
      <c r="B153" s="282"/>
      <c r="C153" s="179" t="s">
        <v>28</v>
      </c>
      <c r="D153" s="182" t="s">
        <v>35</v>
      </c>
      <c r="E153" s="187" t="s">
        <v>12</v>
      </c>
      <c r="F153" s="182" t="s">
        <v>369</v>
      </c>
      <c r="G153" s="145">
        <v>10</v>
      </c>
      <c r="H153" s="305" t="s">
        <v>13</v>
      </c>
      <c r="I153" s="308" t="s">
        <v>40</v>
      </c>
      <c r="J153" s="280" t="s">
        <v>569</v>
      </c>
      <c r="K153" s="302" t="s">
        <v>489</v>
      </c>
      <c r="L153" s="275">
        <v>44227</v>
      </c>
    </row>
    <row r="154" spans="1:12" s="56" customFormat="1" ht="42.75" x14ac:dyDescent="0.45">
      <c r="A154" s="315"/>
      <c r="B154" s="282"/>
      <c r="C154" s="179" t="s">
        <v>430</v>
      </c>
      <c r="D154" s="182" t="s">
        <v>35</v>
      </c>
      <c r="E154" s="187" t="s">
        <v>12</v>
      </c>
      <c r="F154" s="182" t="s">
        <v>369</v>
      </c>
      <c r="G154" s="145">
        <v>-2.4373580000000001</v>
      </c>
      <c r="H154" s="306"/>
      <c r="I154" s="309"/>
      <c r="J154" s="280"/>
      <c r="K154" s="303"/>
      <c r="L154" s="275"/>
    </row>
    <row r="155" spans="1:12" s="56" customFormat="1" x14ac:dyDescent="0.45">
      <c r="A155" s="315"/>
      <c r="B155" s="282"/>
      <c r="C155" s="179" t="s">
        <v>430</v>
      </c>
      <c r="D155" s="182" t="s">
        <v>35</v>
      </c>
      <c r="E155" s="187" t="s">
        <v>18</v>
      </c>
      <c r="F155" s="182" t="s">
        <v>115</v>
      </c>
      <c r="G155" s="145">
        <v>2.4373580000000001</v>
      </c>
      <c r="H155" s="307"/>
      <c r="I155" s="310"/>
      <c r="J155" s="280"/>
      <c r="K155" s="304"/>
      <c r="L155" s="275"/>
    </row>
    <row r="156" spans="1:12" ht="42.75" x14ac:dyDescent="0.45">
      <c r="A156" s="315"/>
      <c r="B156" s="282"/>
      <c r="C156" s="179" t="s">
        <v>28</v>
      </c>
      <c r="D156" s="182" t="s">
        <v>19</v>
      </c>
      <c r="E156" s="187" t="s">
        <v>12</v>
      </c>
      <c r="F156" s="182" t="s">
        <v>369</v>
      </c>
      <c r="G156" s="145">
        <v>177.06880000000001</v>
      </c>
      <c r="H156" s="324" t="s">
        <v>13</v>
      </c>
      <c r="I156" s="278" t="s">
        <v>82</v>
      </c>
      <c r="J156" s="324" t="s">
        <v>21</v>
      </c>
      <c r="K156" s="323" t="s">
        <v>604</v>
      </c>
      <c r="L156" s="275">
        <v>44255</v>
      </c>
    </row>
    <row r="157" spans="1:12" ht="42.75" x14ac:dyDescent="0.45">
      <c r="A157" s="315"/>
      <c r="B157" s="282"/>
      <c r="C157" s="179" t="s">
        <v>10</v>
      </c>
      <c r="D157" s="182" t="s">
        <v>19</v>
      </c>
      <c r="E157" s="187" t="s">
        <v>12</v>
      </c>
      <c r="F157" s="182" t="s">
        <v>369</v>
      </c>
      <c r="G157" s="145">
        <v>-33.982059999999997</v>
      </c>
      <c r="H157" s="324"/>
      <c r="I157" s="278"/>
      <c r="J157" s="324"/>
      <c r="K157" s="323"/>
      <c r="L157" s="275"/>
    </row>
    <row r="158" spans="1:12" x14ac:dyDescent="0.45">
      <c r="A158" s="315"/>
      <c r="B158" s="282"/>
      <c r="C158" s="187" t="s">
        <v>10</v>
      </c>
      <c r="D158" s="182" t="s">
        <v>19</v>
      </c>
      <c r="E158" s="187" t="s">
        <v>18</v>
      </c>
      <c r="F158" s="110" t="s">
        <v>115</v>
      </c>
      <c r="G158" s="145">
        <v>33.982059999999997</v>
      </c>
      <c r="H158" s="324"/>
      <c r="I158" s="278"/>
      <c r="J158" s="324"/>
      <c r="K158" s="323"/>
      <c r="L158" s="275"/>
    </row>
    <row r="159" spans="1:12" s="56" customFormat="1" ht="42.75" x14ac:dyDescent="0.45">
      <c r="A159" s="244" t="s">
        <v>417</v>
      </c>
      <c r="B159" s="281">
        <v>88</v>
      </c>
      <c r="C159" s="179" t="s">
        <v>28</v>
      </c>
      <c r="D159" s="182" t="s">
        <v>22</v>
      </c>
      <c r="E159" s="187" t="s">
        <v>12</v>
      </c>
      <c r="F159" s="182" t="s">
        <v>369</v>
      </c>
      <c r="G159" s="145">
        <v>9.2881850000000004</v>
      </c>
      <c r="H159" s="210" t="s">
        <v>13</v>
      </c>
      <c r="I159" s="185" t="s">
        <v>23</v>
      </c>
      <c r="J159" s="220" t="s">
        <v>569</v>
      </c>
      <c r="K159" s="214" t="s">
        <v>481</v>
      </c>
      <c r="L159" s="202">
        <v>44227</v>
      </c>
    </row>
    <row r="160" spans="1:12" s="56" customFormat="1" ht="42.75" x14ac:dyDescent="0.45">
      <c r="A160" s="245"/>
      <c r="B160" s="282"/>
      <c r="C160" s="179" t="s">
        <v>28</v>
      </c>
      <c r="D160" s="182" t="s">
        <v>19</v>
      </c>
      <c r="E160" s="187" t="s">
        <v>12</v>
      </c>
      <c r="F160" s="182" t="s">
        <v>369</v>
      </c>
      <c r="G160" s="145">
        <v>74.7</v>
      </c>
      <c r="H160" s="324" t="s">
        <v>13</v>
      </c>
      <c r="I160" s="278" t="s">
        <v>82</v>
      </c>
      <c r="J160" s="324" t="s">
        <v>21</v>
      </c>
      <c r="K160" s="302" t="s">
        <v>605</v>
      </c>
      <c r="L160" s="275">
        <v>44255</v>
      </c>
    </row>
    <row r="161" spans="1:12" s="56" customFormat="1" ht="42.75" x14ac:dyDescent="0.45">
      <c r="A161" s="245"/>
      <c r="B161" s="282"/>
      <c r="C161" s="179" t="s">
        <v>10</v>
      </c>
      <c r="D161" s="182" t="s">
        <v>19</v>
      </c>
      <c r="E161" s="187" t="s">
        <v>12</v>
      </c>
      <c r="F161" s="182" t="s">
        <v>369</v>
      </c>
      <c r="G161" s="145">
        <v>-16.7</v>
      </c>
      <c r="H161" s="324"/>
      <c r="I161" s="278"/>
      <c r="J161" s="324"/>
      <c r="K161" s="303"/>
      <c r="L161" s="275"/>
    </row>
    <row r="162" spans="1:12" s="56" customFormat="1" x14ac:dyDescent="0.45">
      <c r="A162" s="246"/>
      <c r="B162" s="277"/>
      <c r="C162" s="179" t="s">
        <v>10</v>
      </c>
      <c r="D162" s="182" t="s">
        <v>19</v>
      </c>
      <c r="E162" s="187" t="s">
        <v>18</v>
      </c>
      <c r="F162" s="182" t="s">
        <v>115</v>
      </c>
      <c r="G162" s="145">
        <v>16.7</v>
      </c>
      <c r="H162" s="324"/>
      <c r="I162" s="278"/>
      <c r="J162" s="324"/>
      <c r="K162" s="304"/>
      <c r="L162" s="275"/>
    </row>
    <row r="163" spans="1:12" ht="28.5" x14ac:dyDescent="0.45">
      <c r="A163" s="201" t="s">
        <v>120</v>
      </c>
      <c r="B163" s="83">
        <v>194</v>
      </c>
      <c r="C163" s="179" t="s">
        <v>44</v>
      </c>
      <c r="D163" s="181" t="s">
        <v>121</v>
      </c>
      <c r="E163" s="179" t="s">
        <v>115</v>
      </c>
      <c r="F163" s="229" t="s">
        <v>380</v>
      </c>
      <c r="G163" s="145" t="s">
        <v>115</v>
      </c>
      <c r="H163" s="179" t="s">
        <v>13</v>
      </c>
      <c r="I163" s="229" t="s">
        <v>122</v>
      </c>
      <c r="J163" s="179" t="s">
        <v>21</v>
      </c>
      <c r="K163" s="230" t="s">
        <v>390</v>
      </c>
      <c r="L163" s="202">
        <v>44158</v>
      </c>
    </row>
    <row r="164" spans="1:12" ht="42.75" x14ac:dyDescent="0.45">
      <c r="A164" s="315" t="s">
        <v>123</v>
      </c>
      <c r="B164" s="281">
        <v>64</v>
      </c>
      <c r="C164" s="179" t="s">
        <v>28</v>
      </c>
      <c r="D164" s="181" t="s">
        <v>114</v>
      </c>
      <c r="E164" s="187" t="s">
        <v>12</v>
      </c>
      <c r="F164" s="143" t="s">
        <v>369</v>
      </c>
      <c r="G164" s="145">
        <v>41</v>
      </c>
      <c r="H164" s="320" t="s">
        <v>13</v>
      </c>
      <c r="I164" s="278" t="s">
        <v>124</v>
      </c>
      <c r="J164" s="280" t="s">
        <v>569</v>
      </c>
      <c r="K164" s="316" t="s">
        <v>477</v>
      </c>
      <c r="L164" s="241">
        <v>44227</v>
      </c>
    </row>
    <row r="165" spans="1:12" ht="28.5" x14ac:dyDescent="0.45">
      <c r="A165" s="315"/>
      <c r="B165" s="282"/>
      <c r="C165" s="179" t="s">
        <v>10</v>
      </c>
      <c r="D165" s="181" t="s">
        <v>114</v>
      </c>
      <c r="E165" s="187" t="s">
        <v>18</v>
      </c>
      <c r="F165" s="110" t="s">
        <v>115</v>
      </c>
      <c r="G165" s="145">
        <v>3.25</v>
      </c>
      <c r="H165" s="320"/>
      <c r="I165" s="278"/>
      <c r="J165" s="280"/>
      <c r="K165" s="316"/>
      <c r="L165" s="260"/>
    </row>
    <row r="166" spans="1:12" ht="43.15" thickBot="1" x14ac:dyDescent="0.5">
      <c r="A166" s="319"/>
      <c r="B166" s="327"/>
      <c r="C166" s="26" t="s">
        <v>10</v>
      </c>
      <c r="D166" s="209" t="s">
        <v>114</v>
      </c>
      <c r="E166" s="100" t="s">
        <v>12</v>
      </c>
      <c r="F166" s="143" t="s">
        <v>369</v>
      </c>
      <c r="G166" s="145">
        <v>18.05</v>
      </c>
      <c r="H166" s="321"/>
      <c r="I166" s="322"/>
      <c r="J166" s="280"/>
      <c r="K166" s="317"/>
      <c r="L166" s="318"/>
    </row>
    <row r="167" spans="1:12" ht="14.65" thickBot="1" x14ac:dyDescent="0.5">
      <c r="A167" s="65" t="s">
        <v>125</v>
      </c>
      <c r="B167" s="88">
        <f>SUM(B4:B166)</f>
        <v>33675</v>
      </c>
      <c r="C167" s="66"/>
      <c r="D167" s="66"/>
      <c r="E167" s="66"/>
      <c r="F167" s="66"/>
      <c r="G167" s="67">
        <f>SUM(G4:G166)</f>
        <v>44213.446990999997</v>
      </c>
      <c r="H167" s="66"/>
      <c r="I167" s="66"/>
      <c r="J167" s="66"/>
      <c r="K167" s="66"/>
      <c r="L167" s="68"/>
    </row>
    <row r="168" spans="1:12" s="56" customFormat="1" ht="14.65" thickBot="1" x14ac:dyDescent="0.5">
      <c r="A168" s="27" t="s">
        <v>359</v>
      </c>
      <c r="B168" s="78"/>
      <c r="C168" s="24"/>
      <c r="D168" s="24"/>
      <c r="E168" s="24"/>
      <c r="F168" s="24"/>
      <c r="G168" s="40">
        <f>SUMIF(C4:C166,"*Supps A*",G4:G166)</f>
        <v>4992.159369</v>
      </c>
      <c r="H168" s="24"/>
      <c r="I168" s="24"/>
      <c r="J168" s="24"/>
      <c r="K168" s="24"/>
      <c r="L168" s="25"/>
    </row>
    <row r="169" spans="1:12" s="56" customFormat="1" ht="14.65" thickBot="1" x14ac:dyDescent="0.5">
      <c r="A169" s="27" t="s">
        <v>360</v>
      </c>
      <c r="B169" s="78"/>
      <c r="C169" s="24"/>
      <c r="D169" s="24"/>
      <c r="E169" s="24"/>
      <c r="F169" s="24"/>
      <c r="G169" s="40">
        <f>SUMIF(C4:C166,"*Supps B*",G4:G166)</f>
        <v>36195.198455999998</v>
      </c>
      <c r="H169" s="24"/>
      <c r="I169" s="24"/>
      <c r="J169" s="24"/>
      <c r="K169" s="24"/>
      <c r="L169" s="25"/>
    </row>
    <row r="170" spans="1:12" s="56" customFormat="1" ht="14.65" thickBot="1" x14ac:dyDescent="0.5">
      <c r="A170" s="27" t="s">
        <v>426</v>
      </c>
      <c r="B170" s="78"/>
      <c r="C170" s="24"/>
      <c r="D170" s="24"/>
      <c r="E170" s="24"/>
      <c r="F170" s="24"/>
      <c r="G170" s="40">
        <f>SUMIF(C4:C166,"*Supps C*",G4:G166)</f>
        <v>3026.0891659999993</v>
      </c>
      <c r="H170" s="24"/>
      <c r="I170" s="24"/>
      <c r="J170" s="24"/>
      <c r="K170" s="24"/>
      <c r="L170" s="25"/>
    </row>
    <row r="171" spans="1:12" s="56" customFormat="1" x14ac:dyDescent="0.45">
      <c r="A171" s="91"/>
      <c r="B171" s="91"/>
      <c r="C171" s="92"/>
      <c r="D171" s="92"/>
      <c r="E171" s="92"/>
      <c r="F171" s="92"/>
      <c r="G171" s="93"/>
      <c r="H171" s="92"/>
      <c r="I171" s="92"/>
      <c r="J171" s="92"/>
      <c r="K171" s="92"/>
      <c r="L171" s="92"/>
    </row>
    <row r="172" spans="1:12" ht="15.75" x14ac:dyDescent="0.45">
      <c r="A172" s="90" t="s">
        <v>394</v>
      </c>
    </row>
    <row r="173" spans="1:12" x14ac:dyDescent="0.45">
      <c r="A173" t="s">
        <v>419</v>
      </c>
    </row>
    <row r="174" spans="1:12" x14ac:dyDescent="0.45">
      <c r="A174" s="90" t="s">
        <v>498</v>
      </c>
    </row>
    <row r="177" spans="1:2" x14ac:dyDescent="0.45">
      <c r="A177" s="133"/>
    </row>
    <row r="178" spans="1:2" s="56" customFormat="1" x14ac:dyDescent="0.45">
      <c r="A178" s="133"/>
    </row>
    <row r="179" spans="1:2" x14ac:dyDescent="0.45">
      <c r="A179" s="133"/>
    </row>
    <row r="180" spans="1:2" x14ac:dyDescent="0.45">
      <c r="A180" s="134"/>
      <c r="B180" s="135"/>
    </row>
    <row r="183" spans="1:2" x14ac:dyDescent="0.45">
      <c r="A183" s="135"/>
    </row>
    <row r="187" spans="1:2" x14ac:dyDescent="0.45">
      <c r="A187" s="135"/>
    </row>
  </sheetData>
  <mergeCells count="244">
    <mergeCell ref="H4:H6"/>
    <mergeCell ref="I4:I6"/>
    <mergeCell ref="J4:J6"/>
    <mergeCell ref="K4:K6"/>
    <mergeCell ref="K54:K56"/>
    <mergeCell ref="H81:H84"/>
    <mergeCell ref="I81:I84"/>
    <mergeCell ref="J45:J48"/>
    <mergeCell ref="K45:K48"/>
    <mergeCell ref="H68:H71"/>
    <mergeCell ref="I68:I71"/>
    <mergeCell ref="J68:J71"/>
    <mergeCell ref="H17:H20"/>
    <mergeCell ref="I17:I20"/>
    <mergeCell ref="J73:J76"/>
    <mergeCell ref="K73:K76"/>
    <mergeCell ref="H77:H80"/>
    <mergeCell ref="I7:I8"/>
    <mergeCell ref="J7:J8"/>
    <mergeCell ref="K7:K8"/>
    <mergeCell ref="J143:J145"/>
    <mergeCell ref="K143:K145"/>
    <mergeCell ref="L143:L145"/>
    <mergeCell ref="I117:I122"/>
    <mergeCell ref="J117:J122"/>
    <mergeCell ref="K117:K122"/>
    <mergeCell ref="H115:H116"/>
    <mergeCell ref="I115:I116"/>
    <mergeCell ref="J115:J116"/>
    <mergeCell ref="K115:K116"/>
    <mergeCell ref="L115:L116"/>
    <mergeCell ref="J139:J141"/>
    <mergeCell ref="K139:K141"/>
    <mergeCell ref="L139:L141"/>
    <mergeCell ref="H117:H122"/>
    <mergeCell ref="H143:H145"/>
    <mergeCell ref="L117:L122"/>
    <mergeCell ref="H126:H130"/>
    <mergeCell ref="I126:I130"/>
    <mergeCell ref="J126:J130"/>
    <mergeCell ref="K126:K130"/>
    <mergeCell ref="L126:L130"/>
    <mergeCell ref="I153:I155"/>
    <mergeCell ref="A27:A28"/>
    <mergeCell ref="B147:B158"/>
    <mergeCell ref="B90:B91"/>
    <mergeCell ref="B113:B114"/>
    <mergeCell ref="B99:B102"/>
    <mergeCell ref="B123:B124"/>
    <mergeCell ref="B115:B116"/>
    <mergeCell ref="B139:B141"/>
    <mergeCell ref="B108:B111"/>
    <mergeCell ref="B143:B145"/>
    <mergeCell ref="B117:B122"/>
    <mergeCell ref="B132:B138"/>
    <mergeCell ref="B81:B84"/>
    <mergeCell ref="A123:A124"/>
    <mergeCell ref="A115:A116"/>
    <mergeCell ref="A143:A145"/>
    <mergeCell ref="I143:I145"/>
    <mergeCell ref="H97:H98"/>
    <mergeCell ref="I97:I98"/>
    <mergeCell ref="H139:H141"/>
    <mergeCell ref="I139:I141"/>
    <mergeCell ref="H73:H76"/>
    <mergeCell ref="I73:I76"/>
    <mergeCell ref="A159:A162"/>
    <mergeCell ref="B159:B162"/>
    <mergeCell ref="A90:A91"/>
    <mergeCell ref="A132:A138"/>
    <mergeCell ref="A97:A98"/>
    <mergeCell ref="A99:A102"/>
    <mergeCell ref="A103:A106"/>
    <mergeCell ref="A108:A111"/>
    <mergeCell ref="A139:A141"/>
    <mergeCell ref="A126:A130"/>
    <mergeCell ref="A113:A114"/>
    <mergeCell ref="A117:A122"/>
    <mergeCell ref="B97:B98"/>
    <mergeCell ref="B126:B130"/>
    <mergeCell ref="B103:B106"/>
    <mergeCell ref="L7:L8"/>
    <mergeCell ref="H64:H67"/>
    <mergeCell ref="I64:I67"/>
    <mergeCell ref="J64:J67"/>
    <mergeCell ref="K64:K67"/>
    <mergeCell ref="L21:L24"/>
    <mergeCell ref="H9:H16"/>
    <mergeCell ref="I9:I16"/>
    <mergeCell ref="J9:J16"/>
    <mergeCell ref="L9:L16"/>
    <mergeCell ref="J17:J20"/>
    <mergeCell ref="K17:K20"/>
    <mergeCell ref="L17:L20"/>
    <mergeCell ref="K9:K16"/>
    <mergeCell ref="H21:H24"/>
    <mergeCell ref="L57:L63"/>
    <mergeCell ref="L54:L56"/>
    <mergeCell ref="H29:H32"/>
    <mergeCell ref="I29:I32"/>
    <mergeCell ref="L39:L40"/>
    <mergeCell ref="L64:L67"/>
    <mergeCell ref="K29:K32"/>
    <mergeCell ref="H7:H8"/>
    <mergeCell ref="A51:A63"/>
    <mergeCell ref="H41:H44"/>
    <mergeCell ref="I41:I44"/>
    <mergeCell ref="J41:J44"/>
    <mergeCell ref="K41:K44"/>
    <mergeCell ref="H45:H48"/>
    <mergeCell ref="I45:I48"/>
    <mergeCell ref="B51:B63"/>
    <mergeCell ref="B39:B49"/>
    <mergeCell ref="A39:A49"/>
    <mergeCell ref="K39:K40"/>
    <mergeCell ref="J39:J40"/>
    <mergeCell ref="H54:H56"/>
    <mergeCell ref="I54:I56"/>
    <mergeCell ref="H57:H63"/>
    <mergeCell ref="I57:I63"/>
    <mergeCell ref="J57:J63"/>
    <mergeCell ref="K57:K63"/>
    <mergeCell ref="H39:H40"/>
    <mergeCell ref="I39:I40"/>
    <mergeCell ref="K164:K166"/>
    <mergeCell ref="L164:L166"/>
    <mergeCell ref="A164:A166"/>
    <mergeCell ref="H164:H166"/>
    <mergeCell ref="I164:I166"/>
    <mergeCell ref="J164:J166"/>
    <mergeCell ref="K151:K152"/>
    <mergeCell ref="L151:L152"/>
    <mergeCell ref="H156:H158"/>
    <mergeCell ref="I156:I158"/>
    <mergeCell ref="J156:J158"/>
    <mergeCell ref="K156:K158"/>
    <mergeCell ref="L156:L158"/>
    <mergeCell ref="H151:H152"/>
    <mergeCell ref="I151:I152"/>
    <mergeCell ref="J151:J152"/>
    <mergeCell ref="H160:H162"/>
    <mergeCell ref="I160:I162"/>
    <mergeCell ref="J160:J162"/>
    <mergeCell ref="K160:K162"/>
    <mergeCell ref="L160:L162"/>
    <mergeCell ref="A147:A158"/>
    <mergeCell ref="H153:H155"/>
    <mergeCell ref="B164:B166"/>
    <mergeCell ref="K113:K114"/>
    <mergeCell ref="A85:A86"/>
    <mergeCell ref="B85:B86"/>
    <mergeCell ref="A87:A88"/>
    <mergeCell ref="B87:B88"/>
    <mergeCell ref="A81:A84"/>
    <mergeCell ref="A64:A80"/>
    <mergeCell ref="B64:B80"/>
    <mergeCell ref="A92:A93"/>
    <mergeCell ref="B92:B93"/>
    <mergeCell ref="J108:J109"/>
    <mergeCell ref="K108:K109"/>
    <mergeCell ref="J99:J102"/>
    <mergeCell ref="I108:I109"/>
    <mergeCell ref="H99:H102"/>
    <mergeCell ref="I99:I102"/>
    <mergeCell ref="H108:H109"/>
    <mergeCell ref="I77:I80"/>
    <mergeCell ref="J77:J80"/>
    <mergeCell ref="K77:K80"/>
    <mergeCell ref="J97:J98"/>
    <mergeCell ref="K97:K98"/>
    <mergeCell ref="H92:H93"/>
    <mergeCell ref="I92:I93"/>
    <mergeCell ref="J92:J93"/>
    <mergeCell ref="K92:K93"/>
    <mergeCell ref="L92:L93"/>
    <mergeCell ref="L73:L76"/>
    <mergeCell ref="J153:J155"/>
    <mergeCell ref="K153:K155"/>
    <mergeCell ref="L153:L155"/>
    <mergeCell ref="H132:H135"/>
    <mergeCell ref="I132:I135"/>
    <mergeCell ref="J132:J135"/>
    <mergeCell ref="K132:K135"/>
    <mergeCell ref="L132:L135"/>
    <mergeCell ref="J81:J84"/>
    <mergeCell ref="K81:K84"/>
    <mergeCell ref="L81:L84"/>
    <mergeCell ref="L108:L109"/>
    <mergeCell ref="H110:H111"/>
    <mergeCell ref="I110:I111"/>
    <mergeCell ref="J110:J111"/>
    <mergeCell ref="K110:K111"/>
    <mergeCell ref="I90:I91"/>
    <mergeCell ref="J90:J91"/>
    <mergeCell ref="L103:L105"/>
    <mergeCell ref="H113:H114"/>
    <mergeCell ref="I113:I114"/>
    <mergeCell ref="L113:L114"/>
    <mergeCell ref="L110:L111"/>
    <mergeCell ref="J113:J114"/>
    <mergeCell ref="B29:B32"/>
    <mergeCell ref="H103:H105"/>
    <mergeCell ref="I103:I105"/>
    <mergeCell ref="J103:J105"/>
    <mergeCell ref="K103:K105"/>
    <mergeCell ref="J54:J56"/>
    <mergeCell ref="K90:K91"/>
    <mergeCell ref="L99:L102"/>
    <mergeCell ref="K99:K102"/>
    <mergeCell ref="L97:L98"/>
    <mergeCell ref="H90:H91"/>
    <mergeCell ref="L41:L44"/>
    <mergeCell ref="L90:L91"/>
    <mergeCell ref="L45:L48"/>
    <mergeCell ref="K68:K71"/>
    <mergeCell ref="L68:L71"/>
    <mergeCell ref="B34:B38"/>
    <mergeCell ref="H34:H38"/>
    <mergeCell ref="I34:I38"/>
    <mergeCell ref="J29:J32"/>
    <mergeCell ref="L77:L80"/>
    <mergeCell ref="A4:A26"/>
    <mergeCell ref="B4:B26"/>
    <mergeCell ref="H25:H26"/>
    <mergeCell ref="I25:I26"/>
    <mergeCell ref="J25:J26"/>
    <mergeCell ref="K25:K26"/>
    <mergeCell ref="L25:L26"/>
    <mergeCell ref="L29:L32"/>
    <mergeCell ref="L34:L38"/>
    <mergeCell ref="H27:H28"/>
    <mergeCell ref="I27:I28"/>
    <mergeCell ref="J27:J28"/>
    <mergeCell ref="K27:K28"/>
    <mergeCell ref="A34:A38"/>
    <mergeCell ref="J34:J38"/>
    <mergeCell ref="K34:K38"/>
    <mergeCell ref="A29:A32"/>
    <mergeCell ref="L4:L6"/>
    <mergeCell ref="L27:L28"/>
    <mergeCell ref="B27:B28"/>
    <mergeCell ref="I21:I24"/>
    <mergeCell ref="J21:J24"/>
    <mergeCell ref="K21:K24"/>
  </mergeCells>
  <hyperlinks>
    <hyperlink ref="I9" r:id="rId1" display="https://www.pbo-dpb.gc.ca/web/default/files/Documents/Info%20Requests/2020/IR0528_PHAC_COVID19_update_request_e.pdf" xr:uid="{5E1AF3C0-608B-484F-8F1A-F8EF363B1388}"/>
    <hyperlink ref="I9:I16" r:id="rId2" display="IR0528" xr:uid="{9F697695-9EF8-4513-836E-235754965479}"/>
    <hyperlink ref="I4" r:id="rId3" xr:uid="{98A3D79B-89F0-4EBE-B2EB-A8AA8D1AF938}"/>
    <hyperlink ref="I17:I18" r:id="rId4" display="IR0551" xr:uid="{B2E5726E-6EDF-47B6-BF06-A62099AFE345}"/>
    <hyperlink ref="I7:I8" r:id="rId5" display="IR0550" xr:uid="{E8467A6B-359F-40D7-A396-C0A74B563F2C}"/>
    <hyperlink ref="I21:I24" r:id="rId6" display="IR0559" xr:uid="{6A7D4DB4-A292-4738-9D4C-14377B44FB2A}"/>
    <hyperlink ref="I27:I28" r:id="rId7" display="IR0550" xr:uid="{C3E69B43-942B-4FD5-8719-6ED10EB11C8B}"/>
    <hyperlink ref="I29" r:id="rId8" display="https://www.pbo-dpb.gc.ca/web/default/files/Documents/Info%20Requests/2020/IR0462_CIRNAC_COVID-19_Measures_request_e_signed.pdf" xr:uid="{CD0CB7C4-C4BD-4E83-B557-DEB8495691F2}"/>
    <hyperlink ref="I29:I31" r:id="rId9" display="IR0462" xr:uid="{9F6F9DF6-3869-4C73-B45A-3A4B08E1388D}"/>
    <hyperlink ref="I33" r:id="rId10" xr:uid="{37D8571E-C0DA-4440-8E0A-A1D79F07E845}"/>
    <hyperlink ref="I34" r:id="rId11" display="https://www.pbo-dpb.gc.ca/web/default/files/Documents/Info%20Requests/2020/IR0470_ISC_COVID-19_Measures_request_e_signed.pdf" xr:uid="{3E6F8919-AF9C-4CB1-90EF-FB4802546C17}"/>
    <hyperlink ref="I34:I35" r:id="rId12" display="IR0470" xr:uid="{91259797-5B94-48C1-9CF2-A7CA43F19F35}"/>
    <hyperlink ref="I41" r:id="rId13" xr:uid="{CAD7B032-2805-4C40-8FEF-B25B6C5C93E8}"/>
    <hyperlink ref="I45" r:id="rId14" xr:uid="{1EC43AF1-4BA5-4F16-9059-D2BA0D2CDEC4}"/>
    <hyperlink ref="I39" r:id="rId15" xr:uid="{C57B1A1F-DDC2-470C-A93F-DFFEE3F7232F}"/>
    <hyperlink ref="I53" r:id="rId16" xr:uid="{88E5E475-EB12-4C20-8039-92C2C344C228}"/>
    <hyperlink ref="I54" r:id="rId17" display="https://www.pbo-dpb.gc.ca/web/default/files/Documents/Info%20Requests/2020/IR0478_CIHR_COVID-19_ltr_e.pdf" xr:uid="{7AC59A19-A165-4C86-AD0D-230CB38467D9}"/>
    <hyperlink ref="I54:I56" r:id="rId18" display="IR0478" xr:uid="{615A14A4-65D4-4C93-994A-BEE159D0B59E}"/>
    <hyperlink ref="I57" r:id="rId19" display="https://www.pbo-dpb.gc.ca/web/default/files/Documents/Info%20Requests/2020/IR0528_PHAC_COVID19_update_request_e.pdf" xr:uid="{AD7CF7CF-621F-46AF-AB79-2EE3EEF6079F}"/>
    <hyperlink ref="I51" r:id="rId20" xr:uid="{C3759209-5DB8-4081-AFE7-1D3716A53FB8}"/>
    <hyperlink ref="I52" r:id="rId21" xr:uid="{6B9A4E81-F5C6-4EC1-8DF0-27637AB5E32B}"/>
    <hyperlink ref="I81" r:id="rId22" xr:uid="{DAF5CEF6-6D14-47FB-A37A-6E17BA8A98C7}"/>
    <hyperlink ref="I90" r:id="rId23" xr:uid="{3D56289E-D585-4763-ABFA-BB309361F700}"/>
    <hyperlink ref="I92" r:id="rId24" xr:uid="{CFA8FD06-B76A-4C6C-A641-0A12D521C0B2}"/>
    <hyperlink ref="I98" r:id="rId25" display="IR0475" xr:uid="{BD1D4B67-A68A-437E-90E7-8F3C5FF0EE6F}"/>
    <hyperlink ref="I103" r:id="rId26" xr:uid="{74E78B6C-301F-48B1-8AD6-4C26CBECB477}"/>
    <hyperlink ref="I108" r:id="rId27" display="https://www.pbo-dpb.gc.ca/web/default/files/Documents/Info%20Requests/2020/IR0456_AAFC_COVID-19_Allocations_request_e_signed.pdf" xr:uid="{0F56A4BB-4FC1-4C3C-9FE3-D564916E436B}"/>
    <hyperlink ref="I108:I109" r:id="rId28" display="IR0456" xr:uid="{8E9E598D-2694-442E-9FD6-5C0F611922C1}"/>
    <hyperlink ref="I110:I111" r:id="rId29" display="IR0549" xr:uid="{5668EE98-1A94-4BF9-9188-2DABEEBE8EDF}"/>
    <hyperlink ref="K112" r:id="rId30" xr:uid="{C47EF512-7652-4974-9030-087C24788E2B}"/>
    <hyperlink ref="I113:I114" r:id="rId31" display="IR0549" xr:uid="{599AA572-55BD-4997-B604-37CA434DA5D0}"/>
    <hyperlink ref="I117" r:id="rId32" xr:uid="{37900696-DA95-4B66-B9D1-E9A430B089DC}"/>
    <hyperlink ref="I126" r:id="rId33" display="https://www.pbo-dpb.gc.ca/web/default/files/Documents/Info%20Requests/2020/IR0529_PSEP_COVID19_update_request_e.pdf" xr:uid="{F6BE9027-F26C-43E3-A412-854ABC69557E}"/>
    <hyperlink ref="I126:I130" r:id="rId34" display="IR0529" xr:uid="{1F09D47B-B149-4EB1-B42F-4066027C1AE2}"/>
    <hyperlink ref="I132" r:id="rId35" xr:uid="{8A800D6D-0430-48AC-948E-143A153CE891}"/>
    <hyperlink ref="I136" r:id="rId36" xr:uid="{31655FC9-F83E-4102-B579-40D5DFDCD437}"/>
    <hyperlink ref="I139" r:id="rId37" xr:uid="{A60C6F04-4BF0-4805-9C24-8A3532DB94D5}"/>
    <hyperlink ref="I143" r:id="rId38" xr:uid="{DFF3EC50-F409-4965-A881-76F6E2BCC5DA}"/>
    <hyperlink ref="I146" r:id="rId39" xr:uid="{64B662C7-AFE2-42A3-8FF0-7A2A45BF588F}"/>
    <hyperlink ref="I156" r:id="rId40" xr:uid="{ABA7F3FD-2896-48B8-82FD-C286E9A4239C}"/>
    <hyperlink ref="I150" r:id="rId41" xr:uid="{1B5E6ACE-458F-45AD-AF23-4183496BC6BA}"/>
    <hyperlink ref="I148" r:id="rId42" xr:uid="{5915D695-AC74-4B82-9A2C-1B438E100DEF}"/>
    <hyperlink ref="I147" r:id="rId43" xr:uid="{F3AC792C-EE5D-4220-A79A-3B611D6C65D6}"/>
    <hyperlink ref="I153" r:id="rId44" xr:uid="{B694104C-5824-4AF8-B350-BAE20A926D87}"/>
    <hyperlink ref="I149" r:id="rId45" xr:uid="{E7A4A0BE-966F-4397-8724-4CD4BCBEEA89}"/>
    <hyperlink ref="I163" r:id="rId46" xr:uid="{CFFD0A30-A463-4651-9C39-3E1055E04D8F}"/>
    <hyperlink ref="I164:I166" r:id="rId47" display="IR0467" xr:uid="{1B5A0DD9-A937-46B4-AFA1-B746A4B995C6}"/>
    <hyperlink ref="I164" r:id="rId48" display="IR0477" xr:uid="{91EF7E35-6555-41C2-BACD-CE47DEB82BB3}"/>
    <hyperlink ref="I73" r:id="rId49" display="https://www.pbo-dpb.gc.ca/web/default/files/Documents/Info%20Requests/2020/IR0528_PHAC_COVID19_update_request_e.pdf" xr:uid="{24FD82CB-C5E4-4B1B-80C8-EB29B4970903}"/>
    <hyperlink ref="I73:I76" r:id="rId50" display="IR0528" xr:uid="{786BBC3B-177F-483B-8196-7DBF0BEEB9DF}"/>
    <hyperlink ref="I99" r:id="rId51" display="https://www.pbo-dpb.gc.ca/web/default/files/Documents/Info%20Requests/2020/IR0528_PHAC_COVID19_update_request_e.pdf" xr:uid="{34FDD6E9-FCE3-43A8-BE58-68D2B2EC844C}"/>
    <hyperlink ref="I99:I102" r:id="rId52" display="IR0528" xr:uid="{37B5F041-A841-421A-AF29-DF3D6CEC481A}"/>
    <hyperlink ref="I64" r:id="rId53" xr:uid="{C04EB2B7-F791-4485-961F-757DECD4DD5E}"/>
    <hyperlink ref="I72" r:id="rId54" xr:uid="{BABCF34B-4DAE-404B-8E75-C4FE45CFBD49}"/>
    <hyperlink ref="F163" r:id="rId55" xr:uid="{9A795CD9-C7AB-48A0-882E-12856C727026}"/>
    <hyperlink ref="I87" r:id="rId56" display="https://www.pbo-dpb.gc.ca/web/default/files/Documents/Info%20Requests/2020/IR0528_PHAC_COVID19_update_request_e.pdf" xr:uid="{A3BC3CE5-A122-4CDC-8A15-F9A4DF5B6C83}"/>
    <hyperlink ref="I68:I69" r:id="rId57" display="IR0551" xr:uid="{CAFFF4D2-728D-4D1E-83DF-310D725813A3}"/>
    <hyperlink ref="I107" r:id="rId58" xr:uid="{0F73F9F6-EB20-4399-ADF7-7660DBB045B7}"/>
    <hyperlink ref="I142" r:id="rId59" xr:uid="{3E411D73-5EFC-49A2-88BB-C60B10E7FD01}"/>
    <hyperlink ref="I86" r:id="rId60" display="https://www.pbo-dpb.gc.ca/web/default/files/Documents/Info%20Requests/2020/IR0528_PHAC_COVID19_update_request_e.pdf" xr:uid="{C5CFDF4F-1304-4307-9AF7-55397DB40CF2}"/>
    <hyperlink ref="I89" r:id="rId61" display="IR05484" xr:uid="{88494409-7F0F-4339-A972-792B90964480}"/>
    <hyperlink ref="I95:I96" r:id="rId62" display="IR0550" xr:uid="{AE291354-101B-49C0-A357-F07DB89E82B1}"/>
    <hyperlink ref="I94" r:id="rId63" display="https://www.pbo-dpb.gc.ca/web/default/files/Documents/Info%20Requests/2020/IR0528_PHAC_COVID19_update_request_e.pdf" xr:uid="{A3E237D4-7945-482F-B90D-B6AE8559CFBA}"/>
    <hyperlink ref="I106" r:id="rId64" xr:uid="{E7CD0A81-D900-44F8-AFD2-83C257B160DA}"/>
    <hyperlink ref="I160" r:id="rId65" xr:uid="{0007A19B-1A02-4132-8EF6-0750737B0A34}"/>
    <hyperlink ref="I124" r:id="rId66" display="https://www.pbo-dpb.gc.ca/web/default/files/Documents/Info%20Requests/2020/IR0528_PHAC_COVID19_update_request_e.pdf" xr:uid="{3C7DA16A-85C4-4B22-BFFC-B56C9776BCE5}"/>
    <hyperlink ref="I96" r:id="rId67" xr:uid="{C730BD94-1CB9-4A67-8C1D-5C97FBB57573}"/>
    <hyperlink ref="I77" r:id="rId68" xr:uid="{43FA455F-0123-4B51-A9AE-27DB505B0474}"/>
    <hyperlink ref="I137" r:id="rId69" display="https://www.pbo-dpb.gc.ca/web/default/files/Documents/Info%20Requests/2020/IR0528_PHAC_COVID19_update_request_e.pdf" xr:uid="{03EC6693-D872-4808-A3FD-106571C4F819}"/>
    <hyperlink ref="J7:J8" r:id="rId70" display="TBS Data: COVID-19 Economic Response Plan - Estimated Expenditures" xr:uid="{8AB294E8-88FD-4356-9FF9-ED6F11BC1978}"/>
    <hyperlink ref="J25:J26" r:id="rId71" display="TBS Data: COVID-19 Economic Response Plan - Estimated Expenditures" xr:uid="{23F9C9EC-D9C2-43D6-81FD-AD8617EF0733}"/>
    <hyperlink ref="J39:J40" r:id="rId72" display="TBS Data: COVID-19 Economic Response Plan - Estimated Expenditures" xr:uid="{F1BA277C-F8E3-4736-AF71-A922FF706B09}"/>
    <hyperlink ref="J17:J20" r:id="rId73" display="TBS Data: COVID-19 Economic Response Plan - Estimated Expenditures" xr:uid="{0D65EF19-B325-4F46-8454-72CAED5F4B08}"/>
    <hyperlink ref="J21:J24" r:id="rId74" display="TBS Data: COVID-19 Economic Response Plan - Estimated Expenditures" xr:uid="{D6AF3E6B-54B6-456A-8DB1-C17A610EE90E}"/>
    <hyperlink ref="J29:J32" r:id="rId75" display="TBS Data: COVID-19 Economic Response Plan - Estimated Expenditures" xr:uid="{5DA9EE2B-69D8-445A-A69E-77BDED752562}"/>
    <hyperlink ref="J34:J38" r:id="rId76" display="TBS Data: COVID-19 Economic Response Plan - Estimated Expenditures" xr:uid="{3B779C0D-4BAF-4EFA-ACBA-C2AFB6C1F478}"/>
    <hyperlink ref="J41:J44" r:id="rId77" display="TBS Data: COVID-19 Economic Response Plan - Estimated Expenditures" xr:uid="{CB50B70E-7132-41B8-804B-F95DAAF00B31}"/>
    <hyperlink ref="J51" r:id="rId78" xr:uid="{FC2EFE5C-9618-4E89-9010-42FE2E90CB6C}"/>
    <hyperlink ref="J53" r:id="rId79" xr:uid="{2EDE3A38-8782-4D24-A7FA-5071139E133C}"/>
    <hyperlink ref="J68:J71" r:id="rId80" display="TBS Data: COVID-19 Economic Response Plan - Estimated Expenditures" xr:uid="{FD6B69DA-3684-4D4F-8C35-5446970869ED}"/>
    <hyperlink ref="J77:J80" r:id="rId81" display="TBS Data: COVID-19 Economic Response Plan - Estimated Expenditures" xr:uid="{D61D0C7D-1FB5-4D19-9300-06548D27AF84}"/>
    <hyperlink ref="J81:J84" r:id="rId82" display="TBS Data: COVID-19 Economic Response Plan - Estimated Expenditures" xr:uid="{A7A93819-C254-4FCE-BF1C-2BA2F479A52B}"/>
    <hyperlink ref="J92:J93" r:id="rId83" display="TBS Data: COVID-19 Economic Response Plan - Estimated Expenditures" xr:uid="{7F4405E5-E7D6-4CB8-BD08-992C6CB7D97D}"/>
    <hyperlink ref="J97:J98" r:id="rId84" display="TBS Data: COVID-19 Economic Response Plan - Estimated Expenditures" xr:uid="{4494E6DA-48F5-497C-973B-6F6E110B075F}"/>
    <hyperlink ref="J106" r:id="rId85" xr:uid="{F71EE480-6E30-40DC-87CA-A995B41FCF87}"/>
    <hyperlink ref="J110:J111" r:id="rId86" display="TBS Data: COVID-19 Economic Response Plan - Estimated Expenditures" xr:uid="{CA59FCF7-3E41-4876-87FA-B0BDDE3320F2}"/>
    <hyperlink ref="J113:J114" r:id="rId87" display="TBS Data: COVID-19 Economic Response Plan - Estimated Expenditures" xr:uid="{5761D00F-7074-442B-8B68-9972029D8C7F}"/>
    <hyperlink ref="J117:J122" r:id="rId88" display="TBS Data: COVID-19 Economic Response Plan - Estimated Expenditures" xr:uid="{F6DF886B-D726-45CD-AB14-E20BFB566495}"/>
    <hyperlink ref="J126:J130" r:id="rId89" display="TBS Data: COVID-19 Economic Response Plan - Estimated Expenditures" xr:uid="{130966C2-995B-46F5-9EC0-C808DA22C80A}"/>
    <hyperlink ref="J132:J135" r:id="rId90" display="TBS Data: COVID-19 Economic Response Plan - Estimated Expenditures" xr:uid="{BC183B8E-C672-49DB-A242-2009E8D5DCB9}"/>
    <hyperlink ref="J139:J141" r:id="rId91" display="TBS Data: COVID-19 Economic Response Plan - Estimated Expenditures" xr:uid="{EA9DAC8D-9771-45FB-B567-BAEA26BA56B3}"/>
    <hyperlink ref="J149" r:id="rId92" xr:uid="{419646FD-E666-41A2-9157-58322DEA3C8B}"/>
    <hyperlink ref="J153:J155" r:id="rId93" display="TBS Data: COVID-19 Economic Response Plan - Estimated Expenditures" xr:uid="{CD836F34-24C3-46EB-B035-B624267BA7D3}"/>
    <hyperlink ref="J164:J166" r:id="rId94" display="TBS Data: COVID-19 Economic Response Plan - Estimated Expenditures" xr:uid="{474C0B95-87F0-41EC-92F3-A7FB50796F04}"/>
    <hyperlink ref="J64:J67" r:id="rId95" display="TBS Data: COVID-19 Economic Response Plan - Estimated Expenditures" xr:uid="{B75B4BF7-2CDA-4C84-AA72-5C991624A10E}"/>
    <hyperlink ref="J159" r:id="rId96" xr:uid="{6330BF3A-7D24-4618-A2D9-9D3A4906EA8D}"/>
    <hyperlink ref="J150" r:id="rId97" xr:uid="{EE3ADE61-4725-44DD-87C8-78CD73D97B38}"/>
    <hyperlink ref="J151:J152" r:id="rId98" display="TBS Data: COVID-19 Economic Response Plan - Estimated Expenditures" xr:uid="{5AA356C2-7BDC-43CE-91FA-3C90CD73D92E}"/>
  </hyperlinks>
  <pageMargins left="0.7" right="0.7" top="0.75" bottom="0.75" header="0.3" footer="0.3"/>
  <pageSetup orientation="portrait" r:id="rId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N291"/>
  <sheetViews>
    <sheetView showGridLines="0" zoomScale="70" zoomScaleNormal="70" workbookViewId="0"/>
  </sheetViews>
  <sheetFormatPr defaultRowHeight="14.25" x14ac:dyDescent="0.45"/>
  <cols>
    <col min="1" max="1" width="72.59765625" customWidth="1"/>
    <col min="2" max="2" width="42" style="56" bestFit="1" customWidth="1"/>
    <col min="3" max="3" width="24.3984375" bestFit="1" customWidth="1"/>
    <col min="4" max="4" width="42.1328125" customWidth="1"/>
    <col min="5" max="5" width="23.73046875" bestFit="1" customWidth="1"/>
    <col min="6" max="6" width="52.86328125" style="56" customWidth="1"/>
    <col min="7" max="7" width="34.73046875" bestFit="1" customWidth="1"/>
    <col min="8" max="8" width="25" customWidth="1"/>
    <col min="9" max="9" width="13.73046875" bestFit="1" customWidth="1"/>
    <col min="10" max="10" width="24.59765625" customWidth="1"/>
    <col min="11" max="11" width="49.265625" customWidth="1"/>
    <col min="12" max="12" width="26.86328125" customWidth="1"/>
    <col min="14" max="14" width="14" bestFit="1" customWidth="1"/>
  </cols>
  <sheetData>
    <row r="1" spans="1:12" x14ac:dyDescent="0.45">
      <c r="A1" s="2" t="s">
        <v>51</v>
      </c>
      <c r="B1" s="2"/>
    </row>
    <row r="2" spans="1:12" ht="14.65" thickBot="1" x14ac:dyDescent="0.5">
      <c r="A2" s="1"/>
      <c r="B2" s="1"/>
    </row>
    <row r="3" spans="1:12" ht="15.75" x14ac:dyDescent="0.45">
      <c r="A3" s="29" t="s">
        <v>51</v>
      </c>
      <c r="B3" s="77" t="s">
        <v>392</v>
      </c>
      <c r="C3" s="30" t="s">
        <v>428</v>
      </c>
      <c r="D3" s="30" t="s">
        <v>1</v>
      </c>
      <c r="E3" s="30" t="s">
        <v>2</v>
      </c>
      <c r="F3" s="30" t="s">
        <v>348</v>
      </c>
      <c r="G3" s="30" t="s">
        <v>3</v>
      </c>
      <c r="H3" s="31" t="s">
        <v>4</v>
      </c>
      <c r="I3" s="31" t="s">
        <v>5</v>
      </c>
      <c r="J3" s="31" t="s">
        <v>6</v>
      </c>
      <c r="K3" s="31" t="s">
        <v>7</v>
      </c>
      <c r="L3" s="32" t="s">
        <v>8</v>
      </c>
    </row>
    <row r="4" spans="1:12" ht="107.25" customHeight="1" x14ac:dyDescent="0.45">
      <c r="A4" s="201" t="s">
        <v>144</v>
      </c>
      <c r="B4" s="94">
        <f>82305-13550</f>
        <v>68755</v>
      </c>
      <c r="C4" s="187" t="s">
        <v>44</v>
      </c>
      <c r="D4" s="187" t="s">
        <v>145</v>
      </c>
      <c r="E4" s="187" t="s">
        <v>115</v>
      </c>
      <c r="F4" s="182" t="s">
        <v>376</v>
      </c>
      <c r="G4" s="145" t="s">
        <v>115</v>
      </c>
      <c r="H4" s="283" t="s">
        <v>13</v>
      </c>
      <c r="I4" s="286" t="s">
        <v>146</v>
      </c>
      <c r="J4" s="269" t="s">
        <v>147</v>
      </c>
      <c r="K4" s="272" t="s">
        <v>502</v>
      </c>
      <c r="L4" s="241">
        <v>44276</v>
      </c>
    </row>
    <row r="5" spans="1:12" ht="99.75" x14ac:dyDescent="0.45">
      <c r="A5" s="201" t="s">
        <v>148</v>
      </c>
      <c r="B5" s="94">
        <v>14790</v>
      </c>
      <c r="C5" s="187" t="s">
        <v>44</v>
      </c>
      <c r="D5" s="187" t="s">
        <v>145</v>
      </c>
      <c r="E5" s="187" t="s">
        <v>115</v>
      </c>
      <c r="F5" s="182" t="s">
        <v>376</v>
      </c>
      <c r="G5" s="145" t="s">
        <v>115</v>
      </c>
      <c r="H5" s="285"/>
      <c r="I5" s="288"/>
      <c r="J5" s="271"/>
      <c r="K5" s="274"/>
      <c r="L5" s="261"/>
    </row>
    <row r="6" spans="1:12" ht="99.75" x14ac:dyDescent="0.45">
      <c r="A6" s="201" t="s">
        <v>346</v>
      </c>
      <c r="B6" s="83">
        <v>0</v>
      </c>
      <c r="C6" s="187" t="s">
        <v>44</v>
      </c>
      <c r="D6" s="187" t="s">
        <v>145</v>
      </c>
      <c r="E6" s="187" t="s">
        <v>115</v>
      </c>
      <c r="F6" s="182" t="s">
        <v>376</v>
      </c>
      <c r="G6" s="145" t="s">
        <v>115</v>
      </c>
      <c r="H6" s="187" t="s">
        <v>87</v>
      </c>
      <c r="I6" s="187"/>
      <c r="J6" s="187"/>
      <c r="K6" s="214"/>
      <c r="L6" s="203"/>
    </row>
    <row r="7" spans="1:12" s="34" customFormat="1" ht="28.5" x14ac:dyDescent="0.45">
      <c r="A7" s="63" t="s">
        <v>149</v>
      </c>
      <c r="B7" s="85">
        <f>1997+775+353+32</f>
        <v>3157</v>
      </c>
      <c r="C7" s="222" t="s">
        <v>44</v>
      </c>
      <c r="D7" s="182" t="s">
        <v>37</v>
      </c>
      <c r="E7" s="187" t="s">
        <v>115</v>
      </c>
      <c r="F7" s="101"/>
      <c r="G7" s="145" t="s">
        <v>115</v>
      </c>
      <c r="H7" s="187" t="s">
        <v>13</v>
      </c>
      <c r="I7" s="188" t="s">
        <v>410</v>
      </c>
      <c r="J7" s="101" t="s">
        <v>223</v>
      </c>
      <c r="K7" s="102"/>
      <c r="L7" s="223"/>
    </row>
    <row r="8" spans="1:12" s="34" customFormat="1" ht="45" customHeight="1" x14ac:dyDescent="0.45">
      <c r="A8" s="201" t="s">
        <v>283</v>
      </c>
      <c r="B8" s="83">
        <v>5</v>
      </c>
      <c r="C8" s="187" t="s">
        <v>44</v>
      </c>
      <c r="D8" s="182" t="s">
        <v>37</v>
      </c>
      <c r="E8" s="187" t="s">
        <v>115</v>
      </c>
      <c r="F8" s="220" t="s">
        <v>378</v>
      </c>
      <c r="G8" s="145" t="s">
        <v>115</v>
      </c>
      <c r="H8" s="187" t="s">
        <v>13</v>
      </c>
      <c r="I8" s="188" t="s">
        <v>38</v>
      </c>
      <c r="J8" s="182" t="s">
        <v>21</v>
      </c>
      <c r="K8" s="214" t="s">
        <v>41</v>
      </c>
      <c r="L8" s="212">
        <v>44166</v>
      </c>
    </row>
    <row r="9" spans="1:12" s="34" customFormat="1" ht="85.5" x14ac:dyDescent="0.45">
      <c r="A9" s="63" t="s">
        <v>150</v>
      </c>
      <c r="B9" s="85">
        <f>3974+2674-353</f>
        <v>6295</v>
      </c>
      <c r="C9" s="187" t="s">
        <v>430</v>
      </c>
      <c r="D9" s="182" t="s">
        <v>37</v>
      </c>
      <c r="E9" s="187" t="s">
        <v>12</v>
      </c>
      <c r="F9" s="182" t="s">
        <v>592</v>
      </c>
      <c r="G9" s="145">
        <v>10095</v>
      </c>
      <c r="H9" s="182" t="s">
        <v>462</v>
      </c>
      <c r="I9" s="187" t="s">
        <v>115</v>
      </c>
      <c r="J9" s="188" t="s">
        <v>151</v>
      </c>
      <c r="K9" s="205" t="s">
        <v>503</v>
      </c>
      <c r="L9" s="202">
        <v>44260</v>
      </c>
    </row>
    <row r="10" spans="1:12" ht="85.5" x14ac:dyDescent="0.45">
      <c r="A10" s="201" t="s">
        <v>152</v>
      </c>
      <c r="B10" s="94">
        <f>1477+1103</f>
        <v>2580</v>
      </c>
      <c r="C10" s="187" t="s">
        <v>430</v>
      </c>
      <c r="D10" s="182" t="s">
        <v>37</v>
      </c>
      <c r="E10" s="187" t="s">
        <v>12</v>
      </c>
      <c r="F10" s="234" t="s">
        <v>592</v>
      </c>
      <c r="G10" s="145">
        <v>780</v>
      </c>
      <c r="H10" s="182" t="s">
        <v>462</v>
      </c>
      <c r="I10" s="187" t="s">
        <v>115</v>
      </c>
      <c r="J10" s="188" t="s">
        <v>154</v>
      </c>
      <c r="K10" s="205" t="s">
        <v>504</v>
      </c>
      <c r="L10" s="202">
        <v>44260</v>
      </c>
    </row>
    <row r="11" spans="1:12" ht="85.5" x14ac:dyDescent="0.45">
      <c r="A11" s="201" t="s">
        <v>155</v>
      </c>
      <c r="B11" s="94">
        <f>5470-573</f>
        <v>4897</v>
      </c>
      <c r="C11" s="187" t="s">
        <v>430</v>
      </c>
      <c r="D11" s="182" t="s">
        <v>37</v>
      </c>
      <c r="E11" s="187" t="s">
        <v>12</v>
      </c>
      <c r="F11" s="234" t="s">
        <v>592</v>
      </c>
      <c r="G11" s="145">
        <v>2897</v>
      </c>
      <c r="H11" s="182" t="s">
        <v>462</v>
      </c>
      <c r="I11" s="187" t="s">
        <v>115</v>
      </c>
      <c r="J11" s="188" t="s">
        <v>153</v>
      </c>
      <c r="K11" s="205" t="s">
        <v>505</v>
      </c>
      <c r="L11" s="202">
        <v>44260</v>
      </c>
    </row>
    <row r="12" spans="1:12" ht="42.75" x14ac:dyDescent="0.45">
      <c r="A12" s="201" t="s">
        <v>156</v>
      </c>
      <c r="B12" s="94">
        <v>2180</v>
      </c>
      <c r="C12" s="187" t="s">
        <v>44</v>
      </c>
      <c r="D12" s="182" t="s">
        <v>157</v>
      </c>
      <c r="E12" s="187" t="s">
        <v>115</v>
      </c>
      <c r="F12" s="182" t="s">
        <v>374</v>
      </c>
      <c r="G12" s="145" t="s">
        <v>115</v>
      </c>
      <c r="H12" s="283" t="s">
        <v>462</v>
      </c>
      <c r="I12" s="349" t="s">
        <v>115</v>
      </c>
      <c r="J12" s="269" t="s">
        <v>456</v>
      </c>
      <c r="K12" s="272" t="s">
        <v>608</v>
      </c>
      <c r="L12" s="241">
        <v>44276</v>
      </c>
    </row>
    <row r="13" spans="1:12" ht="42.75" x14ac:dyDescent="0.45">
      <c r="A13" s="201" t="s">
        <v>158</v>
      </c>
      <c r="B13" s="94">
        <v>2180</v>
      </c>
      <c r="C13" s="187" t="s">
        <v>44</v>
      </c>
      <c r="D13" s="187" t="s">
        <v>145</v>
      </c>
      <c r="E13" s="187" t="s">
        <v>115</v>
      </c>
      <c r="F13" s="182" t="s">
        <v>374</v>
      </c>
      <c r="G13" s="145" t="s">
        <v>115</v>
      </c>
      <c r="H13" s="285"/>
      <c r="I13" s="350"/>
      <c r="J13" s="271"/>
      <c r="K13" s="274"/>
      <c r="L13" s="261"/>
    </row>
    <row r="14" spans="1:12" ht="42.75" x14ac:dyDescent="0.45">
      <c r="A14" s="201" t="s">
        <v>159</v>
      </c>
      <c r="B14" s="94">
        <v>14558</v>
      </c>
      <c r="C14" s="187" t="s">
        <v>44</v>
      </c>
      <c r="D14" s="182" t="s">
        <v>319</v>
      </c>
      <c r="E14" s="187" t="s">
        <v>115</v>
      </c>
      <c r="F14" s="182" t="s">
        <v>367</v>
      </c>
      <c r="G14" s="145" t="s">
        <v>115</v>
      </c>
      <c r="H14" s="187" t="s">
        <v>13</v>
      </c>
      <c r="I14" s="188" t="s">
        <v>320</v>
      </c>
      <c r="J14" s="188" t="s">
        <v>322</v>
      </c>
      <c r="K14" s="205" t="s">
        <v>609</v>
      </c>
      <c r="L14" s="202">
        <v>44280</v>
      </c>
    </row>
    <row r="15" spans="1:12" ht="30" customHeight="1" x14ac:dyDescent="0.45">
      <c r="A15" s="244" t="s">
        <v>452</v>
      </c>
      <c r="B15" s="247">
        <f>666+455.7+287+144.3+165</f>
        <v>1718</v>
      </c>
      <c r="C15" s="187" t="s">
        <v>28</v>
      </c>
      <c r="D15" s="182" t="s">
        <v>160</v>
      </c>
      <c r="E15" s="187" t="s">
        <v>12</v>
      </c>
      <c r="F15" s="182" t="s">
        <v>367</v>
      </c>
      <c r="G15" s="145">
        <v>31</v>
      </c>
      <c r="H15" s="283" t="s">
        <v>13</v>
      </c>
      <c r="I15" s="286" t="s">
        <v>118</v>
      </c>
      <c r="J15" s="269" t="s">
        <v>569</v>
      </c>
      <c r="K15" s="314" t="s">
        <v>531</v>
      </c>
      <c r="L15" s="275">
        <v>44227</v>
      </c>
    </row>
    <row r="16" spans="1:12" x14ac:dyDescent="0.45">
      <c r="A16" s="245"/>
      <c r="B16" s="248"/>
      <c r="C16" s="187" t="s">
        <v>28</v>
      </c>
      <c r="D16" s="182" t="s">
        <v>160</v>
      </c>
      <c r="E16" s="187" t="s">
        <v>18</v>
      </c>
      <c r="F16" s="182" t="s">
        <v>115</v>
      </c>
      <c r="G16" s="145">
        <v>35.580812000000002</v>
      </c>
      <c r="H16" s="284"/>
      <c r="I16" s="287"/>
      <c r="J16" s="270"/>
      <c r="K16" s="314"/>
      <c r="L16" s="275"/>
    </row>
    <row r="17" spans="1:12" s="56" customFormat="1" x14ac:dyDescent="0.45">
      <c r="A17" s="245"/>
      <c r="B17" s="248"/>
      <c r="C17" s="187" t="s">
        <v>10</v>
      </c>
      <c r="D17" s="187" t="s">
        <v>160</v>
      </c>
      <c r="E17" s="187" t="s">
        <v>18</v>
      </c>
      <c r="F17" s="182" t="s">
        <v>115</v>
      </c>
      <c r="G17" s="145">
        <f>0.354884+41.778</f>
        <v>42.132883999999997</v>
      </c>
      <c r="H17" s="284"/>
      <c r="I17" s="287"/>
      <c r="J17" s="270"/>
      <c r="K17" s="314"/>
      <c r="L17" s="275"/>
    </row>
    <row r="18" spans="1:12" s="56" customFormat="1" ht="30" customHeight="1" x14ac:dyDescent="0.45">
      <c r="A18" s="245"/>
      <c r="B18" s="248"/>
      <c r="C18" s="187" t="s">
        <v>430</v>
      </c>
      <c r="D18" s="182" t="s">
        <v>160</v>
      </c>
      <c r="E18" s="187" t="s">
        <v>12</v>
      </c>
      <c r="F18" s="182" t="s">
        <v>591</v>
      </c>
      <c r="G18" s="145">
        <v>10.5</v>
      </c>
      <c r="H18" s="284"/>
      <c r="I18" s="287"/>
      <c r="J18" s="270"/>
      <c r="K18" s="314"/>
      <c r="L18" s="275"/>
    </row>
    <row r="19" spans="1:12" s="56" customFormat="1" ht="28.5" x14ac:dyDescent="0.45">
      <c r="A19" s="245"/>
      <c r="B19" s="248"/>
      <c r="C19" s="187" t="s">
        <v>28</v>
      </c>
      <c r="D19" s="182" t="s">
        <v>160</v>
      </c>
      <c r="E19" s="187" t="s">
        <v>12</v>
      </c>
      <c r="F19" s="182" t="s">
        <v>367</v>
      </c>
      <c r="G19" s="145">
        <v>9</v>
      </c>
      <c r="H19" s="284"/>
      <c r="I19" s="287"/>
      <c r="J19" s="270"/>
      <c r="K19" s="314"/>
      <c r="L19" s="275"/>
    </row>
    <row r="20" spans="1:12" s="56" customFormat="1" x14ac:dyDescent="0.45">
      <c r="A20" s="245"/>
      <c r="B20" s="248"/>
      <c r="C20" s="187" t="s">
        <v>28</v>
      </c>
      <c r="D20" s="182" t="s">
        <v>160</v>
      </c>
      <c r="E20" s="187" t="s">
        <v>18</v>
      </c>
      <c r="F20" s="182" t="s">
        <v>115</v>
      </c>
      <c r="G20" s="145">
        <v>34.299999999999997</v>
      </c>
      <c r="H20" s="284"/>
      <c r="I20" s="287"/>
      <c r="J20" s="270"/>
      <c r="K20" s="314"/>
      <c r="L20" s="275"/>
    </row>
    <row r="21" spans="1:12" s="56" customFormat="1" ht="15" customHeight="1" x14ac:dyDescent="0.45">
      <c r="A21" s="245"/>
      <c r="B21" s="248"/>
      <c r="C21" s="187" t="s">
        <v>10</v>
      </c>
      <c r="D21" s="187" t="s">
        <v>160</v>
      </c>
      <c r="E21" s="187" t="s">
        <v>18</v>
      </c>
      <c r="F21" s="182" t="s">
        <v>115</v>
      </c>
      <c r="G21" s="145">
        <v>18</v>
      </c>
      <c r="H21" s="284"/>
      <c r="I21" s="287"/>
      <c r="J21" s="270"/>
      <c r="K21" s="314"/>
      <c r="L21" s="275"/>
    </row>
    <row r="22" spans="1:12" s="56" customFormat="1" ht="28.5" x14ac:dyDescent="0.45">
      <c r="A22" s="245"/>
      <c r="B22" s="248"/>
      <c r="C22" s="187" t="s">
        <v>430</v>
      </c>
      <c r="D22" s="187" t="s">
        <v>160</v>
      </c>
      <c r="E22" s="187" t="s">
        <v>12</v>
      </c>
      <c r="F22" s="182" t="s">
        <v>591</v>
      </c>
      <c r="G22" s="145">
        <v>20.3</v>
      </c>
      <c r="H22" s="284"/>
      <c r="I22" s="287"/>
      <c r="J22" s="270"/>
      <c r="K22" s="314"/>
      <c r="L22" s="275"/>
    </row>
    <row r="23" spans="1:12" ht="28.5" x14ac:dyDescent="0.45">
      <c r="A23" s="245"/>
      <c r="B23" s="248"/>
      <c r="C23" s="187" t="s">
        <v>28</v>
      </c>
      <c r="D23" s="182" t="s">
        <v>161</v>
      </c>
      <c r="E23" s="187" t="s">
        <v>12</v>
      </c>
      <c r="F23" s="182" t="s">
        <v>367</v>
      </c>
      <c r="G23" s="145">
        <v>2.5</v>
      </c>
      <c r="H23" s="284"/>
      <c r="I23" s="287"/>
      <c r="J23" s="270"/>
      <c r="K23" s="314" t="s">
        <v>532</v>
      </c>
      <c r="L23" s="275">
        <v>44227</v>
      </c>
    </row>
    <row r="24" spans="1:12" ht="30" customHeight="1" x14ac:dyDescent="0.45">
      <c r="A24" s="245"/>
      <c r="B24" s="248"/>
      <c r="C24" s="187" t="s">
        <v>28</v>
      </c>
      <c r="D24" s="182" t="s">
        <v>161</v>
      </c>
      <c r="E24" s="187" t="s">
        <v>18</v>
      </c>
      <c r="F24" s="182" t="s">
        <v>115</v>
      </c>
      <c r="G24" s="145">
        <v>20</v>
      </c>
      <c r="H24" s="284"/>
      <c r="I24" s="287"/>
      <c r="J24" s="270"/>
      <c r="K24" s="314"/>
      <c r="L24" s="276"/>
    </row>
    <row r="25" spans="1:12" s="56" customFormat="1" ht="28.5" x14ac:dyDescent="0.45">
      <c r="A25" s="245"/>
      <c r="B25" s="248"/>
      <c r="C25" s="187" t="s">
        <v>28</v>
      </c>
      <c r="D25" s="182" t="s">
        <v>161</v>
      </c>
      <c r="E25" s="187" t="s">
        <v>12</v>
      </c>
      <c r="F25" s="182" t="s">
        <v>367</v>
      </c>
      <c r="G25" s="145">
        <v>2.5</v>
      </c>
      <c r="H25" s="284"/>
      <c r="I25" s="287"/>
      <c r="J25" s="270"/>
      <c r="K25" s="314"/>
      <c r="L25" s="276"/>
    </row>
    <row r="26" spans="1:12" s="56" customFormat="1" x14ac:dyDescent="0.45">
      <c r="A26" s="245"/>
      <c r="B26" s="248"/>
      <c r="C26" s="187" t="s">
        <v>28</v>
      </c>
      <c r="D26" s="182" t="s">
        <v>161</v>
      </c>
      <c r="E26" s="187" t="s">
        <v>18</v>
      </c>
      <c r="F26" s="182" t="s">
        <v>115</v>
      </c>
      <c r="G26" s="145">
        <v>9.3000000000000007</v>
      </c>
      <c r="H26" s="284"/>
      <c r="I26" s="287"/>
      <c r="J26" s="270"/>
      <c r="K26" s="314"/>
      <c r="L26" s="276"/>
    </row>
    <row r="27" spans="1:12" ht="15" customHeight="1" x14ac:dyDescent="0.45">
      <c r="A27" s="245"/>
      <c r="B27" s="248"/>
      <c r="C27" s="187" t="s">
        <v>28</v>
      </c>
      <c r="D27" s="182" t="s">
        <v>68</v>
      </c>
      <c r="E27" s="187" t="s">
        <v>18</v>
      </c>
      <c r="F27" s="182" t="s">
        <v>115</v>
      </c>
      <c r="G27" s="145">
        <v>23.826981</v>
      </c>
      <c r="H27" s="284"/>
      <c r="I27" s="287"/>
      <c r="J27" s="270"/>
      <c r="K27" s="314" t="s">
        <v>533</v>
      </c>
      <c r="L27" s="275">
        <v>44227</v>
      </c>
    </row>
    <row r="28" spans="1:12" s="56" customFormat="1" ht="57" x14ac:dyDescent="0.45">
      <c r="A28" s="245"/>
      <c r="B28" s="248"/>
      <c r="C28" s="187" t="s">
        <v>10</v>
      </c>
      <c r="D28" s="187" t="s">
        <v>68</v>
      </c>
      <c r="E28" s="187" t="s">
        <v>12</v>
      </c>
      <c r="F28" s="182" t="s">
        <v>369</v>
      </c>
      <c r="G28" s="145">
        <v>8</v>
      </c>
      <c r="H28" s="284"/>
      <c r="I28" s="287"/>
      <c r="J28" s="270"/>
      <c r="K28" s="314"/>
      <c r="L28" s="276"/>
    </row>
    <row r="29" spans="1:12" s="56" customFormat="1" x14ac:dyDescent="0.45">
      <c r="A29" s="245"/>
      <c r="B29" s="248"/>
      <c r="C29" s="187" t="s">
        <v>10</v>
      </c>
      <c r="D29" s="187" t="s">
        <v>68</v>
      </c>
      <c r="E29" s="187" t="s">
        <v>18</v>
      </c>
      <c r="F29" s="182" t="s">
        <v>115</v>
      </c>
      <c r="G29" s="145">
        <v>8.3000000000000007</v>
      </c>
      <c r="H29" s="284"/>
      <c r="I29" s="287"/>
      <c r="J29" s="270"/>
      <c r="K29" s="314"/>
      <c r="L29" s="276"/>
    </row>
    <row r="30" spans="1:12" s="56" customFormat="1" ht="30" customHeight="1" x14ac:dyDescent="0.45">
      <c r="A30" s="245"/>
      <c r="B30" s="248"/>
      <c r="C30" s="187" t="s">
        <v>430</v>
      </c>
      <c r="D30" s="187" t="s">
        <v>68</v>
      </c>
      <c r="E30" s="187" t="s">
        <v>12</v>
      </c>
      <c r="F30" s="182" t="s">
        <v>591</v>
      </c>
      <c r="G30" s="145">
        <v>8.4600000000000009</v>
      </c>
      <c r="H30" s="284"/>
      <c r="I30" s="287"/>
      <c r="J30" s="270"/>
      <c r="K30" s="314"/>
      <c r="L30" s="276"/>
    </row>
    <row r="31" spans="1:12" s="56" customFormat="1" ht="57" x14ac:dyDescent="0.45">
      <c r="A31" s="245"/>
      <c r="B31" s="248"/>
      <c r="C31" s="187" t="s">
        <v>430</v>
      </c>
      <c r="D31" s="187" t="s">
        <v>68</v>
      </c>
      <c r="E31" s="187" t="s">
        <v>12</v>
      </c>
      <c r="F31" s="182" t="s">
        <v>369</v>
      </c>
      <c r="G31" s="145">
        <v>-5.3229490000000004</v>
      </c>
      <c r="H31" s="284"/>
      <c r="I31" s="287"/>
      <c r="J31" s="270"/>
      <c r="K31" s="314"/>
      <c r="L31" s="276"/>
    </row>
    <row r="32" spans="1:12" s="56" customFormat="1" x14ac:dyDescent="0.45">
      <c r="A32" s="245"/>
      <c r="B32" s="248"/>
      <c r="C32" s="187" t="s">
        <v>430</v>
      </c>
      <c r="D32" s="187" t="s">
        <v>68</v>
      </c>
      <c r="E32" s="187" t="s">
        <v>18</v>
      </c>
      <c r="F32" s="182" t="s">
        <v>115</v>
      </c>
      <c r="G32" s="150">
        <v>5.3229490000000004</v>
      </c>
      <c r="H32" s="284"/>
      <c r="I32" s="287"/>
      <c r="J32" s="270"/>
      <c r="K32" s="314"/>
      <c r="L32" s="276"/>
    </row>
    <row r="33" spans="1:12" s="56" customFormat="1" ht="15" customHeight="1" x14ac:dyDescent="0.45">
      <c r="A33" s="245"/>
      <c r="B33" s="248"/>
      <c r="C33" s="187" t="s">
        <v>28</v>
      </c>
      <c r="D33" s="182" t="s">
        <v>68</v>
      </c>
      <c r="E33" s="187" t="s">
        <v>18</v>
      </c>
      <c r="F33" s="182" t="s">
        <v>115</v>
      </c>
      <c r="G33" s="145">
        <v>25.5</v>
      </c>
      <c r="H33" s="284"/>
      <c r="I33" s="287"/>
      <c r="J33" s="270"/>
      <c r="K33" s="314"/>
      <c r="L33" s="276"/>
    </row>
    <row r="34" spans="1:12" s="56" customFormat="1" ht="57" x14ac:dyDescent="0.45">
      <c r="A34" s="245"/>
      <c r="B34" s="248"/>
      <c r="C34" s="187" t="s">
        <v>10</v>
      </c>
      <c r="D34" s="182" t="s">
        <v>68</v>
      </c>
      <c r="E34" s="187" t="s">
        <v>12</v>
      </c>
      <c r="F34" s="182" t="s">
        <v>369</v>
      </c>
      <c r="G34" s="145">
        <v>6</v>
      </c>
      <c r="H34" s="284"/>
      <c r="I34" s="287"/>
      <c r="J34" s="270"/>
      <c r="K34" s="314"/>
      <c r="L34" s="276"/>
    </row>
    <row r="35" spans="1:12" s="56" customFormat="1" x14ac:dyDescent="0.45">
      <c r="A35" s="245"/>
      <c r="B35" s="248"/>
      <c r="C35" s="187" t="s">
        <v>430</v>
      </c>
      <c r="D35" s="182" t="s">
        <v>68</v>
      </c>
      <c r="E35" s="187" t="s">
        <v>18</v>
      </c>
      <c r="F35" s="182" t="s">
        <v>115</v>
      </c>
      <c r="G35" s="145">
        <v>6</v>
      </c>
      <c r="H35" s="284"/>
      <c r="I35" s="287"/>
      <c r="J35" s="270"/>
      <c r="K35" s="314"/>
      <c r="L35" s="276"/>
    </row>
    <row r="36" spans="1:12" s="56" customFormat="1" ht="57" x14ac:dyDescent="0.45">
      <c r="A36" s="245"/>
      <c r="B36" s="248"/>
      <c r="C36" s="187" t="s">
        <v>430</v>
      </c>
      <c r="D36" s="182" t="s">
        <v>68</v>
      </c>
      <c r="E36" s="187" t="s">
        <v>12</v>
      </c>
      <c r="F36" s="182" t="s">
        <v>369</v>
      </c>
      <c r="G36" s="145">
        <v>-6</v>
      </c>
      <c r="H36" s="284"/>
      <c r="I36" s="287"/>
      <c r="J36" s="270"/>
      <c r="K36" s="314"/>
      <c r="L36" s="276"/>
    </row>
    <row r="37" spans="1:12" s="56" customFormat="1" ht="28.5" x14ac:dyDescent="0.45">
      <c r="A37" s="245"/>
      <c r="B37" s="248"/>
      <c r="C37" s="187" t="s">
        <v>430</v>
      </c>
      <c r="D37" s="182" t="s">
        <v>68</v>
      </c>
      <c r="E37" s="187" t="s">
        <v>12</v>
      </c>
      <c r="F37" s="182" t="s">
        <v>591</v>
      </c>
      <c r="G37" s="145">
        <v>17.899999999999999</v>
      </c>
      <c r="H37" s="284"/>
      <c r="I37" s="287"/>
      <c r="J37" s="270"/>
      <c r="K37" s="314"/>
      <c r="L37" s="276"/>
    </row>
    <row r="38" spans="1:12" ht="28.5" x14ac:dyDescent="0.45">
      <c r="A38" s="245"/>
      <c r="B38" s="248"/>
      <c r="C38" s="187" t="s">
        <v>28</v>
      </c>
      <c r="D38" s="182" t="s">
        <v>70</v>
      </c>
      <c r="E38" s="187" t="s">
        <v>12</v>
      </c>
      <c r="F38" s="182" t="s">
        <v>367</v>
      </c>
      <c r="G38" s="145">
        <v>202.755</v>
      </c>
      <c r="H38" s="284"/>
      <c r="I38" s="287"/>
      <c r="J38" s="270"/>
      <c r="K38" s="314" t="s">
        <v>534</v>
      </c>
      <c r="L38" s="275">
        <v>44227</v>
      </c>
    </row>
    <row r="39" spans="1:12" ht="30" customHeight="1" x14ac:dyDescent="0.45">
      <c r="A39" s="245"/>
      <c r="B39" s="248"/>
      <c r="C39" s="187" t="s">
        <v>28</v>
      </c>
      <c r="D39" s="182" t="s">
        <v>70</v>
      </c>
      <c r="E39" s="187" t="s">
        <v>18</v>
      </c>
      <c r="F39" s="182" t="s">
        <v>115</v>
      </c>
      <c r="G39" s="145">
        <v>5.1315189999999999</v>
      </c>
      <c r="H39" s="284"/>
      <c r="I39" s="287"/>
      <c r="J39" s="270"/>
      <c r="K39" s="314"/>
      <c r="L39" s="276"/>
    </row>
    <row r="40" spans="1:12" s="56" customFormat="1" ht="57" x14ac:dyDescent="0.45">
      <c r="A40" s="245"/>
      <c r="B40" s="248"/>
      <c r="C40" s="187" t="s">
        <v>10</v>
      </c>
      <c r="D40" s="182" t="s">
        <v>70</v>
      </c>
      <c r="E40" s="187" t="s">
        <v>12</v>
      </c>
      <c r="F40" s="182" t="s">
        <v>369</v>
      </c>
      <c r="G40" s="145">
        <v>131.19999999999999</v>
      </c>
      <c r="H40" s="284"/>
      <c r="I40" s="287"/>
      <c r="J40" s="270"/>
      <c r="K40" s="314"/>
      <c r="L40" s="276"/>
    </row>
    <row r="41" spans="1:12" s="56" customFormat="1" x14ac:dyDescent="0.45">
      <c r="A41" s="245"/>
      <c r="B41" s="248"/>
      <c r="C41" s="187" t="s">
        <v>10</v>
      </c>
      <c r="D41" s="182" t="s">
        <v>70</v>
      </c>
      <c r="E41" s="187" t="s">
        <v>18</v>
      </c>
      <c r="F41" s="182" t="s">
        <v>115</v>
      </c>
      <c r="G41" s="145">
        <f>3.594906+61.566</f>
        <v>65.160905999999997</v>
      </c>
      <c r="H41" s="284"/>
      <c r="I41" s="287"/>
      <c r="J41" s="270"/>
      <c r="K41" s="314"/>
      <c r="L41" s="276"/>
    </row>
    <row r="42" spans="1:12" s="56" customFormat="1" ht="57" x14ac:dyDescent="0.45">
      <c r="A42" s="245"/>
      <c r="B42" s="248"/>
      <c r="C42" s="187" t="s">
        <v>430</v>
      </c>
      <c r="D42" s="182" t="s">
        <v>70</v>
      </c>
      <c r="E42" s="187" t="s">
        <v>12</v>
      </c>
      <c r="F42" s="182" t="s">
        <v>369</v>
      </c>
      <c r="G42" s="145">
        <v>-125</v>
      </c>
      <c r="H42" s="284"/>
      <c r="I42" s="287"/>
      <c r="J42" s="270"/>
      <c r="K42" s="314"/>
      <c r="L42" s="276"/>
    </row>
    <row r="43" spans="1:12" s="56" customFormat="1" x14ac:dyDescent="0.45">
      <c r="A43" s="245"/>
      <c r="B43" s="248"/>
      <c r="C43" s="187" t="s">
        <v>430</v>
      </c>
      <c r="D43" s="182" t="s">
        <v>70</v>
      </c>
      <c r="E43" s="187" t="s">
        <v>18</v>
      </c>
      <c r="F43" s="182" t="s">
        <v>115</v>
      </c>
      <c r="G43" s="145">
        <v>125</v>
      </c>
      <c r="H43" s="284"/>
      <c r="I43" s="287"/>
      <c r="J43" s="270"/>
      <c r="K43" s="314"/>
      <c r="L43" s="276"/>
    </row>
    <row r="44" spans="1:12" s="56" customFormat="1" ht="28.5" x14ac:dyDescent="0.45">
      <c r="A44" s="245"/>
      <c r="B44" s="248"/>
      <c r="C44" s="187" t="s">
        <v>430</v>
      </c>
      <c r="D44" s="182" t="s">
        <v>70</v>
      </c>
      <c r="E44" s="187" t="s">
        <v>12</v>
      </c>
      <c r="F44" s="182" t="s">
        <v>591</v>
      </c>
      <c r="G44" s="145">
        <v>85.7</v>
      </c>
      <c r="H44" s="284"/>
      <c r="I44" s="287"/>
      <c r="J44" s="270"/>
      <c r="K44" s="314"/>
      <c r="L44" s="276"/>
    </row>
    <row r="45" spans="1:12" s="56" customFormat="1" ht="30" customHeight="1" x14ac:dyDescent="0.45">
      <c r="A45" s="245"/>
      <c r="B45" s="248"/>
      <c r="C45" s="187" t="s">
        <v>28</v>
      </c>
      <c r="D45" s="182" t="s">
        <v>70</v>
      </c>
      <c r="E45" s="187" t="s">
        <v>12</v>
      </c>
      <c r="F45" s="182" t="s">
        <v>367</v>
      </c>
      <c r="G45" s="145">
        <v>95.7</v>
      </c>
      <c r="H45" s="284"/>
      <c r="I45" s="287"/>
      <c r="J45" s="270"/>
      <c r="K45" s="314"/>
      <c r="L45" s="276"/>
    </row>
    <row r="46" spans="1:12" s="56" customFormat="1" ht="57" x14ac:dyDescent="0.45">
      <c r="A46" s="245"/>
      <c r="B46" s="248"/>
      <c r="C46" s="187" t="s">
        <v>10</v>
      </c>
      <c r="D46" s="182" t="s">
        <v>70</v>
      </c>
      <c r="E46" s="187" t="s">
        <v>12</v>
      </c>
      <c r="F46" s="182" t="s">
        <v>369</v>
      </c>
      <c r="G46" s="145">
        <v>67</v>
      </c>
      <c r="H46" s="284"/>
      <c r="I46" s="287"/>
      <c r="J46" s="270"/>
      <c r="K46" s="314"/>
      <c r="L46" s="276"/>
    </row>
    <row r="47" spans="1:12" s="56" customFormat="1" ht="28.5" x14ac:dyDescent="0.45">
      <c r="A47" s="245"/>
      <c r="B47" s="248"/>
      <c r="C47" s="187" t="s">
        <v>430</v>
      </c>
      <c r="D47" s="182" t="s">
        <v>70</v>
      </c>
      <c r="E47" s="187" t="s">
        <v>12</v>
      </c>
      <c r="F47" s="182" t="s">
        <v>591</v>
      </c>
      <c r="G47" s="147">
        <v>63.8</v>
      </c>
      <c r="H47" s="284"/>
      <c r="I47" s="287"/>
      <c r="J47" s="270"/>
      <c r="K47" s="314"/>
      <c r="L47" s="276"/>
    </row>
    <row r="48" spans="1:12" ht="30" customHeight="1" x14ac:dyDescent="0.45">
      <c r="A48" s="245"/>
      <c r="B48" s="248"/>
      <c r="C48" s="187" t="s">
        <v>28</v>
      </c>
      <c r="D48" s="182" t="s">
        <v>162</v>
      </c>
      <c r="E48" s="187" t="s">
        <v>12</v>
      </c>
      <c r="F48" s="182" t="s">
        <v>367</v>
      </c>
      <c r="G48" s="145">
        <v>25</v>
      </c>
      <c r="H48" s="284"/>
      <c r="I48" s="287"/>
      <c r="J48" s="270"/>
      <c r="K48" s="314" t="s">
        <v>535</v>
      </c>
      <c r="L48" s="275">
        <v>44227</v>
      </c>
    </row>
    <row r="49" spans="1:12" ht="28.5" x14ac:dyDescent="0.45">
      <c r="A49" s="245"/>
      <c r="B49" s="248"/>
      <c r="C49" s="187" t="s">
        <v>28</v>
      </c>
      <c r="D49" s="182" t="s">
        <v>162</v>
      </c>
      <c r="E49" s="187" t="s">
        <v>18</v>
      </c>
      <c r="F49" s="182" t="s">
        <v>115</v>
      </c>
      <c r="G49" s="145">
        <v>114.82145800000001</v>
      </c>
      <c r="H49" s="284"/>
      <c r="I49" s="287"/>
      <c r="J49" s="270"/>
      <c r="K49" s="314"/>
      <c r="L49" s="276"/>
    </row>
    <row r="50" spans="1:12" ht="28.5" x14ac:dyDescent="0.45">
      <c r="A50" s="245"/>
      <c r="B50" s="248"/>
      <c r="C50" s="187" t="s">
        <v>10</v>
      </c>
      <c r="D50" s="182" t="s">
        <v>162</v>
      </c>
      <c r="E50" s="187" t="s">
        <v>18</v>
      </c>
      <c r="F50" s="182" t="s">
        <v>115</v>
      </c>
      <c r="G50" s="145">
        <v>46.5</v>
      </c>
      <c r="H50" s="284"/>
      <c r="I50" s="287"/>
      <c r="J50" s="270"/>
      <c r="K50" s="314"/>
      <c r="L50" s="276"/>
    </row>
    <row r="51" spans="1:12" ht="30" customHeight="1" x14ac:dyDescent="0.45">
      <c r="A51" s="245"/>
      <c r="B51" s="248"/>
      <c r="C51" s="187" t="s">
        <v>28</v>
      </c>
      <c r="D51" s="182" t="s">
        <v>162</v>
      </c>
      <c r="E51" s="187" t="s">
        <v>12</v>
      </c>
      <c r="F51" s="182" t="s">
        <v>367</v>
      </c>
      <c r="G51" s="145">
        <v>53</v>
      </c>
      <c r="H51" s="284"/>
      <c r="I51" s="287"/>
      <c r="J51" s="270"/>
      <c r="K51" s="314"/>
      <c r="L51" s="276"/>
    </row>
    <row r="52" spans="1:12" ht="28.5" x14ac:dyDescent="0.45">
      <c r="A52" s="245"/>
      <c r="B52" s="248"/>
      <c r="C52" s="187" t="s">
        <v>28</v>
      </c>
      <c r="D52" s="182" t="s">
        <v>162</v>
      </c>
      <c r="E52" s="187" t="s">
        <v>18</v>
      </c>
      <c r="F52" s="182" t="s">
        <v>115</v>
      </c>
      <c r="G52" s="145">
        <v>18.3</v>
      </c>
      <c r="H52" s="284"/>
      <c r="I52" s="287"/>
      <c r="J52" s="270"/>
      <c r="K52" s="314"/>
      <c r="L52" s="276"/>
    </row>
    <row r="53" spans="1:12" ht="57" x14ac:dyDescent="0.45">
      <c r="A53" s="245"/>
      <c r="B53" s="248"/>
      <c r="C53" s="187" t="s">
        <v>10</v>
      </c>
      <c r="D53" s="182" t="s">
        <v>162</v>
      </c>
      <c r="E53" s="187" t="s">
        <v>12</v>
      </c>
      <c r="F53" s="182" t="s">
        <v>369</v>
      </c>
      <c r="G53" s="145">
        <v>12</v>
      </c>
      <c r="H53" s="284"/>
      <c r="I53" s="287"/>
      <c r="J53" s="270"/>
      <c r="K53" s="314"/>
      <c r="L53" s="276"/>
    </row>
    <row r="54" spans="1:12" ht="30" customHeight="1" x14ac:dyDescent="0.45">
      <c r="A54" s="245"/>
      <c r="B54" s="248"/>
      <c r="C54" s="187" t="s">
        <v>10</v>
      </c>
      <c r="D54" s="182" t="s">
        <v>162</v>
      </c>
      <c r="E54" s="187" t="s">
        <v>18</v>
      </c>
      <c r="F54" s="182" t="s">
        <v>115</v>
      </c>
      <c r="G54" s="145">
        <v>11.3</v>
      </c>
      <c r="H54" s="284"/>
      <c r="I54" s="287"/>
      <c r="J54" s="270"/>
      <c r="K54" s="314"/>
      <c r="L54" s="276"/>
    </row>
    <row r="55" spans="1:12" ht="28.5" x14ac:dyDescent="0.45">
      <c r="A55" s="245"/>
      <c r="B55" s="248"/>
      <c r="C55" s="187" t="s">
        <v>28</v>
      </c>
      <c r="D55" s="182" t="s">
        <v>163</v>
      </c>
      <c r="E55" s="187" t="s">
        <v>12</v>
      </c>
      <c r="F55" s="182" t="s">
        <v>367</v>
      </c>
      <c r="G55" s="145">
        <v>109.37899899999999</v>
      </c>
      <c r="H55" s="284"/>
      <c r="I55" s="287"/>
      <c r="J55" s="270"/>
      <c r="K55" s="314" t="s">
        <v>536</v>
      </c>
      <c r="L55" s="275">
        <v>44227</v>
      </c>
    </row>
    <row r="56" spans="1:12" ht="28.5" x14ac:dyDescent="0.45">
      <c r="A56" s="245"/>
      <c r="B56" s="248"/>
      <c r="C56" s="187" t="s">
        <v>28</v>
      </c>
      <c r="D56" s="182" t="s">
        <v>163</v>
      </c>
      <c r="E56" s="187" t="s">
        <v>18</v>
      </c>
      <c r="F56" s="182" t="s">
        <v>115</v>
      </c>
      <c r="G56" s="145">
        <v>103.03525</v>
      </c>
      <c r="H56" s="284"/>
      <c r="I56" s="287"/>
      <c r="J56" s="270"/>
      <c r="K56" s="314"/>
      <c r="L56" s="276"/>
    </row>
    <row r="57" spans="1:12" ht="57" x14ac:dyDescent="0.45">
      <c r="A57" s="245"/>
      <c r="B57" s="248"/>
      <c r="C57" s="187" t="s">
        <v>10</v>
      </c>
      <c r="D57" s="182" t="s">
        <v>163</v>
      </c>
      <c r="E57" s="187" t="s">
        <v>12</v>
      </c>
      <c r="F57" s="182" t="s">
        <v>369</v>
      </c>
      <c r="G57" s="145">
        <v>88.2</v>
      </c>
      <c r="H57" s="284"/>
      <c r="I57" s="287"/>
      <c r="J57" s="270"/>
      <c r="K57" s="314"/>
      <c r="L57" s="276"/>
    </row>
    <row r="58" spans="1:12" s="56" customFormat="1" ht="28.5" x14ac:dyDescent="0.45">
      <c r="A58" s="245"/>
      <c r="B58" s="248"/>
      <c r="C58" s="187" t="s">
        <v>10</v>
      </c>
      <c r="D58" s="182" t="s">
        <v>163</v>
      </c>
      <c r="E58" s="187" t="s">
        <v>18</v>
      </c>
      <c r="F58" s="182" t="s">
        <v>115</v>
      </c>
      <c r="G58" s="145">
        <f>1.943603+63.631</f>
        <v>65.574602999999996</v>
      </c>
      <c r="H58" s="284"/>
      <c r="I58" s="287"/>
      <c r="J58" s="270"/>
      <c r="K58" s="314"/>
      <c r="L58" s="276"/>
    </row>
    <row r="59" spans="1:12" s="56" customFormat="1" ht="57" x14ac:dyDescent="0.45">
      <c r="A59" s="245"/>
      <c r="B59" s="248"/>
      <c r="C59" s="71" t="s">
        <v>430</v>
      </c>
      <c r="D59" s="182" t="s">
        <v>163</v>
      </c>
      <c r="E59" s="187" t="s">
        <v>12</v>
      </c>
      <c r="F59" s="182" t="s">
        <v>369</v>
      </c>
      <c r="G59" s="145">
        <v>-13.706882999999999</v>
      </c>
      <c r="H59" s="284"/>
      <c r="I59" s="287"/>
      <c r="J59" s="270"/>
      <c r="K59" s="314"/>
      <c r="L59" s="276"/>
    </row>
    <row r="60" spans="1:12" s="56" customFormat="1" ht="30" customHeight="1" x14ac:dyDescent="0.45">
      <c r="A60" s="245"/>
      <c r="B60" s="248"/>
      <c r="C60" s="71" t="s">
        <v>430</v>
      </c>
      <c r="D60" s="182" t="s">
        <v>163</v>
      </c>
      <c r="E60" s="71" t="s">
        <v>18</v>
      </c>
      <c r="F60" s="71" t="s">
        <v>115</v>
      </c>
      <c r="G60" s="150">
        <v>13.706882999999999</v>
      </c>
      <c r="H60" s="284"/>
      <c r="I60" s="287"/>
      <c r="J60" s="270"/>
      <c r="K60" s="314"/>
      <c r="L60" s="276"/>
    </row>
    <row r="61" spans="1:12" ht="28.5" x14ac:dyDescent="0.45">
      <c r="A61" s="245"/>
      <c r="B61" s="248"/>
      <c r="C61" s="187" t="s">
        <v>28</v>
      </c>
      <c r="D61" s="182" t="s">
        <v>163</v>
      </c>
      <c r="E61" s="187" t="s">
        <v>12</v>
      </c>
      <c r="F61" s="182" t="s">
        <v>367</v>
      </c>
      <c r="G61" s="145">
        <v>39.4</v>
      </c>
      <c r="H61" s="284"/>
      <c r="I61" s="287"/>
      <c r="J61" s="270"/>
      <c r="K61" s="314"/>
      <c r="L61" s="276"/>
    </row>
    <row r="62" spans="1:12" ht="57" x14ac:dyDescent="0.45">
      <c r="A62" s="245"/>
      <c r="B62" s="248"/>
      <c r="C62" s="187" t="s">
        <v>10</v>
      </c>
      <c r="D62" s="182" t="s">
        <v>163</v>
      </c>
      <c r="E62" s="187" t="s">
        <v>12</v>
      </c>
      <c r="F62" s="182" t="s">
        <v>369</v>
      </c>
      <c r="G62" s="145">
        <v>15</v>
      </c>
      <c r="H62" s="284"/>
      <c r="I62" s="287"/>
      <c r="J62" s="270"/>
      <c r="K62" s="314"/>
      <c r="L62" s="276"/>
    </row>
    <row r="63" spans="1:12" ht="30" customHeight="1" x14ac:dyDescent="0.45">
      <c r="A63" s="245"/>
      <c r="B63" s="248"/>
      <c r="C63" s="187" t="s">
        <v>10</v>
      </c>
      <c r="D63" s="182" t="s">
        <v>163</v>
      </c>
      <c r="E63" s="187" t="s">
        <v>18</v>
      </c>
      <c r="F63" s="182" t="s">
        <v>115</v>
      </c>
      <c r="G63" s="145">
        <v>15</v>
      </c>
      <c r="H63" s="284"/>
      <c r="I63" s="287"/>
      <c r="J63" s="270"/>
      <c r="K63" s="314"/>
      <c r="L63" s="276"/>
    </row>
    <row r="64" spans="1:12" s="56" customFormat="1" ht="28.5" x14ac:dyDescent="0.45">
      <c r="A64" s="245"/>
      <c r="B64" s="248"/>
      <c r="C64" s="187" t="s">
        <v>430</v>
      </c>
      <c r="D64" s="182" t="s">
        <v>163</v>
      </c>
      <c r="E64" s="187" t="s">
        <v>18</v>
      </c>
      <c r="F64" s="182" t="s">
        <v>115</v>
      </c>
      <c r="G64" s="145">
        <v>0.75226300000000001</v>
      </c>
      <c r="H64" s="284"/>
      <c r="I64" s="287"/>
      <c r="J64" s="270"/>
      <c r="K64" s="314"/>
      <c r="L64" s="276"/>
    </row>
    <row r="65" spans="1:12" s="56" customFormat="1" ht="57" x14ac:dyDescent="0.45">
      <c r="A65" s="245"/>
      <c r="B65" s="248"/>
      <c r="C65" s="187" t="s">
        <v>430</v>
      </c>
      <c r="D65" s="182" t="s">
        <v>163</v>
      </c>
      <c r="E65" s="187" t="s">
        <v>12</v>
      </c>
      <c r="F65" s="182" t="s">
        <v>369</v>
      </c>
      <c r="G65" s="145">
        <v>-0.75226300000000001</v>
      </c>
      <c r="H65" s="284"/>
      <c r="I65" s="287"/>
      <c r="J65" s="271"/>
      <c r="K65" s="314"/>
      <c r="L65" s="276"/>
    </row>
    <row r="66" spans="1:12" ht="35.25" customHeight="1" x14ac:dyDescent="0.45">
      <c r="A66" s="201" t="s">
        <v>165</v>
      </c>
      <c r="B66" s="83">
        <v>3</v>
      </c>
      <c r="C66" s="187" t="s">
        <v>430</v>
      </c>
      <c r="D66" s="182" t="s">
        <v>161</v>
      </c>
      <c r="E66" s="187" t="s">
        <v>18</v>
      </c>
      <c r="F66" s="71" t="s">
        <v>115</v>
      </c>
      <c r="G66" s="147">
        <v>3</v>
      </c>
      <c r="H66" s="187" t="s">
        <v>13</v>
      </c>
      <c r="I66" s="188" t="s">
        <v>164</v>
      </c>
      <c r="J66" s="187" t="s">
        <v>15</v>
      </c>
      <c r="K66" s="214"/>
      <c r="L66" s="203"/>
    </row>
    <row r="67" spans="1:12" x14ac:dyDescent="0.45">
      <c r="A67" s="244" t="s">
        <v>126</v>
      </c>
      <c r="B67" s="281">
        <v>0</v>
      </c>
      <c r="C67" s="262" t="s">
        <v>44</v>
      </c>
      <c r="D67" s="187" t="s">
        <v>201</v>
      </c>
      <c r="E67" s="187" t="s">
        <v>115</v>
      </c>
      <c r="F67" s="182" t="s">
        <v>115</v>
      </c>
      <c r="G67" s="145" t="s">
        <v>115</v>
      </c>
      <c r="H67" s="187" t="s">
        <v>388</v>
      </c>
      <c r="I67" s="187"/>
      <c r="J67" s="187"/>
      <c r="K67" s="214"/>
      <c r="L67" s="203"/>
    </row>
    <row r="68" spans="1:12" s="56" customFormat="1" x14ac:dyDescent="0.45">
      <c r="A68" s="246"/>
      <c r="B68" s="277"/>
      <c r="C68" s="262"/>
      <c r="D68" s="187" t="s">
        <v>199</v>
      </c>
      <c r="E68" s="187" t="s">
        <v>115</v>
      </c>
      <c r="F68" s="182" t="s">
        <v>115</v>
      </c>
      <c r="G68" s="145" t="s">
        <v>115</v>
      </c>
      <c r="H68" s="187" t="s">
        <v>388</v>
      </c>
      <c r="I68" s="187"/>
      <c r="J68" s="187"/>
      <c r="K68" s="214"/>
      <c r="L68" s="203"/>
    </row>
    <row r="69" spans="1:12" ht="28.5" x14ac:dyDescent="0.45">
      <c r="A69" s="244" t="s">
        <v>127</v>
      </c>
      <c r="B69" s="281">
        <f>30+5+50</f>
        <v>85</v>
      </c>
      <c r="C69" s="187" t="s">
        <v>28</v>
      </c>
      <c r="D69" s="182" t="s">
        <v>128</v>
      </c>
      <c r="E69" s="187" t="s">
        <v>18</v>
      </c>
      <c r="F69" s="182" t="s">
        <v>115</v>
      </c>
      <c r="G69" s="145">
        <v>22.2</v>
      </c>
      <c r="H69" s="283" t="s">
        <v>13</v>
      </c>
      <c r="I69" s="286" t="s">
        <v>129</v>
      </c>
      <c r="J69" s="280" t="s">
        <v>569</v>
      </c>
      <c r="K69" s="290" t="s">
        <v>528</v>
      </c>
      <c r="L69" s="241">
        <v>44227</v>
      </c>
    </row>
    <row r="70" spans="1:12" s="56" customFormat="1" ht="28.5" x14ac:dyDescent="0.45">
      <c r="A70" s="246"/>
      <c r="B70" s="277"/>
      <c r="C70" s="187" t="s">
        <v>430</v>
      </c>
      <c r="D70" s="182" t="s">
        <v>128</v>
      </c>
      <c r="E70" s="187" t="s">
        <v>18</v>
      </c>
      <c r="F70" s="182" t="s">
        <v>115</v>
      </c>
      <c r="G70" s="145">
        <v>50</v>
      </c>
      <c r="H70" s="285"/>
      <c r="I70" s="288"/>
      <c r="J70" s="280"/>
      <c r="K70" s="292"/>
      <c r="L70" s="243"/>
    </row>
    <row r="71" spans="1:12" x14ac:dyDescent="0.45">
      <c r="A71" s="201" t="s">
        <v>131</v>
      </c>
      <c r="B71" s="83">
        <v>5</v>
      </c>
      <c r="C71" s="187" t="s">
        <v>430</v>
      </c>
      <c r="D71" s="187" t="s">
        <v>408</v>
      </c>
      <c r="E71" s="187" t="s">
        <v>18</v>
      </c>
      <c r="F71" s="182" t="s">
        <v>115</v>
      </c>
      <c r="G71" s="151">
        <v>4.74</v>
      </c>
      <c r="H71" s="187" t="s">
        <v>388</v>
      </c>
      <c r="I71" s="187"/>
      <c r="J71" s="187"/>
      <c r="K71" s="214"/>
      <c r="L71" s="203"/>
    </row>
    <row r="72" spans="1:12" ht="28.5" x14ac:dyDescent="0.45">
      <c r="A72" s="244" t="s">
        <v>132</v>
      </c>
      <c r="B72" s="281">
        <v>50</v>
      </c>
      <c r="C72" s="187" t="s">
        <v>10</v>
      </c>
      <c r="D72" s="182" t="s">
        <v>133</v>
      </c>
      <c r="E72" s="187" t="s">
        <v>12</v>
      </c>
      <c r="F72" s="182" t="s">
        <v>367</v>
      </c>
      <c r="G72" s="145">
        <v>50</v>
      </c>
      <c r="H72" s="283" t="s">
        <v>13</v>
      </c>
      <c r="I72" s="286" t="s">
        <v>134</v>
      </c>
      <c r="J72" s="280" t="s">
        <v>569</v>
      </c>
      <c r="K72" s="290" t="s">
        <v>527</v>
      </c>
      <c r="L72" s="241">
        <v>44227</v>
      </c>
    </row>
    <row r="73" spans="1:12" s="56" customFormat="1" ht="28.5" x14ac:dyDescent="0.45">
      <c r="A73" s="245"/>
      <c r="B73" s="282"/>
      <c r="C73" s="187" t="s">
        <v>430</v>
      </c>
      <c r="D73" s="182" t="s">
        <v>133</v>
      </c>
      <c r="E73" s="187" t="s">
        <v>12</v>
      </c>
      <c r="F73" s="182" t="s">
        <v>367</v>
      </c>
      <c r="G73" s="145">
        <v>-49.654000000000003</v>
      </c>
      <c r="H73" s="284"/>
      <c r="I73" s="287"/>
      <c r="J73" s="280"/>
      <c r="K73" s="291"/>
      <c r="L73" s="260"/>
    </row>
    <row r="74" spans="1:12" s="56" customFormat="1" x14ac:dyDescent="0.45">
      <c r="A74" s="246"/>
      <c r="B74" s="277"/>
      <c r="C74" s="187" t="s">
        <v>430</v>
      </c>
      <c r="D74" s="182" t="s">
        <v>133</v>
      </c>
      <c r="E74" s="187" t="s">
        <v>18</v>
      </c>
      <c r="F74" s="182" t="s">
        <v>115</v>
      </c>
      <c r="G74" s="145">
        <v>49.654000000000003</v>
      </c>
      <c r="H74" s="285"/>
      <c r="I74" s="288"/>
      <c r="J74" s="280"/>
      <c r="K74" s="292"/>
      <c r="L74" s="261"/>
    </row>
    <row r="75" spans="1:12" x14ac:dyDescent="0.45">
      <c r="A75" s="244" t="s">
        <v>135</v>
      </c>
      <c r="B75" s="281">
        <v>50</v>
      </c>
      <c r="C75" s="187" t="s">
        <v>430</v>
      </c>
      <c r="D75" s="187" t="s">
        <v>160</v>
      </c>
      <c r="E75" s="187" t="s">
        <v>18</v>
      </c>
      <c r="F75" s="182" t="s">
        <v>115</v>
      </c>
      <c r="G75" s="151">
        <v>10</v>
      </c>
      <c r="H75" s="283" t="s">
        <v>13</v>
      </c>
      <c r="I75" s="286" t="s">
        <v>164</v>
      </c>
      <c r="J75" s="283" t="s">
        <v>15</v>
      </c>
      <c r="K75" s="290"/>
      <c r="L75" s="333"/>
    </row>
    <row r="76" spans="1:12" s="56" customFormat="1" x14ac:dyDescent="0.45">
      <c r="A76" s="245"/>
      <c r="B76" s="282"/>
      <c r="C76" s="187" t="s">
        <v>430</v>
      </c>
      <c r="D76" s="182" t="s">
        <v>161</v>
      </c>
      <c r="E76" s="187" t="s">
        <v>18</v>
      </c>
      <c r="F76" s="182" t="s">
        <v>115</v>
      </c>
      <c r="G76" s="151">
        <v>0.625</v>
      </c>
      <c r="H76" s="284"/>
      <c r="I76" s="287"/>
      <c r="J76" s="284"/>
      <c r="K76" s="291"/>
      <c r="L76" s="242"/>
    </row>
    <row r="77" spans="1:12" s="56" customFormat="1" x14ac:dyDescent="0.45">
      <c r="A77" s="245"/>
      <c r="B77" s="282"/>
      <c r="C77" s="187" t="s">
        <v>430</v>
      </c>
      <c r="D77" s="187" t="s">
        <v>68</v>
      </c>
      <c r="E77" s="187" t="s">
        <v>18</v>
      </c>
      <c r="F77" s="182" t="s">
        <v>115</v>
      </c>
      <c r="G77" s="151">
        <v>5.875</v>
      </c>
      <c r="H77" s="284"/>
      <c r="I77" s="287"/>
      <c r="J77" s="284"/>
      <c r="K77" s="291"/>
      <c r="L77" s="242"/>
    </row>
    <row r="78" spans="1:12" s="56" customFormat="1" x14ac:dyDescent="0.45">
      <c r="A78" s="245"/>
      <c r="B78" s="282"/>
      <c r="C78" s="187" t="s">
        <v>430</v>
      </c>
      <c r="D78" s="182" t="s">
        <v>70</v>
      </c>
      <c r="E78" s="187" t="s">
        <v>18</v>
      </c>
      <c r="F78" s="182" t="s">
        <v>115</v>
      </c>
      <c r="G78" s="151">
        <v>13.25</v>
      </c>
      <c r="H78" s="284"/>
      <c r="I78" s="287"/>
      <c r="J78" s="284"/>
      <c r="K78" s="291"/>
      <c r="L78" s="242"/>
    </row>
    <row r="79" spans="1:12" s="56" customFormat="1" ht="28.5" x14ac:dyDescent="0.45">
      <c r="A79" s="246"/>
      <c r="B79" s="277"/>
      <c r="C79" s="187" t="s">
        <v>430</v>
      </c>
      <c r="D79" s="182" t="s">
        <v>162</v>
      </c>
      <c r="E79" s="187" t="s">
        <v>18</v>
      </c>
      <c r="F79" s="182" t="s">
        <v>115</v>
      </c>
      <c r="G79" s="151">
        <v>14.375</v>
      </c>
      <c r="H79" s="285"/>
      <c r="I79" s="288"/>
      <c r="J79" s="285"/>
      <c r="K79" s="292"/>
      <c r="L79" s="243"/>
    </row>
    <row r="80" spans="1:12" x14ac:dyDescent="0.45">
      <c r="A80" s="201" t="s">
        <v>136</v>
      </c>
      <c r="B80" s="83">
        <v>0</v>
      </c>
      <c r="C80" s="187" t="s">
        <v>44</v>
      </c>
      <c r="D80" s="187" t="s">
        <v>32</v>
      </c>
      <c r="E80" s="187" t="s">
        <v>115</v>
      </c>
      <c r="F80" s="187" t="s">
        <v>115</v>
      </c>
      <c r="G80" s="145" t="s">
        <v>115</v>
      </c>
      <c r="H80" s="187" t="s">
        <v>388</v>
      </c>
      <c r="I80" s="187"/>
      <c r="J80" s="187"/>
      <c r="K80" s="214"/>
      <c r="L80" s="203"/>
    </row>
    <row r="81" spans="1:12" x14ac:dyDescent="0.45">
      <c r="A81" s="201" t="s">
        <v>137</v>
      </c>
      <c r="B81" s="83">
        <v>0</v>
      </c>
      <c r="C81" s="187" t="s">
        <v>44</v>
      </c>
      <c r="D81" s="187" t="s">
        <v>32</v>
      </c>
      <c r="E81" s="187" t="s">
        <v>115</v>
      </c>
      <c r="F81" s="187" t="s">
        <v>115</v>
      </c>
      <c r="G81" s="145" t="s">
        <v>115</v>
      </c>
      <c r="H81" s="187" t="s">
        <v>388</v>
      </c>
      <c r="I81" s="187"/>
      <c r="J81" s="187"/>
      <c r="K81" s="214"/>
      <c r="L81" s="203"/>
    </row>
    <row r="82" spans="1:12" x14ac:dyDescent="0.45">
      <c r="A82" s="201" t="s">
        <v>138</v>
      </c>
      <c r="B82" s="83">
        <v>57</v>
      </c>
      <c r="C82" s="187" t="s">
        <v>44</v>
      </c>
      <c r="D82" s="187" t="s">
        <v>32</v>
      </c>
      <c r="E82" s="187" t="s">
        <v>115</v>
      </c>
      <c r="F82" s="182" t="s">
        <v>382</v>
      </c>
      <c r="G82" s="145" t="s">
        <v>115</v>
      </c>
      <c r="H82" s="187" t="s">
        <v>13</v>
      </c>
      <c r="I82" s="188" t="s">
        <v>33</v>
      </c>
      <c r="J82" s="187" t="s">
        <v>15</v>
      </c>
      <c r="K82" s="214"/>
      <c r="L82" s="203"/>
    </row>
    <row r="83" spans="1:12" x14ac:dyDescent="0.45">
      <c r="A83" s="201" t="s">
        <v>139</v>
      </c>
      <c r="B83" s="83">
        <v>0</v>
      </c>
      <c r="C83" s="187" t="s">
        <v>44</v>
      </c>
      <c r="D83" s="187" t="s">
        <v>32</v>
      </c>
      <c r="E83" s="187" t="s">
        <v>115</v>
      </c>
      <c r="F83" s="187" t="s">
        <v>115</v>
      </c>
      <c r="G83" s="145" t="s">
        <v>115</v>
      </c>
      <c r="H83" s="187" t="s">
        <v>388</v>
      </c>
      <c r="I83" s="188"/>
      <c r="J83" s="187"/>
      <c r="K83" s="214"/>
      <c r="L83" s="203"/>
    </row>
    <row r="84" spans="1:12" ht="57" x14ac:dyDescent="0.45">
      <c r="A84" s="201" t="s">
        <v>140</v>
      </c>
      <c r="B84" s="83">
        <v>331</v>
      </c>
      <c r="C84" s="187" t="s">
        <v>44</v>
      </c>
      <c r="D84" s="187" t="s">
        <v>32</v>
      </c>
      <c r="E84" s="182" t="s">
        <v>115</v>
      </c>
      <c r="F84" s="182" t="s">
        <v>382</v>
      </c>
      <c r="G84" s="145" t="s">
        <v>115</v>
      </c>
      <c r="H84" s="187" t="s">
        <v>13</v>
      </c>
      <c r="I84" s="188" t="s">
        <v>141</v>
      </c>
      <c r="J84" s="182" t="s">
        <v>21</v>
      </c>
      <c r="K84" s="205" t="s">
        <v>580</v>
      </c>
      <c r="L84" s="202">
        <v>44245</v>
      </c>
    </row>
    <row r="85" spans="1:12" s="56" customFormat="1" x14ac:dyDescent="0.45">
      <c r="A85" s="201" t="s">
        <v>457</v>
      </c>
      <c r="B85" s="99">
        <v>0</v>
      </c>
      <c r="C85" s="187" t="s">
        <v>44</v>
      </c>
      <c r="D85" s="187" t="s">
        <v>68</v>
      </c>
      <c r="E85" s="182" t="s">
        <v>115</v>
      </c>
      <c r="F85" s="182" t="s">
        <v>115</v>
      </c>
      <c r="G85" s="145" t="s">
        <v>115</v>
      </c>
      <c r="H85" s="189" t="s">
        <v>13</v>
      </c>
      <c r="I85" s="188" t="s">
        <v>164</v>
      </c>
      <c r="J85" s="197" t="s">
        <v>15</v>
      </c>
      <c r="K85" s="215"/>
      <c r="L85" s="213"/>
    </row>
    <row r="86" spans="1:12" ht="28.5" x14ac:dyDescent="0.45">
      <c r="A86" s="315" t="s">
        <v>142</v>
      </c>
      <c r="B86" s="281">
        <f>250+155</f>
        <v>405</v>
      </c>
      <c r="C86" s="187" t="s">
        <v>28</v>
      </c>
      <c r="D86" s="182" t="s">
        <v>72</v>
      </c>
      <c r="E86" s="187" t="s">
        <v>12</v>
      </c>
      <c r="F86" s="182" t="s">
        <v>367</v>
      </c>
      <c r="G86" s="145">
        <v>250</v>
      </c>
      <c r="H86" s="283" t="s">
        <v>13</v>
      </c>
      <c r="I86" s="286" t="s">
        <v>118</v>
      </c>
      <c r="J86" s="269" t="s">
        <v>569</v>
      </c>
      <c r="K86" s="272" t="s">
        <v>553</v>
      </c>
      <c r="L86" s="241">
        <v>44227</v>
      </c>
    </row>
    <row r="87" spans="1:12" ht="28.5" x14ac:dyDescent="0.45">
      <c r="A87" s="315"/>
      <c r="B87" s="282"/>
      <c r="C87" s="187" t="s">
        <v>10</v>
      </c>
      <c r="D87" s="182" t="s">
        <v>72</v>
      </c>
      <c r="E87" s="187" t="s">
        <v>12</v>
      </c>
      <c r="F87" s="182" t="s">
        <v>371</v>
      </c>
      <c r="G87" s="145">
        <v>124.16</v>
      </c>
      <c r="H87" s="284"/>
      <c r="I87" s="287"/>
      <c r="J87" s="270"/>
      <c r="K87" s="273"/>
      <c r="L87" s="260"/>
    </row>
    <row r="88" spans="1:12" s="56" customFormat="1" x14ac:dyDescent="0.45">
      <c r="A88" s="315"/>
      <c r="B88" s="282"/>
      <c r="C88" s="187" t="s">
        <v>10</v>
      </c>
      <c r="D88" s="182" t="s">
        <v>72</v>
      </c>
      <c r="E88" s="187" t="s">
        <v>18</v>
      </c>
      <c r="F88" s="182" t="s">
        <v>115</v>
      </c>
      <c r="G88" s="145">
        <v>31.04</v>
      </c>
      <c r="H88" s="284"/>
      <c r="I88" s="287"/>
      <c r="J88" s="270"/>
      <c r="K88" s="273"/>
      <c r="L88" s="260"/>
    </row>
    <row r="89" spans="1:12" s="56" customFormat="1" ht="28.5" x14ac:dyDescent="0.45">
      <c r="A89" s="315"/>
      <c r="B89" s="282"/>
      <c r="C89" s="187" t="s">
        <v>430</v>
      </c>
      <c r="D89" s="182" t="s">
        <v>72</v>
      </c>
      <c r="E89" s="187" t="s">
        <v>12</v>
      </c>
      <c r="F89" s="182" t="s">
        <v>371</v>
      </c>
      <c r="G89" s="145">
        <v>-118.67460699999999</v>
      </c>
      <c r="H89" s="284"/>
      <c r="I89" s="287"/>
      <c r="J89" s="270"/>
      <c r="K89" s="273"/>
      <c r="L89" s="260"/>
    </row>
    <row r="90" spans="1:12" x14ac:dyDescent="0.45">
      <c r="A90" s="315"/>
      <c r="B90" s="277"/>
      <c r="C90" s="190" t="s">
        <v>430</v>
      </c>
      <c r="D90" s="182" t="s">
        <v>72</v>
      </c>
      <c r="E90" s="190" t="s">
        <v>18</v>
      </c>
      <c r="F90" s="198" t="s">
        <v>115</v>
      </c>
      <c r="G90" s="147">
        <v>118.67460699999999</v>
      </c>
      <c r="H90" s="285"/>
      <c r="I90" s="288"/>
      <c r="J90" s="271"/>
      <c r="K90" s="274"/>
      <c r="L90" s="261"/>
    </row>
    <row r="91" spans="1:12" x14ac:dyDescent="0.45">
      <c r="A91" s="201" t="s">
        <v>143</v>
      </c>
      <c r="B91" s="83">
        <v>20</v>
      </c>
      <c r="C91" s="187" t="s">
        <v>28</v>
      </c>
      <c r="D91" s="182" t="s">
        <v>68</v>
      </c>
      <c r="E91" s="187" t="s">
        <v>18</v>
      </c>
      <c r="F91" s="182" t="s">
        <v>115</v>
      </c>
      <c r="G91" s="145">
        <v>11.154370999999999</v>
      </c>
      <c r="H91" s="187" t="s">
        <v>13</v>
      </c>
      <c r="I91" s="188" t="s">
        <v>69</v>
      </c>
      <c r="J91" s="187" t="s">
        <v>21</v>
      </c>
      <c r="K91" s="235" t="s">
        <v>396</v>
      </c>
      <c r="L91" s="202">
        <v>44104</v>
      </c>
    </row>
    <row r="92" spans="1:12" ht="28.5" x14ac:dyDescent="0.45">
      <c r="A92" s="201" t="s">
        <v>166</v>
      </c>
      <c r="B92" s="94">
        <f>2080+425</f>
        <v>2505</v>
      </c>
      <c r="C92" s="187" t="s">
        <v>44</v>
      </c>
      <c r="D92" s="187" t="s">
        <v>145</v>
      </c>
      <c r="E92" s="187" t="s">
        <v>115</v>
      </c>
      <c r="F92" s="182" t="s">
        <v>367</v>
      </c>
      <c r="G92" s="145" t="s">
        <v>115</v>
      </c>
      <c r="H92" s="187" t="s">
        <v>13</v>
      </c>
      <c r="I92" s="188" t="s">
        <v>167</v>
      </c>
      <c r="J92" s="182" t="s">
        <v>223</v>
      </c>
      <c r="K92" s="214"/>
      <c r="L92" s="203"/>
    </row>
    <row r="93" spans="1:12" ht="28.5" x14ac:dyDescent="0.45">
      <c r="A93" s="315" t="s">
        <v>168</v>
      </c>
      <c r="B93" s="247">
        <v>3000</v>
      </c>
      <c r="C93" s="187" t="s">
        <v>10</v>
      </c>
      <c r="D93" s="187" t="s">
        <v>16</v>
      </c>
      <c r="E93" s="187" t="s">
        <v>12</v>
      </c>
      <c r="F93" s="182" t="s">
        <v>367</v>
      </c>
      <c r="G93" s="145">
        <v>2538.9999889999999</v>
      </c>
      <c r="H93" s="262" t="s">
        <v>13</v>
      </c>
      <c r="I93" s="263" t="s">
        <v>17</v>
      </c>
      <c r="J93" s="264" t="s">
        <v>21</v>
      </c>
      <c r="K93" s="265" t="s">
        <v>460</v>
      </c>
      <c r="L93" s="275">
        <v>44245</v>
      </c>
    </row>
    <row r="94" spans="1:12" x14ac:dyDescent="0.45">
      <c r="A94" s="315"/>
      <c r="B94" s="277"/>
      <c r="C94" s="187" t="s">
        <v>10</v>
      </c>
      <c r="D94" s="187" t="s">
        <v>16</v>
      </c>
      <c r="E94" s="187" t="s">
        <v>18</v>
      </c>
      <c r="F94" s="182" t="s">
        <v>115</v>
      </c>
      <c r="G94" s="145">
        <v>461.00001099999997</v>
      </c>
      <c r="H94" s="262"/>
      <c r="I94" s="263"/>
      <c r="J94" s="264"/>
      <c r="K94" s="265"/>
      <c r="L94" s="276"/>
    </row>
    <row r="95" spans="1:12" ht="28.5" x14ac:dyDescent="0.45">
      <c r="A95" s="244" t="s">
        <v>169</v>
      </c>
      <c r="B95" s="247">
        <f>72625+8000-4570</f>
        <v>76055</v>
      </c>
      <c r="C95" s="187" t="s">
        <v>28</v>
      </c>
      <c r="D95" s="182" t="s">
        <v>37</v>
      </c>
      <c r="E95" s="187" t="s">
        <v>12</v>
      </c>
      <c r="F95" s="182" t="s">
        <v>367</v>
      </c>
      <c r="G95" s="145">
        <v>60000</v>
      </c>
      <c r="H95" s="262" t="s">
        <v>13</v>
      </c>
      <c r="I95" s="263" t="s">
        <v>170</v>
      </c>
      <c r="J95" s="269" t="s">
        <v>171</v>
      </c>
      <c r="K95" s="265" t="s">
        <v>572</v>
      </c>
      <c r="L95" s="275">
        <v>44227</v>
      </c>
    </row>
    <row r="96" spans="1:12" s="56" customFormat="1" ht="28.5" x14ac:dyDescent="0.45">
      <c r="A96" s="245"/>
      <c r="B96" s="248"/>
      <c r="C96" s="187" t="s">
        <v>10</v>
      </c>
      <c r="D96" s="182" t="s">
        <v>37</v>
      </c>
      <c r="E96" s="187" t="s">
        <v>12</v>
      </c>
      <c r="F96" s="182" t="s">
        <v>367</v>
      </c>
      <c r="G96" s="145">
        <v>28467.769</v>
      </c>
      <c r="H96" s="262"/>
      <c r="I96" s="263"/>
      <c r="J96" s="271"/>
      <c r="K96" s="265"/>
      <c r="L96" s="275"/>
    </row>
    <row r="97" spans="1:12" s="56" customFormat="1" ht="28.5" x14ac:dyDescent="0.45">
      <c r="A97" s="245"/>
      <c r="B97" s="248"/>
      <c r="C97" s="187" t="s">
        <v>430</v>
      </c>
      <c r="D97" s="182" t="s">
        <v>37</v>
      </c>
      <c r="E97" s="187" t="s">
        <v>12</v>
      </c>
      <c r="F97" s="182" t="s">
        <v>367</v>
      </c>
      <c r="G97" s="145">
        <v>-12445</v>
      </c>
      <c r="H97" s="262"/>
      <c r="I97" s="263"/>
      <c r="J97" s="280" t="s">
        <v>569</v>
      </c>
      <c r="K97" s="265"/>
      <c r="L97" s="275"/>
    </row>
    <row r="98" spans="1:12" ht="28.5" x14ac:dyDescent="0.45">
      <c r="A98" s="245"/>
      <c r="B98" s="248"/>
      <c r="C98" s="187" t="s">
        <v>430</v>
      </c>
      <c r="D98" s="182" t="s">
        <v>37</v>
      </c>
      <c r="E98" s="187" t="s">
        <v>12</v>
      </c>
      <c r="F98" s="182" t="s">
        <v>431</v>
      </c>
      <c r="G98" s="150">
        <v>500</v>
      </c>
      <c r="H98" s="262"/>
      <c r="I98" s="263"/>
      <c r="J98" s="280"/>
      <c r="K98" s="265"/>
      <c r="L98" s="276"/>
    </row>
    <row r="99" spans="1:12" s="56" customFormat="1" ht="42.75" x14ac:dyDescent="0.45">
      <c r="A99" s="246"/>
      <c r="B99" s="249"/>
      <c r="C99" s="187" t="s">
        <v>44</v>
      </c>
      <c r="D99" s="182" t="s">
        <v>24</v>
      </c>
      <c r="E99" s="187" t="s">
        <v>115</v>
      </c>
      <c r="F99" s="182" t="s">
        <v>115</v>
      </c>
      <c r="G99" s="145" t="s">
        <v>115</v>
      </c>
      <c r="H99" s="187" t="s">
        <v>462</v>
      </c>
      <c r="I99" s="176" t="s">
        <v>115</v>
      </c>
      <c r="J99" s="220" t="s">
        <v>569</v>
      </c>
      <c r="K99" s="205" t="s">
        <v>565</v>
      </c>
      <c r="L99" s="202">
        <v>44227</v>
      </c>
    </row>
    <row r="100" spans="1:12" ht="28.5" x14ac:dyDescent="0.45">
      <c r="A100" s="201" t="s">
        <v>172</v>
      </c>
      <c r="B100" s="83">
        <v>473</v>
      </c>
      <c r="C100" s="187" t="s">
        <v>10</v>
      </c>
      <c r="D100" s="187" t="s">
        <v>93</v>
      </c>
      <c r="E100" s="187" t="s">
        <v>12</v>
      </c>
      <c r="F100" s="182" t="s">
        <v>367</v>
      </c>
      <c r="G100" s="145">
        <v>9.9640000000000004</v>
      </c>
      <c r="H100" s="187" t="s">
        <v>13</v>
      </c>
      <c r="I100" s="188" t="s">
        <v>94</v>
      </c>
      <c r="J100" s="182" t="s">
        <v>21</v>
      </c>
      <c r="K100" s="214" t="s">
        <v>400</v>
      </c>
      <c r="L100" s="202">
        <v>44255</v>
      </c>
    </row>
    <row r="101" spans="1:12" ht="57" x14ac:dyDescent="0.45">
      <c r="A101" s="244" t="s">
        <v>173</v>
      </c>
      <c r="B101" s="247">
        <f>5250-2240+20</f>
        <v>3030</v>
      </c>
      <c r="C101" s="187" t="s">
        <v>28</v>
      </c>
      <c r="D101" s="182" t="s">
        <v>37</v>
      </c>
      <c r="E101" s="187" t="s">
        <v>12</v>
      </c>
      <c r="F101" s="182" t="s">
        <v>369</v>
      </c>
      <c r="G101" s="145">
        <v>5250</v>
      </c>
      <c r="H101" s="283" t="s">
        <v>462</v>
      </c>
      <c r="I101" s="283" t="s">
        <v>115</v>
      </c>
      <c r="J101" s="220" t="s">
        <v>174</v>
      </c>
      <c r="K101" s="272" t="s">
        <v>573</v>
      </c>
      <c r="L101" s="241">
        <v>44227</v>
      </c>
    </row>
    <row r="102" spans="1:12" s="56" customFormat="1" ht="28.5" x14ac:dyDescent="0.45">
      <c r="A102" s="245"/>
      <c r="B102" s="248"/>
      <c r="C102" s="187" t="s">
        <v>430</v>
      </c>
      <c r="D102" s="182" t="s">
        <v>37</v>
      </c>
      <c r="E102" s="187" t="s">
        <v>18</v>
      </c>
      <c r="F102" s="182" t="s">
        <v>115</v>
      </c>
      <c r="G102" s="145">
        <v>8</v>
      </c>
      <c r="H102" s="284"/>
      <c r="I102" s="284"/>
      <c r="J102" s="280" t="s">
        <v>569</v>
      </c>
      <c r="K102" s="273"/>
      <c r="L102" s="260"/>
    </row>
    <row r="103" spans="1:12" s="56" customFormat="1" ht="57" x14ac:dyDescent="0.45">
      <c r="A103" s="246"/>
      <c r="B103" s="249"/>
      <c r="C103" s="187" t="s">
        <v>430</v>
      </c>
      <c r="D103" s="182" t="s">
        <v>37</v>
      </c>
      <c r="E103" s="187" t="s">
        <v>12</v>
      </c>
      <c r="F103" s="182" t="s">
        <v>369</v>
      </c>
      <c r="G103" s="145">
        <v>-2227.805848</v>
      </c>
      <c r="H103" s="285"/>
      <c r="I103" s="285"/>
      <c r="J103" s="280"/>
      <c r="K103" s="274"/>
      <c r="L103" s="261"/>
    </row>
    <row r="104" spans="1:12" ht="57" x14ac:dyDescent="0.45">
      <c r="A104" s="244" t="s">
        <v>175</v>
      </c>
      <c r="B104" s="247">
        <f>2974-811</f>
        <v>2163</v>
      </c>
      <c r="C104" s="187" t="s">
        <v>28</v>
      </c>
      <c r="D104" s="182" t="s">
        <v>177</v>
      </c>
      <c r="E104" s="187" t="s">
        <v>12</v>
      </c>
      <c r="F104" s="182" t="s">
        <v>369</v>
      </c>
      <c r="G104" s="145">
        <v>2972.9</v>
      </c>
      <c r="H104" s="283" t="s">
        <v>13</v>
      </c>
      <c r="I104" s="286" t="s">
        <v>178</v>
      </c>
      <c r="J104" s="269" t="s">
        <v>569</v>
      </c>
      <c r="K104" s="343" t="s">
        <v>567</v>
      </c>
      <c r="L104" s="346">
        <v>44227</v>
      </c>
    </row>
    <row r="105" spans="1:12" ht="57" x14ac:dyDescent="0.45">
      <c r="A105" s="245"/>
      <c r="B105" s="248"/>
      <c r="C105" s="187" t="s">
        <v>10</v>
      </c>
      <c r="D105" s="182" t="s">
        <v>177</v>
      </c>
      <c r="E105" s="187" t="s">
        <v>12</v>
      </c>
      <c r="F105" s="182" t="s">
        <v>369</v>
      </c>
      <c r="G105" s="145">
        <v>-5</v>
      </c>
      <c r="H105" s="284"/>
      <c r="I105" s="287"/>
      <c r="J105" s="270"/>
      <c r="K105" s="344"/>
      <c r="L105" s="347"/>
    </row>
    <row r="106" spans="1:12" x14ac:dyDescent="0.45">
      <c r="A106" s="245"/>
      <c r="B106" s="248"/>
      <c r="C106" s="187" t="s">
        <v>10</v>
      </c>
      <c r="D106" s="182" t="s">
        <v>177</v>
      </c>
      <c r="E106" s="187" t="s">
        <v>18</v>
      </c>
      <c r="F106" s="182" t="s">
        <v>115</v>
      </c>
      <c r="G106" s="145">
        <v>5</v>
      </c>
      <c r="H106" s="284"/>
      <c r="I106" s="287"/>
      <c r="J106" s="270"/>
      <c r="K106" s="344"/>
      <c r="L106" s="347"/>
    </row>
    <row r="107" spans="1:12" s="56" customFormat="1" ht="57" x14ac:dyDescent="0.45">
      <c r="A107" s="245"/>
      <c r="B107" s="248"/>
      <c r="C107" s="187" t="s">
        <v>430</v>
      </c>
      <c r="D107" s="182" t="s">
        <v>177</v>
      </c>
      <c r="E107" s="187" t="s">
        <v>12</v>
      </c>
      <c r="F107" s="182" t="s">
        <v>369</v>
      </c>
      <c r="G107" s="145">
        <v>-825.35683400000005</v>
      </c>
      <c r="H107" s="284"/>
      <c r="I107" s="287"/>
      <c r="J107" s="270"/>
      <c r="K107" s="344"/>
      <c r="L107" s="347"/>
    </row>
    <row r="108" spans="1:12" s="56" customFormat="1" x14ac:dyDescent="0.45">
      <c r="A108" s="246"/>
      <c r="B108" s="249"/>
      <c r="C108" s="187" t="s">
        <v>430</v>
      </c>
      <c r="D108" s="182" t="s">
        <v>177</v>
      </c>
      <c r="E108" s="187" t="s">
        <v>18</v>
      </c>
      <c r="F108" s="182" t="s">
        <v>115</v>
      </c>
      <c r="G108" s="145">
        <v>13.456834000000001</v>
      </c>
      <c r="H108" s="285"/>
      <c r="I108" s="288"/>
      <c r="J108" s="271"/>
      <c r="K108" s="345"/>
      <c r="L108" s="348"/>
    </row>
    <row r="109" spans="1:12" x14ac:dyDescent="0.45">
      <c r="A109" s="148" t="s">
        <v>176</v>
      </c>
      <c r="B109" s="104">
        <f>-569+62</f>
        <v>-507</v>
      </c>
      <c r="C109" s="187"/>
      <c r="D109" s="187"/>
      <c r="E109" s="187"/>
      <c r="F109" s="182"/>
      <c r="G109" s="151"/>
      <c r="H109" s="187"/>
      <c r="I109" s="187"/>
      <c r="J109" s="187"/>
      <c r="K109" s="214"/>
      <c r="L109" s="203"/>
    </row>
    <row r="110" spans="1:12" ht="42.75" x14ac:dyDescent="0.45">
      <c r="A110" s="201" t="s">
        <v>179</v>
      </c>
      <c r="B110" s="83">
        <v>133</v>
      </c>
      <c r="C110" s="187" t="s">
        <v>430</v>
      </c>
      <c r="D110" s="187" t="s">
        <v>39</v>
      </c>
      <c r="E110" s="187" t="s">
        <v>18</v>
      </c>
      <c r="F110" s="182" t="s">
        <v>115</v>
      </c>
      <c r="G110" s="145">
        <v>58</v>
      </c>
      <c r="H110" s="187" t="s">
        <v>13</v>
      </c>
      <c r="I110" s="188" t="s">
        <v>40</v>
      </c>
      <c r="J110" s="220" t="s">
        <v>569</v>
      </c>
      <c r="K110" s="205" t="s">
        <v>495</v>
      </c>
      <c r="L110" s="202">
        <v>44227</v>
      </c>
    </row>
    <row r="111" spans="1:12" ht="42.75" x14ac:dyDescent="0.45">
      <c r="A111" s="201" t="s">
        <v>180</v>
      </c>
      <c r="B111" s="83">
        <v>17</v>
      </c>
      <c r="C111" s="187" t="s">
        <v>44</v>
      </c>
      <c r="D111" s="182" t="s">
        <v>29</v>
      </c>
      <c r="E111" s="187" t="s">
        <v>115</v>
      </c>
      <c r="F111" s="182" t="s">
        <v>115</v>
      </c>
      <c r="G111" s="145" t="s">
        <v>115</v>
      </c>
      <c r="H111" s="187" t="s">
        <v>13</v>
      </c>
      <c r="I111" s="188" t="s">
        <v>181</v>
      </c>
      <c r="J111" s="220" t="s">
        <v>569</v>
      </c>
      <c r="K111" s="205" t="s">
        <v>182</v>
      </c>
      <c r="L111" s="202">
        <v>44227</v>
      </c>
    </row>
    <row r="112" spans="1:12" ht="28.5" x14ac:dyDescent="0.45">
      <c r="A112" s="315" t="s">
        <v>183</v>
      </c>
      <c r="B112" s="281">
        <v>307</v>
      </c>
      <c r="C112" s="187" t="s">
        <v>10</v>
      </c>
      <c r="D112" s="187" t="s">
        <v>39</v>
      </c>
      <c r="E112" s="187" t="s">
        <v>12</v>
      </c>
      <c r="F112" s="182" t="s">
        <v>367</v>
      </c>
      <c r="G112" s="145">
        <v>75</v>
      </c>
      <c r="H112" s="262" t="s">
        <v>13</v>
      </c>
      <c r="I112" s="263" t="s">
        <v>40</v>
      </c>
      <c r="J112" s="269" t="s">
        <v>569</v>
      </c>
      <c r="K112" s="265" t="s">
        <v>490</v>
      </c>
      <c r="L112" s="241">
        <v>44227</v>
      </c>
    </row>
    <row r="113" spans="1:12" s="56" customFormat="1" x14ac:dyDescent="0.45">
      <c r="A113" s="315"/>
      <c r="B113" s="282"/>
      <c r="C113" s="187" t="s">
        <v>10</v>
      </c>
      <c r="D113" s="187" t="s">
        <v>39</v>
      </c>
      <c r="E113" s="187" t="s">
        <v>18</v>
      </c>
      <c r="F113" s="182" t="s">
        <v>115</v>
      </c>
      <c r="G113" s="145">
        <v>298.3</v>
      </c>
      <c r="H113" s="262"/>
      <c r="I113" s="263"/>
      <c r="J113" s="270"/>
      <c r="K113" s="265"/>
      <c r="L113" s="260"/>
    </row>
    <row r="114" spans="1:12" s="56" customFormat="1" ht="28.5" x14ac:dyDescent="0.45">
      <c r="A114" s="315"/>
      <c r="B114" s="282"/>
      <c r="C114" s="187" t="s">
        <v>430</v>
      </c>
      <c r="D114" s="187" t="s">
        <v>39</v>
      </c>
      <c r="E114" s="187" t="s">
        <v>12</v>
      </c>
      <c r="F114" s="182" t="s">
        <v>367</v>
      </c>
      <c r="G114" s="145">
        <v>-1.8091630000000001</v>
      </c>
      <c r="H114" s="262"/>
      <c r="I114" s="263"/>
      <c r="J114" s="270"/>
      <c r="K114" s="265"/>
      <c r="L114" s="260"/>
    </row>
    <row r="115" spans="1:12" x14ac:dyDescent="0.45">
      <c r="A115" s="315"/>
      <c r="B115" s="277"/>
      <c r="C115" s="190" t="s">
        <v>430</v>
      </c>
      <c r="D115" s="187" t="s">
        <v>39</v>
      </c>
      <c r="E115" s="190" t="s">
        <v>18</v>
      </c>
      <c r="F115" s="198" t="s">
        <v>115</v>
      </c>
      <c r="G115" s="147">
        <v>1.8091630000000001</v>
      </c>
      <c r="H115" s="262"/>
      <c r="I115" s="263"/>
      <c r="J115" s="271"/>
      <c r="K115" s="265"/>
      <c r="L115" s="261"/>
    </row>
    <row r="116" spans="1:12" x14ac:dyDescent="0.45">
      <c r="A116" s="201" t="s">
        <v>185</v>
      </c>
      <c r="B116" s="83">
        <v>46</v>
      </c>
      <c r="C116" s="187" t="s">
        <v>430</v>
      </c>
      <c r="D116" s="187" t="s">
        <v>68</v>
      </c>
      <c r="E116" s="187" t="s">
        <v>18</v>
      </c>
      <c r="F116" s="182" t="s">
        <v>115</v>
      </c>
      <c r="G116" s="145">
        <f>0.66123+21</f>
        <v>21.66123</v>
      </c>
      <c r="H116" s="187" t="s">
        <v>13</v>
      </c>
      <c r="I116" s="188" t="s">
        <v>164</v>
      </c>
      <c r="J116" s="187" t="s">
        <v>15</v>
      </c>
      <c r="K116" s="205"/>
      <c r="L116" s="203"/>
    </row>
    <row r="117" spans="1:12" ht="15" customHeight="1" x14ac:dyDescent="0.45">
      <c r="A117" s="315" t="s">
        <v>186</v>
      </c>
      <c r="B117" s="281">
        <v>16</v>
      </c>
      <c r="C117" s="187" t="s">
        <v>10</v>
      </c>
      <c r="D117" s="187" t="s">
        <v>160</v>
      </c>
      <c r="E117" s="187" t="s">
        <v>18</v>
      </c>
      <c r="F117" s="182" t="s">
        <v>115</v>
      </c>
      <c r="G117" s="145">
        <v>1.1479999999999999</v>
      </c>
      <c r="H117" s="262" t="s">
        <v>13</v>
      </c>
      <c r="I117" s="263" t="s">
        <v>164</v>
      </c>
      <c r="J117" s="269" t="s">
        <v>569</v>
      </c>
      <c r="K117" s="228" t="s">
        <v>541</v>
      </c>
      <c r="L117" s="202">
        <v>44227</v>
      </c>
    </row>
    <row r="118" spans="1:12" x14ac:dyDescent="0.45">
      <c r="A118" s="315"/>
      <c r="B118" s="282"/>
      <c r="C118" s="187" t="s">
        <v>10</v>
      </c>
      <c r="D118" s="182" t="s">
        <v>161</v>
      </c>
      <c r="E118" s="187" t="s">
        <v>18</v>
      </c>
      <c r="F118" s="182" t="s">
        <v>115</v>
      </c>
      <c r="G118" s="166">
        <f>0.008+0.143</f>
        <v>0.151</v>
      </c>
      <c r="H118" s="262"/>
      <c r="I118" s="263"/>
      <c r="J118" s="270"/>
      <c r="K118" s="228"/>
      <c r="L118" s="202"/>
    </row>
    <row r="119" spans="1:12" x14ac:dyDescent="0.45">
      <c r="A119" s="315"/>
      <c r="B119" s="282"/>
      <c r="C119" s="187" t="s">
        <v>10</v>
      </c>
      <c r="D119" s="182" t="s">
        <v>68</v>
      </c>
      <c r="E119" s="187" t="s">
        <v>18</v>
      </c>
      <c r="F119" s="182" t="s">
        <v>115</v>
      </c>
      <c r="G119" s="145">
        <v>0.86299999999999999</v>
      </c>
      <c r="H119" s="262"/>
      <c r="I119" s="263"/>
      <c r="J119" s="270"/>
      <c r="K119" s="228" t="s">
        <v>542</v>
      </c>
      <c r="L119" s="202">
        <v>44227</v>
      </c>
    </row>
    <row r="120" spans="1:12" x14ac:dyDescent="0.45">
      <c r="A120" s="315"/>
      <c r="B120" s="282"/>
      <c r="C120" s="187" t="s">
        <v>10</v>
      </c>
      <c r="D120" s="182" t="s">
        <v>70</v>
      </c>
      <c r="E120" s="187" t="s">
        <v>18</v>
      </c>
      <c r="F120" s="182" t="s">
        <v>115</v>
      </c>
      <c r="G120" s="145">
        <f>0.191667+5</f>
        <v>5.1916669999999998</v>
      </c>
      <c r="H120" s="262"/>
      <c r="I120" s="263"/>
      <c r="J120" s="270"/>
      <c r="K120" s="228" t="s">
        <v>543</v>
      </c>
      <c r="L120" s="202">
        <v>44227</v>
      </c>
    </row>
    <row r="121" spans="1:12" ht="28.5" x14ac:dyDescent="0.45">
      <c r="A121" s="315"/>
      <c r="B121" s="282"/>
      <c r="C121" s="187" t="s">
        <v>10</v>
      </c>
      <c r="D121" s="182" t="s">
        <v>162</v>
      </c>
      <c r="E121" s="187" t="s">
        <v>18</v>
      </c>
      <c r="F121" s="182" t="s">
        <v>115</v>
      </c>
      <c r="G121" s="145">
        <v>3.1459999999999999</v>
      </c>
      <c r="H121" s="262"/>
      <c r="I121" s="263"/>
      <c r="J121" s="270"/>
      <c r="K121" s="228" t="s">
        <v>544</v>
      </c>
      <c r="L121" s="202">
        <v>44227</v>
      </c>
    </row>
    <row r="122" spans="1:12" ht="28.5" x14ac:dyDescent="0.45">
      <c r="A122" s="315"/>
      <c r="B122" s="277"/>
      <c r="C122" s="187" t="s">
        <v>10</v>
      </c>
      <c r="D122" s="182" t="s">
        <v>163</v>
      </c>
      <c r="E122" s="187" t="s">
        <v>18</v>
      </c>
      <c r="F122" s="182" t="s">
        <v>115</v>
      </c>
      <c r="G122" s="145">
        <v>4.7</v>
      </c>
      <c r="H122" s="262"/>
      <c r="I122" s="263"/>
      <c r="J122" s="271"/>
      <c r="K122" s="228" t="s">
        <v>545</v>
      </c>
      <c r="L122" s="202">
        <v>44227</v>
      </c>
    </row>
    <row r="123" spans="1:12" ht="57" x14ac:dyDescent="0.45">
      <c r="A123" s="244" t="s">
        <v>187</v>
      </c>
      <c r="B123" s="281">
        <v>17</v>
      </c>
      <c r="C123" s="187" t="s">
        <v>10</v>
      </c>
      <c r="D123" s="182" t="s">
        <v>177</v>
      </c>
      <c r="E123" s="187" t="s">
        <v>12</v>
      </c>
      <c r="F123" s="182" t="s">
        <v>369</v>
      </c>
      <c r="G123" s="145">
        <v>11.105299</v>
      </c>
      <c r="H123" s="283" t="s">
        <v>13</v>
      </c>
      <c r="I123" s="286" t="s">
        <v>188</v>
      </c>
      <c r="J123" s="281" t="s">
        <v>21</v>
      </c>
      <c r="K123" s="272" t="s">
        <v>578</v>
      </c>
      <c r="L123" s="241">
        <v>44284</v>
      </c>
    </row>
    <row r="124" spans="1:12" x14ac:dyDescent="0.45">
      <c r="A124" s="245"/>
      <c r="B124" s="282"/>
      <c r="C124" s="187" t="s">
        <v>10</v>
      </c>
      <c r="D124" s="182" t="s">
        <v>177</v>
      </c>
      <c r="E124" s="187" t="s">
        <v>18</v>
      </c>
      <c r="F124" s="182" t="s">
        <v>115</v>
      </c>
      <c r="G124" s="145">
        <v>5.5947009999999997</v>
      </c>
      <c r="H124" s="284"/>
      <c r="I124" s="287"/>
      <c r="J124" s="282"/>
      <c r="K124" s="273"/>
      <c r="L124" s="260"/>
    </row>
    <row r="125" spans="1:12" s="56" customFormat="1" ht="57" x14ac:dyDescent="0.45">
      <c r="A125" s="245"/>
      <c r="B125" s="282"/>
      <c r="C125" s="187" t="s">
        <v>430</v>
      </c>
      <c r="D125" s="182" t="s">
        <v>177</v>
      </c>
      <c r="E125" s="187" t="s">
        <v>12</v>
      </c>
      <c r="F125" s="182" t="s">
        <v>369</v>
      </c>
      <c r="G125" s="145">
        <v>-0.79312800000000006</v>
      </c>
      <c r="H125" s="284"/>
      <c r="I125" s="287"/>
      <c r="J125" s="282"/>
      <c r="K125" s="273"/>
      <c r="L125" s="260"/>
    </row>
    <row r="126" spans="1:12" s="56" customFormat="1" x14ac:dyDescent="0.45">
      <c r="A126" s="246"/>
      <c r="B126" s="277"/>
      <c r="C126" s="187" t="s">
        <v>430</v>
      </c>
      <c r="D126" s="182" t="s">
        <v>177</v>
      </c>
      <c r="E126" s="187" t="s">
        <v>18</v>
      </c>
      <c r="F126" s="182" t="s">
        <v>115</v>
      </c>
      <c r="G126" s="145">
        <v>0.79312800000000006</v>
      </c>
      <c r="H126" s="285"/>
      <c r="I126" s="288"/>
      <c r="J126" s="277"/>
      <c r="K126" s="274"/>
      <c r="L126" s="261"/>
    </row>
    <row r="127" spans="1:12" ht="42.75" x14ac:dyDescent="0.45">
      <c r="A127" s="201" t="s">
        <v>189</v>
      </c>
      <c r="B127" s="83">
        <v>10</v>
      </c>
      <c r="C127" s="187" t="s">
        <v>28</v>
      </c>
      <c r="D127" s="182" t="s">
        <v>16</v>
      </c>
      <c r="E127" s="187" t="s">
        <v>12</v>
      </c>
      <c r="F127" s="182" t="s">
        <v>367</v>
      </c>
      <c r="G127" s="145">
        <v>10</v>
      </c>
      <c r="H127" s="187" t="s">
        <v>13</v>
      </c>
      <c r="I127" s="188" t="s">
        <v>190</v>
      </c>
      <c r="J127" s="220" t="s">
        <v>569</v>
      </c>
      <c r="K127" s="214" t="s">
        <v>366</v>
      </c>
      <c r="L127" s="202">
        <v>44227</v>
      </c>
    </row>
    <row r="128" spans="1:12" ht="15" customHeight="1" x14ac:dyDescent="0.45">
      <c r="A128" s="244" t="s">
        <v>191</v>
      </c>
      <c r="B128" s="281">
        <v>50</v>
      </c>
      <c r="C128" s="187" t="s">
        <v>28</v>
      </c>
      <c r="D128" s="182" t="s">
        <v>192</v>
      </c>
      <c r="E128" s="187" t="s">
        <v>18</v>
      </c>
      <c r="F128" s="182" t="s">
        <v>115</v>
      </c>
      <c r="G128" s="145">
        <v>48.710504</v>
      </c>
      <c r="H128" s="283" t="s">
        <v>13</v>
      </c>
      <c r="I128" s="286" t="s">
        <v>193</v>
      </c>
      <c r="J128" s="280" t="s">
        <v>569</v>
      </c>
      <c r="K128" s="290" t="s">
        <v>518</v>
      </c>
      <c r="L128" s="241">
        <v>44227</v>
      </c>
    </row>
    <row r="129" spans="1:12" x14ac:dyDescent="0.45">
      <c r="A129" s="245"/>
      <c r="B129" s="282"/>
      <c r="C129" s="187" t="s">
        <v>10</v>
      </c>
      <c r="D129" s="182" t="s">
        <v>192</v>
      </c>
      <c r="E129" s="187" t="s">
        <v>18</v>
      </c>
      <c r="F129" s="182" t="s">
        <v>115</v>
      </c>
      <c r="G129" s="145">
        <f>-12+-10+-10+-0.9</f>
        <v>-32.9</v>
      </c>
      <c r="H129" s="284"/>
      <c r="I129" s="287"/>
      <c r="J129" s="280"/>
      <c r="K129" s="291"/>
      <c r="L129" s="242"/>
    </row>
    <row r="130" spans="1:12" s="56" customFormat="1" x14ac:dyDescent="0.45">
      <c r="A130" s="245"/>
      <c r="B130" s="282"/>
      <c r="C130" s="187" t="s">
        <v>430</v>
      </c>
      <c r="D130" s="182" t="s">
        <v>192</v>
      </c>
      <c r="E130" s="187" t="s">
        <v>18</v>
      </c>
      <c r="F130" s="182" t="s">
        <v>115</v>
      </c>
      <c r="G130" s="145">
        <f>-7.4+-3+-0.3</f>
        <v>-10.700000000000001</v>
      </c>
      <c r="H130" s="285"/>
      <c r="I130" s="288"/>
      <c r="J130" s="280"/>
      <c r="K130" s="292"/>
      <c r="L130" s="243"/>
    </row>
    <row r="131" spans="1:12" ht="42.75" x14ac:dyDescent="0.45">
      <c r="A131" s="245"/>
      <c r="B131" s="282"/>
      <c r="C131" s="187" t="s">
        <v>10</v>
      </c>
      <c r="D131" s="182" t="s">
        <v>37</v>
      </c>
      <c r="E131" s="187" t="s">
        <v>18</v>
      </c>
      <c r="F131" s="182" t="s">
        <v>115</v>
      </c>
      <c r="G131" s="145">
        <v>0.9</v>
      </c>
      <c r="H131" s="187" t="s">
        <v>13</v>
      </c>
      <c r="I131" s="188" t="s">
        <v>38</v>
      </c>
      <c r="J131" s="220" t="s">
        <v>569</v>
      </c>
      <c r="K131" s="214" t="s">
        <v>510</v>
      </c>
      <c r="L131" s="202">
        <v>44227</v>
      </c>
    </row>
    <row r="132" spans="1:12" x14ac:dyDescent="0.45">
      <c r="A132" s="245"/>
      <c r="B132" s="282"/>
      <c r="C132" s="187" t="s">
        <v>10</v>
      </c>
      <c r="D132" s="182" t="s">
        <v>16</v>
      </c>
      <c r="E132" s="187" t="s">
        <v>18</v>
      </c>
      <c r="F132" s="182" t="s">
        <v>115</v>
      </c>
      <c r="G132" s="145">
        <v>12</v>
      </c>
      <c r="H132" s="187" t="s">
        <v>13</v>
      </c>
      <c r="I132" s="188" t="s">
        <v>17</v>
      </c>
      <c r="J132" s="182" t="s">
        <v>21</v>
      </c>
      <c r="K132" s="214" t="s">
        <v>463</v>
      </c>
      <c r="L132" s="202">
        <v>44270</v>
      </c>
    </row>
    <row r="133" spans="1:12" x14ac:dyDescent="0.45">
      <c r="A133" s="245"/>
      <c r="B133" s="282"/>
      <c r="C133" s="187" t="s">
        <v>10</v>
      </c>
      <c r="D133" s="182" t="s">
        <v>22</v>
      </c>
      <c r="E133" s="187" t="s">
        <v>18</v>
      </c>
      <c r="F133" s="182" t="s">
        <v>115</v>
      </c>
      <c r="G133" s="145">
        <v>10</v>
      </c>
      <c r="H133" s="283" t="s">
        <v>13</v>
      </c>
      <c r="I133" s="286" t="s">
        <v>23</v>
      </c>
      <c r="J133" s="280" t="s">
        <v>569</v>
      </c>
      <c r="K133" s="290" t="s">
        <v>484</v>
      </c>
      <c r="L133" s="241">
        <v>44227</v>
      </c>
    </row>
    <row r="134" spans="1:12" s="56" customFormat="1" x14ac:dyDescent="0.45">
      <c r="A134" s="245"/>
      <c r="B134" s="282"/>
      <c r="C134" s="187" t="s">
        <v>430</v>
      </c>
      <c r="D134" s="182" t="s">
        <v>22</v>
      </c>
      <c r="E134" s="187" t="s">
        <v>18</v>
      </c>
      <c r="F134" s="182" t="s">
        <v>115</v>
      </c>
      <c r="G134" s="145">
        <v>7.4</v>
      </c>
      <c r="H134" s="285"/>
      <c r="I134" s="288"/>
      <c r="J134" s="280"/>
      <c r="K134" s="292"/>
      <c r="L134" s="261"/>
    </row>
    <row r="135" spans="1:12" s="56" customFormat="1" x14ac:dyDescent="0.45">
      <c r="A135" s="245"/>
      <c r="B135" s="282"/>
      <c r="C135" s="187" t="s">
        <v>10</v>
      </c>
      <c r="D135" s="182" t="s">
        <v>19</v>
      </c>
      <c r="E135" s="187" t="s">
        <v>18</v>
      </c>
      <c r="F135" s="182" t="s">
        <v>115</v>
      </c>
      <c r="G135" s="145">
        <v>10</v>
      </c>
      <c r="H135" s="262" t="s">
        <v>13</v>
      </c>
      <c r="I135" s="263" t="s">
        <v>20</v>
      </c>
      <c r="J135" s="264" t="s">
        <v>21</v>
      </c>
      <c r="K135" s="314" t="s">
        <v>41</v>
      </c>
      <c r="L135" s="275">
        <v>44255</v>
      </c>
    </row>
    <row r="136" spans="1:12" x14ac:dyDescent="0.45">
      <c r="A136" s="245"/>
      <c r="B136" s="282"/>
      <c r="C136" s="187" t="s">
        <v>430</v>
      </c>
      <c r="D136" s="182" t="s">
        <v>19</v>
      </c>
      <c r="E136" s="187" t="s">
        <v>18</v>
      </c>
      <c r="F136" s="182" t="s">
        <v>115</v>
      </c>
      <c r="G136" s="145">
        <v>3</v>
      </c>
      <c r="H136" s="262"/>
      <c r="I136" s="263"/>
      <c r="J136" s="264"/>
      <c r="K136" s="314"/>
      <c r="L136" s="275"/>
    </row>
    <row r="137" spans="1:12" s="56" customFormat="1" ht="42.75" x14ac:dyDescent="0.45">
      <c r="A137" s="246"/>
      <c r="B137" s="277"/>
      <c r="C137" s="187" t="s">
        <v>430</v>
      </c>
      <c r="D137" s="182" t="s">
        <v>35</v>
      </c>
      <c r="E137" s="187" t="s">
        <v>18</v>
      </c>
      <c r="F137" s="182" t="s">
        <v>115</v>
      </c>
      <c r="G137" s="166">
        <v>0.3</v>
      </c>
      <c r="H137" s="187" t="s">
        <v>13</v>
      </c>
      <c r="I137" s="188" t="s">
        <v>40</v>
      </c>
      <c r="J137" s="220" t="s">
        <v>569</v>
      </c>
      <c r="K137" s="214" t="s">
        <v>491</v>
      </c>
      <c r="L137" s="202">
        <v>44227</v>
      </c>
    </row>
    <row r="138" spans="1:12" x14ac:dyDescent="0.45">
      <c r="A138" s="201" t="s">
        <v>194</v>
      </c>
      <c r="B138" s="83">
        <v>6</v>
      </c>
      <c r="C138" s="187" t="s">
        <v>44</v>
      </c>
      <c r="D138" s="187"/>
      <c r="E138" s="187"/>
      <c r="F138" s="182"/>
      <c r="G138" s="145" t="s">
        <v>115</v>
      </c>
      <c r="H138" s="187" t="s">
        <v>87</v>
      </c>
      <c r="I138" s="187"/>
      <c r="J138" s="187"/>
      <c r="K138" s="214"/>
      <c r="L138" s="203"/>
    </row>
    <row r="139" spans="1:12" ht="42.75" x14ac:dyDescent="0.45">
      <c r="A139" s="201" t="s">
        <v>195</v>
      </c>
      <c r="B139" s="83">
        <v>20</v>
      </c>
      <c r="C139" s="187" t="s">
        <v>28</v>
      </c>
      <c r="D139" s="182" t="s">
        <v>196</v>
      </c>
      <c r="E139" s="187" t="s">
        <v>18</v>
      </c>
      <c r="F139" s="182" t="s">
        <v>115</v>
      </c>
      <c r="G139" s="145">
        <v>16.147818999999998</v>
      </c>
      <c r="H139" s="187" t="s">
        <v>13</v>
      </c>
      <c r="I139" s="188" t="s">
        <v>197</v>
      </c>
      <c r="J139" s="220" t="s">
        <v>569</v>
      </c>
      <c r="K139" s="178" t="s">
        <v>526</v>
      </c>
      <c r="L139" s="202">
        <v>44227</v>
      </c>
    </row>
    <row r="140" spans="1:12" ht="57" x14ac:dyDescent="0.45">
      <c r="A140" s="315" t="s">
        <v>198</v>
      </c>
      <c r="B140" s="281">
        <v>500</v>
      </c>
      <c r="C140" s="187" t="s">
        <v>28</v>
      </c>
      <c r="D140" s="182" t="s">
        <v>199</v>
      </c>
      <c r="E140" s="187" t="s">
        <v>12</v>
      </c>
      <c r="F140" s="182" t="s">
        <v>369</v>
      </c>
      <c r="G140" s="145">
        <v>55</v>
      </c>
      <c r="H140" s="262" t="s">
        <v>13</v>
      </c>
      <c r="I140" s="263" t="s">
        <v>200</v>
      </c>
      <c r="J140" s="269" t="s">
        <v>569</v>
      </c>
      <c r="K140" s="272" t="s">
        <v>523</v>
      </c>
      <c r="L140" s="241">
        <v>44227</v>
      </c>
    </row>
    <row r="141" spans="1:12" ht="57" x14ac:dyDescent="0.45">
      <c r="A141" s="315"/>
      <c r="B141" s="282"/>
      <c r="C141" s="187" t="s">
        <v>10</v>
      </c>
      <c r="D141" s="182" t="s">
        <v>199</v>
      </c>
      <c r="E141" s="187" t="s">
        <v>12</v>
      </c>
      <c r="F141" s="182" t="s">
        <v>369</v>
      </c>
      <c r="G141" s="145">
        <v>7.8</v>
      </c>
      <c r="H141" s="262"/>
      <c r="I141" s="263"/>
      <c r="J141" s="270"/>
      <c r="K141" s="274"/>
      <c r="L141" s="261"/>
    </row>
    <row r="142" spans="1:12" ht="57" x14ac:dyDescent="0.45">
      <c r="A142" s="315"/>
      <c r="B142" s="282"/>
      <c r="C142" s="187" t="s">
        <v>28</v>
      </c>
      <c r="D142" s="182" t="s">
        <v>201</v>
      </c>
      <c r="E142" s="187" t="s">
        <v>12</v>
      </c>
      <c r="F142" s="182" t="s">
        <v>369</v>
      </c>
      <c r="G142" s="145">
        <v>418</v>
      </c>
      <c r="H142" s="262"/>
      <c r="I142" s="263"/>
      <c r="J142" s="270"/>
      <c r="K142" s="272" t="s">
        <v>524</v>
      </c>
      <c r="L142" s="241">
        <v>44227</v>
      </c>
    </row>
    <row r="143" spans="1:12" ht="57" x14ac:dyDescent="0.45">
      <c r="A143" s="315"/>
      <c r="B143" s="282"/>
      <c r="C143" s="187" t="s">
        <v>10</v>
      </c>
      <c r="D143" s="182" t="s">
        <v>201</v>
      </c>
      <c r="E143" s="187" t="s">
        <v>12</v>
      </c>
      <c r="F143" s="182" t="s">
        <v>369</v>
      </c>
      <c r="G143" s="145">
        <v>-10.555</v>
      </c>
      <c r="H143" s="262"/>
      <c r="I143" s="263"/>
      <c r="J143" s="270"/>
      <c r="K143" s="273"/>
      <c r="L143" s="242"/>
    </row>
    <row r="144" spans="1:12" s="56" customFormat="1" ht="57" x14ac:dyDescent="0.45">
      <c r="A144" s="315"/>
      <c r="B144" s="282"/>
      <c r="C144" s="187" t="s">
        <v>430</v>
      </c>
      <c r="D144" s="182" t="s">
        <v>201</v>
      </c>
      <c r="E144" s="187" t="s">
        <v>12</v>
      </c>
      <c r="F144" s="182" t="s">
        <v>369</v>
      </c>
      <c r="G144" s="166">
        <v>-0.34</v>
      </c>
      <c r="H144" s="262"/>
      <c r="I144" s="263"/>
      <c r="J144" s="270"/>
      <c r="K144" s="273"/>
      <c r="L144" s="242"/>
    </row>
    <row r="145" spans="1:12" s="56" customFormat="1" x14ac:dyDescent="0.45">
      <c r="A145" s="315"/>
      <c r="B145" s="282"/>
      <c r="C145" s="187" t="s">
        <v>430</v>
      </c>
      <c r="D145" s="182" t="s">
        <v>201</v>
      </c>
      <c r="E145" s="187" t="s">
        <v>18</v>
      </c>
      <c r="F145" s="182" t="s">
        <v>115</v>
      </c>
      <c r="G145" s="166">
        <v>0.34</v>
      </c>
      <c r="H145" s="262"/>
      <c r="I145" s="263"/>
      <c r="J145" s="270"/>
      <c r="K145" s="274"/>
      <c r="L145" s="243"/>
    </row>
    <row r="146" spans="1:12" ht="57" x14ac:dyDescent="0.45">
      <c r="A146" s="315"/>
      <c r="B146" s="282"/>
      <c r="C146" s="187" t="s">
        <v>28</v>
      </c>
      <c r="D146" s="182" t="s">
        <v>133</v>
      </c>
      <c r="E146" s="187" t="s">
        <v>12</v>
      </c>
      <c r="F146" s="182" t="s">
        <v>369</v>
      </c>
      <c r="G146" s="145">
        <v>27</v>
      </c>
      <c r="H146" s="262"/>
      <c r="I146" s="263"/>
      <c r="J146" s="270"/>
      <c r="K146" s="272" t="s">
        <v>525</v>
      </c>
      <c r="L146" s="241">
        <v>44227</v>
      </c>
    </row>
    <row r="147" spans="1:12" ht="57" x14ac:dyDescent="0.45">
      <c r="A147" s="315"/>
      <c r="B147" s="277"/>
      <c r="C147" s="187" t="s">
        <v>10</v>
      </c>
      <c r="D147" s="182" t="s">
        <v>133</v>
      </c>
      <c r="E147" s="187" t="s">
        <v>12</v>
      </c>
      <c r="F147" s="182" t="s">
        <v>369</v>
      </c>
      <c r="G147" s="145">
        <v>2.7549999999999999</v>
      </c>
      <c r="H147" s="262"/>
      <c r="I147" s="263"/>
      <c r="J147" s="271"/>
      <c r="K147" s="274"/>
      <c r="L147" s="261"/>
    </row>
    <row r="148" spans="1:12" ht="42.75" x14ac:dyDescent="0.45">
      <c r="A148" s="315" t="s">
        <v>202</v>
      </c>
      <c r="B148" s="281">
        <v>26</v>
      </c>
      <c r="C148" s="187" t="s">
        <v>10</v>
      </c>
      <c r="D148" s="182" t="s">
        <v>203</v>
      </c>
      <c r="E148" s="187" t="s">
        <v>12</v>
      </c>
      <c r="F148" s="182" t="s">
        <v>367</v>
      </c>
      <c r="G148" s="145">
        <v>2.2065860000000002</v>
      </c>
      <c r="H148" s="182" t="s">
        <v>462</v>
      </c>
      <c r="I148" s="187" t="s">
        <v>115</v>
      </c>
      <c r="J148" s="220" t="s">
        <v>569</v>
      </c>
      <c r="K148" s="214" t="s">
        <v>583</v>
      </c>
      <c r="L148" s="202">
        <v>44227</v>
      </c>
    </row>
    <row r="149" spans="1:12" ht="42.75" x14ac:dyDescent="0.45">
      <c r="A149" s="315"/>
      <c r="B149" s="282"/>
      <c r="C149" s="187" t="s">
        <v>10</v>
      </c>
      <c r="D149" s="182" t="s">
        <v>204</v>
      </c>
      <c r="E149" s="187" t="s">
        <v>12</v>
      </c>
      <c r="F149" s="182" t="s">
        <v>367</v>
      </c>
      <c r="G149" s="145">
        <v>4.2565629999999999</v>
      </c>
      <c r="H149" s="182" t="s">
        <v>462</v>
      </c>
      <c r="I149" s="187" t="s">
        <v>115</v>
      </c>
      <c r="J149" s="220" t="s">
        <v>569</v>
      </c>
      <c r="K149" s="214" t="s">
        <v>584</v>
      </c>
      <c r="L149" s="202">
        <v>44227</v>
      </c>
    </row>
    <row r="150" spans="1:12" ht="42.75" x14ac:dyDescent="0.45">
      <c r="A150" s="315"/>
      <c r="B150" s="282"/>
      <c r="C150" s="187" t="s">
        <v>10</v>
      </c>
      <c r="D150" s="182" t="s">
        <v>205</v>
      </c>
      <c r="E150" s="187" t="s">
        <v>12</v>
      </c>
      <c r="F150" s="182" t="s">
        <v>367</v>
      </c>
      <c r="G150" s="145">
        <v>2.0495749999999999</v>
      </c>
      <c r="H150" s="182" t="s">
        <v>462</v>
      </c>
      <c r="I150" s="187" t="s">
        <v>115</v>
      </c>
      <c r="J150" s="220" t="s">
        <v>569</v>
      </c>
      <c r="K150" s="214" t="s">
        <v>585</v>
      </c>
      <c r="L150" s="202">
        <v>44227</v>
      </c>
    </row>
    <row r="151" spans="1:12" ht="42.75" x14ac:dyDescent="0.45">
      <c r="A151" s="315"/>
      <c r="B151" s="282"/>
      <c r="C151" s="187" t="s">
        <v>10</v>
      </c>
      <c r="D151" s="182" t="s">
        <v>206</v>
      </c>
      <c r="E151" s="187" t="s">
        <v>12</v>
      </c>
      <c r="F151" s="182" t="s">
        <v>367</v>
      </c>
      <c r="G151" s="145">
        <v>5.9272629999999999</v>
      </c>
      <c r="H151" s="182" t="s">
        <v>462</v>
      </c>
      <c r="I151" s="187" t="s">
        <v>115</v>
      </c>
      <c r="J151" s="220" t="s">
        <v>569</v>
      </c>
      <c r="K151" s="214" t="s">
        <v>586</v>
      </c>
      <c r="L151" s="202">
        <v>44227</v>
      </c>
    </row>
    <row r="152" spans="1:12" ht="42.75" x14ac:dyDescent="0.45">
      <c r="A152" s="315"/>
      <c r="B152" s="282"/>
      <c r="C152" s="187" t="s">
        <v>10</v>
      </c>
      <c r="D152" s="182" t="s">
        <v>207</v>
      </c>
      <c r="E152" s="187" t="s">
        <v>12</v>
      </c>
      <c r="F152" s="182" t="s">
        <v>367</v>
      </c>
      <c r="G152" s="145">
        <v>4.8087109999999997</v>
      </c>
      <c r="H152" s="182" t="s">
        <v>462</v>
      </c>
      <c r="I152" s="187" t="s">
        <v>115</v>
      </c>
      <c r="J152" s="220" t="s">
        <v>569</v>
      </c>
      <c r="K152" s="214" t="s">
        <v>587</v>
      </c>
      <c r="L152" s="202">
        <v>44227</v>
      </c>
    </row>
    <row r="153" spans="1:12" ht="42.75" x14ac:dyDescent="0.45">
      <c r="A153" s="315"/>
      <c r="B153" s="282"/>
      <c r="C153" s="187" t="s">
        <v>10</v>
      </c>
      <c r="D153" s="182" t="s">
        <v>208</v>
      </c>
      <c r="E153" s="187" t="s">
        <v>12</v>
      </c>
      <c r="F153" s="182" t="s">
        <v>367</v>
      </c>
      <c r="G153" s="145">
        <v>5.3389740000000003</v>
      </c>
      <c r="H153" s="182" t="s">
        <v>462</v>
      </c>
      <c r="I153" s="187" t="s">
        <v>115</v>
      </c>
      <c r="J153" s="220" t="s">
        <v>569</v>
      </c>
      <c r="K153" s="214" t="s">
        <v>588</v>
      </c>
      <c r="L153" s="202">
        <v>44227</v>
      </c>
    </row>
    <row r="154" spans="1:12" ht="42.75" x14ac:dyDescent="0.45">
      <c r="A154" s="315"/>
      <c r="B154" s="277"/>
      <c r="C154" s="187" t="s">
        <v>10</v>
      </c>
      <c r="D154" s="182" t="s">
        <v>209</v>
      </c>
      <c r="E154" s="187" t="s">
        <v>12</v>
      </c>
      <c r="F154" s="182" t="s">
        <v>367</v>
      </c>
      <c r="G154" s="145">
        <v>1.112328</v>
      </c>
      <c r="H154" s="182" t="s">
        <v>462</v>
      </c>
      <c r="I154" s="187" t="s">
        <v>115</v>
      </c>
      <c r="J154" s="220" t="s">
        <v>569</v>
      </c>
      <c r="K154" s="214" t="s">
        <v>589</v>
      </c>
      <c r="L154" s="202">
        <v>44227</v>
      </c>
    </row>
    <row r="155" spans="1:12" ht="42.75" x14ac:dyDescent="0.45">
      <c r="A155" s="201" t="s">
        <v>210</v>
      </c>
      <c r="B155" s="83">
        <v>18</v>
      </c>
      <c r="C155" s="187" t="s">
        <v>10</v>
      </c>
      <c r="D155" s="182" t="s">
        <v>211</v>
      </c>
      <c r="E155" s="187" t="s">
        <v>12</v>
      </c>
      <c r="F155" s="182" t="s">
        <v>367</v>
      </c>
      <c r="G155" s="145">
        <v>18.2</v>
      </c>
      <c r="H155" s="182" t="s">
        <v>462</v>
      </c>
      <c r="I155" s="187" t="s">
        <v>115</v>
      </c>
      <c r="J155" s="220" t="s">
        <v>569</v>
      </c>
      <c r="K155" s="214" t="s">
        <v>590</v>
      </c>
      <c r="L155" s="202">
        <v>44227</v>
      </c>
    </row>
    <row r="156" spans="1:12" ht="15" customHeight="1" x14ac:dyDescent="0.45">
      <c r="A156" s="315" t="s">
        <v>212</v>
      </c>
      <c r="B156" s="247">
        <v>1720</v>
      </c>
      <c r="C156" s="187" t="s">
        <v>28</v>
      </c>
      <c r="D156" s="182" t="s">
        <v>16</v>
      </c>
      <c r="E156" s="182" t="s">
        <v>213</v>
      </c>
      <c r="F156" s="182" t="s">
        <v>367</v>
      </c>
      <c r="G156" s="145">
        <v>200</v>
      </c>
      <c r="H156" s="262" t="s">
        <v>13</v>
      </c>
      <c r="I156" s="263" t="s">
        <v>214</v>
      </c>
      <c r="J156" s="299" t="s">
        <v>569</v>
      </c>
      <c r="K156" s="265" t="s">
        <v>478</v>
      </c>
      <c r="L156" s="341">
        <v>44227</v>
      </c>
    </row>
    <row r="157" spans="1:12" ht="28.5" x14ac:dyDescent="0.45">
      <c r="A157" s="315"/>
      <c r="B157" s="282"/>
      <c r="C157" s="187" t="s">
        <v>28</v>
      </c>
      <c r="D157" s="182" t="s">
        <v>16</v>
      </c>
      <c r="E157" s="187" t="s">
        <v>12</v>
      </c>
      <c r="F157" s="182" t="s">
        <v>367</v>
      </c>
      <c r="G157" s="145">
        <v>1000</v>
      </c>
      <c r="H157" s="262"/>
      <c r="I157" s="263"/>
      <c r="J157" s="300"/>
      <c r="K157" s="265"/>
      <c r="L157" s="342"/>
    </row>
    <row r="158" spans="1:12" ht="28.5" x14ac:dyDescent="0.45">
      <c r="A158" s="315"/>
      <c r="B158" s="282"/>
      <c r="C158" s="187" t="s">
        <v>10</v>
      </c>
      <c r="D158" s="182" t="s">
        <v>16</v>
      </c>
      <c r="E158" s="187" t="s">
        <v>12</v>
      </c>
      <c r="F158" s="182" t="s">
        <v>367</v>
      </c>
      <c r="G158" s="145">
        <v>-1000</v>
      </c>
      <c r="H158" s="262"/>
      <c r="I158" s="263"/>
      <c r="J158" s="300"/>
      <c r="K158" s="265"/>
      <c r="L158" s="342"/>
    </row>
    <row r="159" spans="1:12" x14ac:dyDescent="0.45">
      <c r="A159" s="315"/>
      <c r="B159" s="282"/>
      <c r="C159" s="187" t="s">
        <v>10</v>
      </c>
      <c r="D159" s="182" t="s">
        <v>16</v>
      </c>
      <c r="E159" s="187" t="s">
        <v>18</v>
      </c>
      <c r="F159" s="182" t="s">
        <v>115</v>
      </c>
      <c r="G159" s="145">
        <v>1000</v>
      </c>
      <c r="H159" s="262"/>
      <c r="I159" s="263"/>
      <c r="J159" s="300"/>
      <c r="K159" s="265"/>
      <c r="L159" s="342"/>
    </row>
    <row r="160" spans="1:12" ht="28.5" x14ac:dyDescent="0.45">
      <c r="A160" s="315"/>
      <c r="B160" s="282"/>
      <c r="C160" s="187" t="s">
        <v>28</v>
      </c>
      <c r="D160" s="182" t="s">
        <v>16</v>
      </c>
      <c r="E160" s="187" t="s">
        <v>12</v>
      </c>
      <c r="F160" s="182" t="s">
        <v>367</v>
      </c>
      <c r="G160" s="145">
        <v>120</v>
      </c>
      <c r="H160" s="262"/>
      <c r="I160" s="263"/>
      <c r="J160" s="300"/>
      <c r="K160" s="265"/>
      <c r="L160" s="342"/>
    </row>
    <row r="161" spans="1:12" ht="28.5" x14ac:dyDescent="0.45">
      <c r="A161" s="315"/>
      <c r="B161" s="277"/>
      <c r="C161" s="187" t="s">
        <v>28</v>
      </c>
      <c r="D161" s="182" t="s">
        <v>16</v>
      </c>
      <c r="E161" s="187" t="s">
        <v>12</v>
      </c>
      <c r="F161" s="182" t="s">
        <v>367</v>
      </c>
      <c r="G161" s="145">
        <v>400</v>
      </c>
      <c r="H161" s="262"/>
      <c r="I161" s="263"/>
      <c r="J161" s="301"/>
      <c r="K161" s="265"/>
      <c r="L161" s="342"/>
    </row>
    <row r="162" spans="1:12" ht="31.5" customHeight="1" x14ac:dyDescent="0.45">
      <c r="A162" s="201" t="s">
        <v>215</v>
      </c>
      <c r="B162" s="83">
        <v>376</v>
      </c>
      <c r="C162" s="187" t="s">
        <v>44</v>
      </c>
      <c r="D162" s="187" t="s">
        <v>216</v>
      </c>
      <c r="E162" s="187" t="s">
        <v>115</v>
      </c>
      <c r="F162" s="182" t="s">
        <v>115</v>
      </c>
      <c r="G162" s="145" t="s">
        <v>115</v>
      </c>
      <c r="H162" s="187" t="s">
        <v>13</v>
      </c>
      <c r="I162" s="188" t="s">
        <v>217</v>
      </c>
      <c r="J162" s="220" t="s">
        <v>569</v>
      </c>
      <c r="K162" s="214" t="s">
        <v>500</v>
      </c>
      <c r="L162" s="202">
        <v>44227</v>
      </c>
    </row>
    <row r="163" spans="1:12" ht="57" x14ac:dyDescent="0.45">
      <c r="A163" s="315" t="s">
        <v>218</v>
      </c>
      <c r="B163" s="281">
        <v>253</v>
      </c>
      <c r="C163" s="187" t="s">
        <v>28</v>
      </c>
      <c r="D163" s="182" t="s">
        <v>91</v>
      </c>
      <c r="E163" s="187" t="s">
        <v>12</v>
      </c>
      <c r="F163" s="182" t="s">
        <v>369</v>
      </c>
      <c r="G163" s="145">
        <v>50</v>
      </c>
      <c r="H163" s="264" t="s">
        <v>13</v>
      </c>
      <c r="I163" s="280" t="s">
        <v>92</v>
      </c>
      <c r="J163" s="264" t="s">
        <v>21</v>
      </c>
      <c r="K163" s="272" t="s">
        <v>406</v>
      </c>
      <c r="L163" s="336">
        <v>44251</v>
      </c>
    </row>
    <row r="164" spans="1:12" s="56" customFormat="1" x14ac:dyDescent="0.45">
      <c r="A164" s="315"/>
      <c r="B164" s="282"/>
      <c r="C164" s="187" t="s">
        <v>430</v>
      </c>
      <c r="D164" s="182" t="s">
        <v>91</v>
      </c>
      <c r="E164" s="187" t="s">
        <v>18</v>
      </c>
      <c r="F164" s="182" t="s">
        <v>115</v>
      </c>
      <c r="G164" s="145">
        <v>1.456952</v>
      </c>
      <c r="H164" s="264"/>
      <c r="I164" s="280"/>
      <c r="J164" s="264"/>
      <c r="K164" s="273"/>
      <c r="L164" s="352"/>
    </row>
    <row r="165" spans="1:12" s="56" customFormat="1" ht="57" x14ac:dyDescent="0.45">
      <c r="A165" s="315"/>
      <c r="B165" s="282"/>
      <c r="C165" s="187" t="s">
        <v>430</v>
      </c>
      <c r="D165" s="182" t="s">
        <v>91</v>
      </c>
      <c r="E165" s="187" t="s">
        <v>12</v>
      </c>
      <c r="F165" s="182" t="s">
        <v>369</v>
      </c>
      <c r="G165" s="145">
        <v>-1.456952</v>
      </c>
      <c r="H165" s="264"/>
      <c r="I165" s="280"/>
      <c r="J165" s="264"/>
      <c r="K165" s="274"/>
      <c r="L165" s="353"/>
    </row>
    <row r="166" spans="1:12" x14ac:dyDescent="0.45">
      <c r="A166" s="315"/>
      <c r="B166" s="282"/>
      <c r="C166" s="187" t="s">
        <v>28</v>
      </c>
      <c r="D166" s="182" t="s">
        <v>91</v>
      </c>
      <c r="E166" s="187" t="s">
        <v>18</v>
      </c>
      <c r="F166" s="182" t="s">
        <v>115</v>
      </c>
      <c r="G166" s="145">
        <v>15</v>
      </c>
      <c r="H166" s="264"/>
      <c r="I166" s="280"/>
      <c r="J166" s="264"/>
      <c r="K166" s="265" t="s">
        <v>471</v>
      </c>
      <c r="L166" s="341">
        <v>44251</v>
      </c>
    </row>
    <row r="167" spans="1:12" ht="57" x14ac:dyDescent="0.45">
      <c r="A167" s="315"/>
      <c r="B167" s="277"/>
      <c r="C167" s="187" t="s">
        <v>28</v>
      </c>
      <c r="D167" s="182" t="s">
        <v>91</v>
      </c>
      <c r="E167" s="187" t="s">
        <v>12</v>
      </c>
      <c r="F167" s="182" t="s">
        <v>369</v>
      </c>
      <c r="G167" s="145">
        <v>62.5</v>
      </c>
      <c r="H167" s="264"/>
      <c r="I167" s="280"/>
      <c r="J167" s="264"/>
      <c r="K167" s="265"/>
      <c r="L167" s="342"/>
    </row>
    <row r="168" spans="1:12" ht="15" customHeight="1" x14ac:dyDescent="0.45">
      <c r="A168" s="338" t="s">
        <v>220</v>
      </c>
      <c r="B168" s="281">
        <v>63</v>
      </c>
      <c r="C168" s="187" t="s">
        <v>28</v>
      </c>
      <c r="D168" s="182" t="s">
        <v>221</v>
      </c>
      <c r="E168" s="187" t="s">
        <v>12</v>
      </c>
      <c r="F168" s="182" t="s">
        <v>372</v>
      </c>
      <c r="G168" s="145">
        <v>62.5</v>
      </c>
      <c r="H168" s="283" t="s">
        <v>13</v>
      </c>
      <c r="I168" s="286" t="s">
        <v>222</v>
      </c>
      <c r="J168" s="281" t="s">
        <v>223</v>
      </c>
      <c r="K168" s="224"/>
      <c r="L168" s="333"/>
    </row>
    <row r="169" spans="1:12" ht="57" x14ac:dyDescent="0.45">
      <c r="A169" s="339"/>
      <c r="B169" s="282"/>
      <c r="C169" s="187" t="s">
        <v>10</v>
      </c>
      <c r="D169" s="182" t="s">
        <v>221</v>
      </c>
      <c r="E169" s="187" t="s">
        <v>12</v>
      </c>
      <c r="F169" s="182" t="s">
        <v>369</v>
      </c>
      <c r="G169" s="145">
        <v>-56.8</v>
      </c>
      <c r="H169" s="284"/>
      <c r="I169" s="287"/>
      <c r="J169" s="282"/>
      <c r="K169" s="225"/>
      <c r="L169" s="242"/>
    </row>
    <row r="170" spans="1:12" s="56" customFormat="1" ht="57" x14ac:dyDescent="0.45">
      <c r="A170" s="339"/>
      <c r="B170" s="282"/>
      <c r="C170" s="187" t="s">
        <v>430</v>
      </c>
      <c r="D170" s="182" t="s">
        <v>221</v>
      </c>
      <c r="E170" s="187" t="s">
        <v>12</v>
      </c>
      <c r="F170" s="182" t="s">
        <v>369</v>
      </c>
      <c r="G170" s="145">
        <v>-5.7</v>
      </c>
      <c r="H170" s="285"/>
      <c r="I170" s="288"/>
      <c r="J170" s="277"/>
      <c r="K170" s="226"/>
      <c r="L170" s="243"/>
    </row>
    <row r="171" spans="1:12" ht="15" customHeight="1" x14ac:dyDescent="0.45">
      <c r="A171" s="339"/>
      <c r="B171" s="282"/>
      <c r="C171" s="187" t="s">
        <v>10</v>
      </c>
      <c r="D171" s="182" t="s">
        <v>160</v>
      </c>
      <c r="E171" s="187" t="s">
        <v>18</v>
      </c>
      <c r="F171" s="182" t="s">
        <v>115</v>
      </c>
      <c r="G171" s="145">
        <v>17.037134999999999</v>
      </c>
      <c r="H171" s="283" t="s">
        <v>13</v>
      </c>
      <c r="I171" s="286" t="s">
        <v>224</v>
      </c>
      <c r="J171" s="269" t="s">
        <v>569</v>
      </c>
      <c r="K171" s="272" t="s">
        <v>537</v>
      </c>
      <c r="L171" s="341">
        <v>44227</v>
      </c>
    </row>
    <row r="172" spans="1:12" ht="57" x14ac:dyDescent="0.45">
      <c r="A172" s="339"/>
      <c r="B172" s="282"/>
      <c r="C172" s="187" t="s">
        <v>10</v>
      </c>
      <c r="D172" s="182" t="s">
        <v>160</v>
      </c>
      <c r="E172" s="187" t="s">
        <v>12</v>
      </c>
      <c r="F172" s="182" t="s">
        <v>369</v>
      </c>
      <c r="G172" s="145">
        <v>21.102865000000001</v>
      </c>
      <c r="H172" s="284"/>
      <c r="I172" s="287"/>
      <c r="J172" s="270"/>
      <c r="K172" s="273"/>
      <c r="L172" s="342"/>
    </row>
    <row r="173" spans="1:12" s="56" customFormat="1" x14ac:dyDescent="0.45">
      <c r="A173" s="339"/>
      <c r="B173" s="282"/>
      <c r="C173" s="187" t="s">
        <v>430</v>
      </c>
      <c r="D173" s="182" t="s">
        <v>160</v>
      </c>
      <c r="E173" s="187" t="s">
        <v>18</v>
      </c>
      <c r="F173" s="182" t="s">
        <v>115</v>
      </c>
      <c r="G173" s="145">
        <v>4.5599999999999996</v>
      </c>
      <c r="H173" s="284"/>
      <c r="I173" s="287"/>
      <c r="J173" s="270"/>
      <c r="K173" s="274"/>
      <c r="L173" s="342"/>
    </row>
    <row r="174" spans="1:12" ht="57" x14ac:dyDescent="0.45">
      <c r="A174" s="339"/>
      <c r="B174" s="282"/>
      <c r="C174" s="187" t="s">
        <v>10</v>
      </c>
      <c r="D174" s="182" t="s">
        <v>70</v>
      </c>
      <c r="E174" s="187" t="s">
        <v>12</v>
      </c>
      <c r="F174" s="182" t="s">
        <v>369</v>
      </c>
      <c r="G174" s="145">
        <v>9.5180000000000007</v>
      </c>
      <c r="H174" s="284"/>
      <c r="I174" s="287"/>
      <c r="J174" s="270"/>
      <c r="K174" s="272" t="s">
        <v>538</v>
      </c>
      <c r="L174" s="336">
        <v>44227</v>
      </c>
    </row>
    <row r="175" spans="1:12" x14ac:dyDescent="0.45">
      <c r="A175" s="339"/>
      <c r="B175" s="282"/>
      <c r="C175" s="187" t="s">
        <v>430</v>
      </c>
      <c r="D175" s="182" t="s">
        <v>70</v>
      </c>
      <c r="E175" s="187" t="s">
        <v>18</v>
      </c>
      <c r="F175" s="182" t="s">
        <v>115</v>
      </c>
      <c r="G175" s="145">
        <v>1.1399999999999999</v>
      </c>
      <c r="H175" s="284"/>
      <c r="I175" s="287"/>
      <c r="J175" s="270"/>
      <c r="K175" s="274"/>
      <c r="L175" s="337"/>
    </row>
    <row r="176" spans="1:12" s="56" customFormat="1" ht="28.5" x14ac:dyDescent="0.45">
      <c r="A176" s="339"/>
      <c r="B176" s="282"/>
      <c r="C176" s="187" t="s">
        <v>10</v>
      </c>
      <c r="D176" s="182" t="s">
        <v>162</v>
      </c>
      <c r="E176" s="187" t="s">
        <v>18</v>
      </c>
      <c r="F176" s="182" t="s">
        <v>115</v>
      </c>
      <c r="G176" s="145">
        <v>6.992</v>
      </c>
      <c r="H176" s="284"/>
      <c r="I176" s="287"/>
      <c r="J176" s="270"/>
      <c r="K176" s="272" t="s">
        <v>539</v>
      </c>
      <c r="L176" s="336">
        <v>44227</v>
      </c>
    </row>
    <row r="177" spans="1:12" ht="57" x14ac:dyDescent="0.45">
      <c r="A177" s="339"/>
      <c r="B177" s="282"/>
      <c r="C177" s="187" t="s">
        <v>10</v>
      </c>
      <c r="D177" s="182" t="s">
        <v>162</v>
      </c>
      <c r="E177" s="187" t="s">
        <v>12</v>
      </c>
      <c r="F177" s="182" t="s">
        <v>369</v>
      </c>
      <c r="G177" s="145">
        <v>2.15</v>
      </c>
      <c r="H177" s="284"/>
      <c r="I177" s="287"/>
      <c r="J177" s="270"/>
      <c r="K177" s="273"/>
      <c r="L177" s="351"/>
    </row>
    <row r="178" spans="1:12" s="56" customFormat="1" ht="28.5" x14ac:dyDescent="0.45">
      <c r="A178" s="339"/>
      <c r="B178" s="282"/>
      <c r="C178" s="187" t="s">
        <v>430</v>
      </c>
      <c r="D178" s="182" t="s">
        <v>162</v>
      </c>
      <c r="E178" s="187" t="s">
        <v>18</v>
      </c>
      <c r="F178" s="182" t="s">
        <v>115</v>
      </c>
      <c r="G178" s="145">
        <v>1.65</v>
      </c>
      <c r="H178" s="284"/>
      <c r="I178" s="287"/>
      <c r="J178" s="270"/>
      <c r="K178" s="273"/>
      <c r="L178" s="351"/>
    </row>
    <row r="179" spans="1:12" s="56" customFormat="1" ht="57" x14ac:dyDescent="0.45">
      <c r="A179" s="340"/>
      <c r="B179" s="277"/>
      <c r="C179" s="187" t="s">
        <v>430</v>
      </c>
      <c r="D179" s="182" t="s">
        <v>162</v>
      </c>
      <c r="E179" s="187" t="s">
        <v>12</v>
      </c>
      <c r="F179" s="182" t="s">
        <v>369</v>
      </c>
      <c r="G179" s="145">
        <v>-1.65</v>
      </c>
      <c r="H179" s="285"/>
      <c r="I179" s="288"/>
      <c r="J179" s="271"/>
      <c r="K179" s="274"/>
      <c r="L179" s="337"/>
    </row>
    <row r="180" spans="1:12" ht="57" x14ac:dyDescent="0.45">
      <c r="A180" s="244" t="s">
        <v>219</v>
      </c>
      <c r="B180" s="281">
        <v>469</v>
      </c>
      <c r="C180" s="187" t="s">
        <v>28</v>
      </c>
      <c r="D180" s="182" t="s">
        <v>221</v>
      </c>
      <c r="E180" s="187" t="s">
        <v>12</v>
      </c>
      <c r="F180" s="182" t="s">
        <v>369</v>
      </c>
      <c r="G180" s="145">
        <v>469.4</v>
      </c>
      <c r="H180" s="283" t="s">
        <v>13</v>
      </c>
      <c r="I180" s="286" t="s">
        <v>222</v>
      </c>
      <c r="J180" s="280" t="s">
        <v>569</v>
      </c>
      <c r="K180" s="290" t="s">
        <v>476</v>
      </c>
      <c r="L180" s="241">
        <v>44227</v>
      </c>
    </row>
    <row r="181" spans="1:12" s="56" customFormat="1" x14ac:dyDescent="0.45">
      <c r="A181" s="245"/>
      <c r="B181" s="282"/>
      <c r="C181" s="187" t="s">
        <v>430</v>
      </c>
      <c r="D181" s="182" t="s">
        <v>221</v>
      </c>
      <c r="E181" s="187" t="s">
        <v>18</v>
      </c>
      <c r="F181" s="198" t="s">
        <v>115</v>
      </c>
      <c r="G181" s="145">
        <f>1.109394+3.5</f>
        <v>4.609394</v>
      </c>
      <c r="H181" s="284"/>
      <c r="I181" s="287"/>
      <c r="J181" s="280"/>
      <c r="K181" s="291"/>
      <c r="L181" s="242"/>
    </row>
    <row r="182" spans="1:12" s="56" customFormat="1" ht="57" x14ac:dyDescent="0.45">
      <c r="A182" s="246"/>
      <c r="B182" s="277"/>
      <c r="C182" s="187" t="s">
        <v>430</v>
      </c>
      <c r="D182" s="182" t="s">
        <v>221</v>
      </c>
      <c r="E182" s="187" t="s">
        <v>12</v>
      </c>
      <c r="F182" s="182" t="s">
        <v>369</v>
      </c>
      <c r="G182" s="145">
        <v>-334.04422499999998</v>
      </c>
      <c r="H182" s="285"/>
      <c r="I182" s="288"/>
      <c r="J182" s="280"/>
      <c r="K182" s="292"/>
      <c r="L182" s="243"/>
    </row>
    <row r="183" spans="1:12" ht="57" x14ac:dyDescent="0.45">
      <c r="A183" s="315" t="s">
        <v>225</v>
      </c>
      <c r="B183" s="281">
        <v>450</v>
      </c>
      <c r="C183" s="187" t="s">
        <v>10</v>
      </c>
      <c r="D183" s="182" t="s">
        <v>226</v>
      </c>
      <c r="E183" s="187" t="s">
        <v>12</v>
      </c>
      <c r="F183" s="182" t="s">
        <v>369</v>
      </c>
      <c r="G183" s="145">
        <v>325</v>
      </c>
      <c r="H183" s="262" t="s">
        <v>13</v>
      </c>
      <c r="I183" s="263" t="s">
        <v>227</v>
      </c>
      <c r="J183" s="280" t="s">
        <v>569</v>
      </c>
      <c r="K183" s="314" t="s">
        <v>540</v>
      </c>
      <c r="L183" s="275">
        <v>44227</v>
      </c>
    </row>
    <row r="184" spans="1:12" x14ac:dyDescent="0.45">
      <c r="A184" s="315"/>
      <c r="B184" s="277"/>
      <c r="C184" s="187" t="s">
        <v>10</v>
      </c>
      <c r="D184" s="182" t="s">
        <v>226</v>
      </c>
      <c r="E184" s="187" t="s">
        <v>18</v>
      </c>
      <c r="F184" s="182" t="s">
        <v>115</v>
      </c>
      <c r="G184" s="145">
        <v>125</v>
      </c>
      <c r="H184" s="262"/>
      <c r="I184" s="263"/>
      <c r="J184" s="280"/>
      <c r="K184" s="314"/>
      <c r="L184" s="276"/>
    </row>
    <row r="185" spans="1:12" ht="57" x14ac:dyDescent="0.45">
      <c r="A185" s="315" t="s">
        <v>228</v>
      </c>
      <c r="B185" s="281">
        <v>2</v>
      </c>
      <c r="C185" s="187" t="s">
        <v>10</v>
      </c>
      <c r="D185" s="187" t="s">
        <v>229</v>
      </c>
      <c r="E185" s="187" t="s">
        <v>12</v>
      </c>
      <c r="F185" s="182" t="s">
        <v>369</v>
      </c>
      <c r="G185" s="145">
        <v>1.7242409999999999</v>
      </c>
      <c r="H185" s="262" t="s">
        <v>13</v>
      </c>
      <c r="I185" s="263" t="s">
        <v>33</v>
      </c>
      <c r="J185" s="269" t="s">
        <v>569</v>
      </c>
      <c r="K185" s="335" t="s">
        <v>562</v>
      </c>
      <c r="L185" s="334">
        <v>44227</v>
      </c>
    </row>
    <row r="186" spans="1:12" s="56" customFormat="1" x14ac:dyDescent="0.45">
      <c r="A186" s="315"/>
      <c r="B186" s="282"/>
      <c r="C186" s="187" t="s">
        <v>10</v>
      </c>
      <c r="D186" s="187" t="s">
        <v>229</v>
      </c>
      <c r="E186" s="187" t="s">
        <v>18</v>
      </c>
      <c r="F186" s="182" t="s">
        <v>115</v>
      </c>
      <c r="G186" s="145">
        <v>0.83208300000000002</v>
      </c>
      <c r="H186" s="262"/>
      <c r="I186" s="263"/>
      <c r="J186" s="270"/>
      <c r="K186" s="335"/>
      <c r="L186" s="334"/>
    </row>
    <row r="187" spans="1:12" s="56" customFormat="1" ht="57" x14ac:dyDescent="0.45">
      <c r="A187" s="315"/>
      <c r="B187" s="282"/>
      <c r="C187" s="187" t="s">
        <v>430</v>
      </c>
      <c r="D187" s="187" t="s">
        <v>229</v>
      </c>
      <c r="E187" s="187" t="s">
        <v>12</v>
      </c>
      <c r="F187" s="182" t="s">
        <v>369</v>
      </c>
      <c r="G187" s="166">
        <v>-0.24385399999999999</v>
      </c>
      <c r="H187" s="262"/>
      <c r="I187" s="263"/>
      <c r="J187" s="270"/>
      <c r="K187" s="335"/>
      <c r="L187" s="334"/>
    </row>
    <row r="188" spans="1:12" x14ac:dyDescent="0.45">
      <c r="A188" s="315"/>
      <c r="B188" s="277"/>
      <c r="C188" s="190" t="s">
        <v>430</v>
      </c>
      <c r="D188" s="187" t="s">
        <v>229</v>
      </c>
      <c r="E188" s="190" t="s">
        <v>18</v>
      </c>
      <c r="F188" s="198" t="s">
        <v>115</v>
      </c>
      <c r="G188" s="167">
        <v>0.24385399999999999</v>
      </c>
      <c r="H188" s="262"/>
      <c r="I188" s="263"/>
      <c r="J188" s="271"/>
      <c r="K188" s="314"/>
      <c r="L188" s="276"/>
    </row>
    <row r="189" spans="1:12" ht="42.75" x14ac:dyDescent="0.45">
      <c r="A189" s="201" t="s">
        <v>230</v>
      </c>
      <c r="B189" s="83">
        <v>320</v>
      </c>
      <c r="C189" s="187" t="s">
        <v>430</v>
      </c>
      <c r="D189" s="187" t="s">
        <v>16</v>
      </c>
      <c r="E189" s="187" t="s">
        <v>12</v>
      </c>
      <c r="F189" s="182" t="s">
        <v>458</v>
      </c>
      <c r="G189" s="152">
        <v>320</v>
      </c>
      <c r="H189" s="187" t="s">
        <v>13</v>
      </c>
      <c r="I189" s="188" t="s">
        <v>17</v>
      </c>
      <c r="J189" s="220" t="s">
        <v>569</v>
      </c>
      <c r="K189" s="214" t="s">
        <v>461</v>
      </c>
      <c r="L189" s="202">
        <v>44227</v>
      </c>
    </row>
    <row r="190" spans="1:12" ht="30" customHeight="1" x14ac:dyDescent="0.45">
      <c r="A190" s="315" t="s">
        <v>231</v>
      </c>
      <c r="B190" s="281">
        <v>99</v>
      </c>
      <c r="C190" s="187" t="s">
        <v>10</v>
      </c>
      <c r="D190" s="182" t="s">
        <v>157</v>
      </c>
      <c r="E190" s="187" t="s">
        <v>18</v>
      </c>
      <c r="F190" s="182" t="s">
        <v>115</v>
      </c>
      <c r="G190" s="152">
        <v>9.7100000000000009</v>
      </c>
      <c r="H190" s="283" t="s">
        <v>13</v>
      </c>
      <c r="I190" s="286" t="s">
        <v>167</v>
      </c>
      <c r="J190" s="281" t="s">
        <v>21</v>
      </c>
      <c r="K190" s="290" t="s">
        <v>570</v>
      </c>
      <c r="L190" s="241">
        <v>44255</v>
      </c>
    </row>
    <row r="191" spans="1:12" ht="28.5" x14ac:dyDescent="0.45">
      <c r="A191" s="315"/>
      <c r="B191" s="282"/>
      <c r="C191" s="187" t="s">
        <v>10</v>
      </c>
      <c r="D191" s="187" t="s">
        <v>157</v>
      </c>
      <c r="E191" s="187" t="s">
        <v>12</v>
      </c>
      <c r="F191" s="182" t="s">
        <v>371</v>
      </c>
      <c r="G191" s="152">
        <v>87.39</v>
      </c>
      <c r="H191" s="284"/>
      <c r="I191" s="287"/>
      <c r="J191" s="282"/>
      <c r="K191" s="291"/>
      <c r="L191" s="260"/>
    </row>
    <row r="192" spans="1:12" s="56" customFormat="1" ht="28.5" x14ac:dyDescent="0.45">
      <c r="A192" s="315"/>
      <c r="B192" s="282"/>
      <c r="C192" s="187" t="s">
        <v>430</v>
      </c>
      <c r="D192" s="187" t="s">
        <v>157</v>
      </c>
      <c r="E192" s="187" t="s">
        <v>12</v>
      </c>
      <c r="F192" s="182" t="s">
        <v>371</v>
      </c>
      <c r="G192" s="152">
        <v>-2.678509</v>
      </c>
      <c r="H192" s="284"/>
      <c r="I192" s="287"/>
      <c r="J192" s="282"/>
      <c r="K192" s="291"/>
      <c r="L192" s="260"/>
    </row>
    <row r="193" spans="1:12" s="56" customFormat="1" x14ac:dyDescent="0.45">
      <c r="A193" s="315"/>
      <c r="B193" s="282"/>
      <c r="C193" s="187" t="s">
        <v>430</v>
      </c>
      <c r="D193" s="187" t="s">
        <v>157</v>
      </c>
      <c r="E193" s="187" t="s">
        <v>18</v>
      </c>
      <c r="F193" s="182" t="s">
        <v>115</v>
      </c>
      <c r="G193" s="152">
        <v>2.678509</v>
      </c>
      <c r="H193" s="285"/>
      <c r="I193" s="288"/>
      <c r="J193" s="277"/>
      <c r="K193" s="292"/>
      <c r="L193" s="261"/>
    </row>
    <row r="194" spans="1:12" ht="28.5" x14ac:dyDescent="0.45">
      <c r="A194" s="315"/>
      <c r="B194" s="277"/>
      <c r="C194" s="187" t="s">
        <v>10</v>
      </c>
      <c r="D194" s="187" t="s">
        <v>93</v>
      </c>
      <c r="E194" s="187" t="s">
        <v>12</v>
      </c>
      <c r="F194" s="182" t="s">
        <v>371</v>
      </c>
      <c r="G194" s="152">
        <v>2.4</v>
      </c>
      <c r="H194" s="187" t="s">
        <v>13</v>
      </c>
      <c r="I194" s="188" t="s">
        <v>94</v>
      </c>
      <c r="J194" s="182" t="s">
        <v>21</v>
      </c>
      <c r="K194" s="214" t="s">
        <v>398</v>
      </c>
      <c r="L194" s="202">
        <v>44255</v>
      </c>
    </row>
    <row r="195" spans="1:12" ht="28.5" x14ac:dyDescent="0.45">
      <c r="A195" s="244" t="s">
        <v>232</v>
      </c>
      <c r="B195" s="281">
        <v>130</v>
      </c>
      <c r="C195" s="187" t="s">
        <v>10</v>
      </c>
      <c r="D195" s="187" t="s">
        <v>157</v>
      </c>
      <c r="E195" s="187" t="s">
        <v>12</v>
      </c>
      <c r="F195" s="182" t="s">
        <v>371</v>
      </c>
      <c r="G195" s="152">
        <v>60.2</v>
      </c>
      <c r="H195" s="283" t="s">
        <v>13</v>
      </c>
      <c r="I195" s="286" t="s">
        <v>167</v>
      </c>
      <c r="J195" s="281" t="s">
        <v>21</v>
      </c>
      <c r="K195" s="290" t="s">
        <v>571</v>
      </c>
      <c r="L195" s="241">
        <v>44255</v>
      </c>
    </row>
    <row r="196" spans="1:12" s="56" customFormat="1" ht="28.5" x14ac:dyDescent="0.45">
      <c r="A196" s="245"/>
      <c r="B196" s="282"/>
      <c r="C196" s="187" t="s">
        <v>430</v>
      </c>
      <c r="D196" s="187" t="s">
        <v>157</v>
      </c>
      <c r="E196" s="187" t="s">
        <v>12</v>
      </c>
      <c r="F196" s="182" t="s">
        <v>371</v>
      </c>
      <c r="G196" s="152">
        <v>-25.508465999999999</v>
      </c>
      <c r="H196" s="284"/>
      <c r="I196" s="287"/>
      <c r="J196" s="282"/>
      <c r="K196" s="291"/>
      <c r="L196" s="260"/>
    </row>
    <row r="197" spans="1:12" s="56" customFormat="1" x14ac:dyDescent="0.45">
      <c r="A197" s="246"/>
      <c r="B197" s="277"/>
      <c r="C197" s="187" t="s">
        <v>430</v>
      </c>
      <c r="D197" s="187" t="s">
        <v>157</v>
      </c>
      <c r="E197" s="187" t="s">
        <v>18</v>
      </c>
      <c r="F197" s="182" t="s">
        <v>115</v>
      </c>
      <c r="G197" s="151">
        <v>21.287790000000001</v>
      </c>
      <c r="H197" s="285"/>
      <c r="I197" s="288"/>
      <c r="J197" s="277"/>
      <c r="K197" s="292"/>
      <c r="L197" s="261"/>
    </row>
    <row r="198" spans="1:12" ht="28.5" x14ac:dyDescent="0.45">
      <c r="A198" s="201" t="s">
        <v>233</v>
      </c>
      <c r="B198" s="94">
        <v>5515</v>
      </c>
      <c r="C198" s="187" t="s">
        <v>44</v>
      </c>
      <c r="D198" s="187" t="s">
        <v>145</v>
      </c>
      <c r="E198" s="187" t="s">
        <v>115</v>
      </c>
      <c r="F198" s="182" t="s">
        <v>368</v>
      </c>
      <c r="G198" s="145" t="s">
        <v>115</v>
      </c>
      <c r="H198" s="187" t="s">
        <v>13</v>
      </c>
      <c r="I198" s="188" t="s">
        <v>170</v>
      </c>
      <c r="J198" s="182" t="s">
        <v>21</v>
      </c>
      <c r="K198" s="214" t="s">
        <v>130</v>
      </c>
      <c r="L198" s="203"/>
    </row>
    <row r="199" spans="1:12" ht="28.5" x14ac:dyDescent="0.45">
      <c r="A199" s="201" t="s">
        <v>234</v>
      </c>
      <c r="B199" s="94">
        <v>1997</v>
      </c>
      <c r="C199" s="187" t="s">
        <v>44</v>
      </c>
      <c r="D199" s="187" t="s">
        <v>145</v>
      </c>
      <c r="E199" s="187" t="s">
        <v>115</v>
      </c>
      <c r="F199" s="182" t="s">
        <v>368</v>
      </c>
      <c r="G199" s="145" t="s">
        <v>115</v>
      </c>
      <c r="H199" s="187" t="s">
        <v>13</v>
      </c>
      <c r="I199" s="188" t="s">
        <v>170</v>
      </c>
      <c r="J199" s="182" t="s">
        <v>21</v>
      </c>
      <c r="K199" s="214" t="s">
        <v>130</v>
      </c>
      <c r="L199" s="203"/>
    </row>
    <row r="200" spans="1:12" ht="42.75" x14ac:dyDescent="0.45">
      <c r="A200" s="201" t="s">
        <v>235</v>
      </c>
      <c r="B200" s="94">
        <f>2509-54</f>
        <v>2455</v>
      </c>
      <c r="C200" s="187" t="s">
        <v>28</v>
      </c>
      <c r="D200" s="182" t="s">
        <v>37</v>
      </c>
      <c r="E200" s="187" t="s">
        <v>12</v>
      </c>
      <c r="F200" s="182" t="s">
        <v>368</v>
      </c>
      <c r="G200" s="145">
        <v>2501.3000000000002</v>
      </c>
      <c r="H200" s="187" t="s">
        <v>13</v>
      </c>
      <c r="I200" s="188" t="s">
        <v>236</v>
      </c>
      <c r="J200" s="220" t="s">
        <v>569</v>
      </c>
      <c r="K200" s="205" t="s">
        <v>511</v>
      </c>
      <c r="L200" s="202">
        <v>44227</v>
      </c>
    </row>
    <row r="201" spans="1:12" ht="28.5" x14ac:dyDescent="0.45">
      <c r="A201" s="244" t="s">
        <v>237</v>
      </c>
      <c r="B201" s="281">
        <f>292+572</f>
        <v>864</v>
      </c>
      <c r="C201" s="187" t="s">
        <v>10</v>
      </c>
      <c r="D201" s="182" t="s">
        <v>37</v>
      </c>
      <c r="E201" s="187" t="s">
        <v>12</v>
      </c>
      <c r="F201" s="182" t="s">
        <v>371</v>
      </c>
      <c r="G201" s="145">
        <v>15</v>
      </c>
      <c r="H201" s="283" t="s">
        <v>13</v>
      </c>
      <c r="I201" s="286" t="s">
        <v>38</v>
      </c>
      <c r="J201" s="280" t="s">
        <v>569</v>
      </c>
      <c r="K201" s="290" t="s">
        <v>512</v>
      </c>
      <c r="L201" s="241">
        <v>44227</v>
      </c>
    </row>
    <row r="202" spans="1:12" ht="28.5" x14ac:dyDescent="0.45">
      <c r="A202" s="245"/>
      <c r="B202" s="282"/>
      <c r="C202" s="187" t="s">
        <v>10</v>
      </c>
      <c r="D202" s="182" t="s">
        <v>37</v>
      </c>
      <c r="E202" s="187" t="s">
        <v>12</v>
      </c>
      <c r="F202" s="182" t="s">
        <v>375</v>
      </c>
      <c r="G202" s="145">
        <v>848.6</v>
      </c>
      <c r="H202" s="284"/>
      <c r="I202" s="287"/>
      <c r="J202" s="280"/>
      <c r="K202" s="291"/>
      <c r="L202" s="260"/>
    </row>
    <row r="203" spans="1:12" s="56" customFormat="1" ht="28.5" x14ac:dyDescent="0.45">
      <c r="A203" s="245"/>
      <c r="B203" s="282"/>
      <c r="C203" s="187" t="s">
        <v>430</v>
      </c>
      <c r="D203" s="182" t="s">
        <v>37</v>
      </c>
      <c r="E203" s="187" t="s">
        <v>12</v>
      </c>
      <c r="F203" s="182" t="s">
        <v>375</v>
      </c>
      <c r="G203" s="166">
        <v>0.395866</v>
      </c>
      <c r="H203" s="285"/>
      <c r="I203" s="288"/>
      <c r="J203" s="280"/>
      <c r="K203" s="292"/>
      <c r="L203" s="261"/>
    </row>
    <row r="204" spans="1:12" s="56" customFormat="1" ht="42.75" x14ac:dyDescent="0.45">
      <c r="A204" s="246"/>
      <c r="B204" s="277"/>
      <c r="C204" s="187" t="s">
        <v>44</v>
      </c>
      <c r="D204" s="182" t="s">
        <v>145</v>
      </c>
      <c r="E204" s="187" t="s">
        <v>115</v>
      </c>
      <c r="F204" s="182" t="s">
        <v>115</v>
      </c>
      <c r="G204" s="166" t="s">
        <v>115</v>
      </c>
      <c r="H204" s="191" t="s">
        <v>462</v>
      </c>
      <c r="I204" s="219" t="s">
        <v>115</v>
      </c>
      <c r="J204" s="220" t="s">
        <v>569</v>
      </c>
      <c r="K204" s="193" t="s">
        <v>566</v>
      </c>
      <c r="L204" s="211">
        <v>44227</v>
      </c>
    </row>
    <row r="205" spans="1:12" x14ac:dyDescent="0.45">
      <c r="A205" s="201" t="s">
        <v>238</v>
      </c>
      <c r="B205" s="83">
        <v>1</v>
      </c>
      <c r="C205" s="187" t="s">
        <v>430</v>
      </c>
      <c r="D205" s="182" t="s">
        <v>255</v>
      </c>
      <c r="E205" s="187" t="s">
        <v>18</v>
      </c>
      <c r="F205" s="182" t="s">
        <v>115</v>
      </c>
      <c r="G205" s="151">
        <v>0.6</v>
      </c>
      <c r="H205" s="187" t="s">
        <v>13</v>
      </c>
      <c r="I205" s="188" t="s">
        <v>256</v>
      </c>
      <c r="J205" s="187" t="s">
        <v>223</v>
      </c>
      <c r="K205" s="214"/>
      <c r="L205" s="203"/>
    </row>
    <row r="206" spans="1:12" ht="57" x14ac:dyDescent="0.45">
      <c r="A206" s="315" t="s">
        <v>239</v>
      </c>
      <c r="B206" s="247">
        <v>1023</v>
      </c>
      <c r="C206" s="187" t="s">
        <v>28</v>
      </c>
      <c r="D206" s="182" t="s">
        <v>37</v>
      </c>
      <c r="E206" s="187" t="s">
        <v>12</v>
      </c>
      <c r="F206" s="182" t="s">
        <v>373</v>
      </c>
      <c r="G206" s="145">
        <v>728</v>
      </c>
      <c r="H206" s="262" t="s">
        <v>13</v>
      </c>
      <c r="I206" s="263" t="s">
        <v>38</v>
      </c>
      <c r="J206" s="280" t="s">
        <v>569</v>
      </c>
      <c r="K206" s="314" t="s">
        <v>513</v>
      </c>
      <c r="L206" s="241">
        <v>44227</v>
      </c>
    </row>
    <row r="207" spans="1:12" ht="57" x14ac:dyDescent="0.45">
      <c r="A207" s="315"/>
      <c r="B207" s="282"/>
      <c r="C207" s="187" t="s">
        <v>10</v>
      </c>
      <c r="D207" s="182" t="s">
        <v>37</v>
      </c>
      <c r="E207" s="187" t="s">
        <v>12</v>
      </c>
      <c r="F207" s="182" t="s">
        <v>369</v>
      </c>
      <c r="G207" s="145">
        <v>-269.19883299999998</v>
      </c>
      <c r="H207" s="262"/>
      <c r="I207" s="263"/>
      <c r="J207" s="280"/>
      <c r="K207" s="314"/>
      <c r="L207" s="261"/>
    </row>
    <row r="208" spans="1:12" ht="57" x14ac:dyDescent="0.45">
      <c r="A208" s="315"/>
      <c r="B208" s="282"/>
      <c r="C208" s="187" t="s">
        <v>10</v>
      </c>
      <c r="D208" s="187" t="s">
        <v>91</v>
      </c>
      <c r="E208" s="187" t="s">
        <v>12</v>
      </c>
      <c r="F208" s="182" t="s">
        <v>369</v>
      </c>
      <c r="G208" s="145">
        <v>5</v>
      </c>
      <c r="H208" s="283" t="s">
        <v>13</v>
      </c>
      <c r="I208" s="286" t="s">
        <v>92</v>
      </c>
      <c r="J208" s="281" t="s">
        <v>21</v>
      </c>
      <c r="K208" s="272" t="s">
        <v>470</v>
      </c>
      <c r="L208" s="241">
        <v>44251</v>
      </c>
    </row>
    <row r="209" spans="1:14" x14ac:dyDescent="0.45">
      <c r="A209" s="315"/>
      <c r="B209" s="282"/>
      <c r="C209" s="187" t="s">
        <v>10</v>
      </c>
      <c r="D209" s="187" t="s">
        <v>240</v>
      </c>
      <c r="E209" s="187" t="s">
        <v>18</v>
      </c>
      <c r="F209" s="182" t="s">
        <v>115</v>
      </c>
      <c r="G209" s="145">
        <v>4.2</v>
      </c>
      <c r="H209" s="284"/>
      <c r="I209" s="287"/>
      <c r="J209" s="282"/>
      <c r="K209" s="273"/>
      <c r="L209" s="260"/>
    </row>
    <row r="210" spans="1:14" s="56" customFormat="1" ht="57" x14ac:dyDescent="0.45">
      <c r="A210" s="315"/>
      <c r="B210" s="282"/>
      <c r="C210" s="187" t="s">
        <v>430</v>
      </c>
      <c r="D210" s="187" t="s">
        <v>240</v>
      </c>
      <c r="E210" s="187" t="s">
        <v>12</v>
      </c>
      <c r="F210" s="182" t="s">
        <v>369</v>
      </c>
      <c r="G210" s="145">
        <v>-3.2822070000000001</v>
      </c>
      <c r="H210" s="284"/>
      <c r="I210" s="287"/>
      <c r="J210" s="282"/>
      <c r="K210" s="273"/>
      <c r="L210" s="260"/>
    </row>
    <row r="211" spans="1:14" s="56" customFormat="1" x14ac:dyDescent="0.45">
      <c r="A211" s="315"/>
      <c r="B211" s="282"/>
      <c r="C211" s="187" t="s">
        <v>430</v>
      </c>
      <c r="D211" s="187" t="s">
        <v>240</v>
      </c>
      <c r="E211" s="187" t="s">
        <v>18</v>
      </c>
      <c r="F211" s="182" t="s">
        <v>115</v>
      </c>
      <c r="G211" s="145">
        <v>3.2822070000000001</v>
      </c>
      <c r="H211" s="285"/>
      <c r="I211" s="288"/>
      <c r="J211" s="277"/>
      <c r="K211" s="274"/>
      <c r="L211" s="261"/>
    </row>
    <row r="212" spans="1:14" x14ac:dyDescent="0.45">
      <c r="A212" s="315"/>
      <c r="B212" s="282"/>
      <c r="C212" s="187" t="s">
        <v>10</v>
      </c>
      <c r="D212" s="182" t="s">
        <v>177</v>
      </c>
      <c r="E212" s="187" t="s">
        <v>18</v>
      </c>
      <c r="F212" s="182" t="s">
        <v>115</v>
      </c>
      <c r="G212" s="145">
        <v>1.5</v>
      </c>
      <c r="H212" s="283" t="s">
        <v>13</v>
      </c>
      <c r="I212" s="286" t="s">
        <v>188</v>
      </c>
      <c r="J212" s="269" t="s">
        <v>569</v>
      </c>
      <c r="K212" s="290" t="s">
        <v>568</v>
      </c>
      <c r="L212" s="241">
        <v>44227</v>
      </c>
    </row>
    <row r="213" spans="1:14" ht="57" x14ac:dyDescent="0.45">
      <c r="A213" s="315"/>
      <c r="B213" s="282"/>
      <c r="C213" s="187" t="s">
        <v>10</v>
      </c>
      <c r="D213" s="182" t="s">
        <v>177</v>
      </c>
      <c r="E213" s="187" t="s">
        <v>12</v>
      </c>
      <c r="F213" s="182" t="s">
        <v>369</v>
      </c>
      <c r="G213" s="145">
        <v>2.5</v>
      </c>
      <c r="H213" s="284"/>
      <c r="I213" s="287"/>
      <c r="J213" s="270"/>
      <c r="K213" s="291"/>
      <c r="L213" s="260"/>
    </row>
    <row r="214" spans="1:14" s="56" customFormat="1" ht="57" x14ac:dyDescent="0.45">
      <c r="A214" s="315"/>
      <c r="B214" s="282"/>
      <c r="C214" s="187" t="s">
        <v>430</v>
      </c>
      <c r="D214" s="182" t="s">
        <v>177</v>
      </c>
      <c r="E214" s="187" t="s">
        <v>12</v>
      </c>
      <c r="F214" s="182" t="s">
        <v>369</v>
      </c>
      <c r="G214" s="145">
        <v>-1.3882749999999999</v>
      </c>
      <c r="H214" s="284"/>
      <c r="I214" s="287"/>
      <c r="J214" s="270"/>
      <c r="K214" s="291"/>
      <c r="L214" s="260"/>
    </row>
    <row r="215" spans="1:14" s="56" customFormat="1" x14ac:dyDescent="0.45">
      <c r="A215" s="315"/>
      <c r="B215" s="282"/>
      <c r="C215" s="187" t="s">
        <v>430</v>
      </c>
      <c r="D215" s="182" t="s">
        <v>177</v>
      </c>
      <c r="E215" s="187" t="s">
        <v>18</v>
      </c>
      <c r="F215" s="182" t="s">
        <v>115</v>
      </c>
      <c r="G215" s="145">
        <v>1.3882749999999999</v>
      </c>
      <c r="H215" s="285"/>
      <c r="I215" s="288"/>
      <c r="J215" s="271"/>
      <c r="K215" s="292"/>
      <c r="L215" s="261"/>
    </row>
    <row r="216" spans="1:14" ht="57" x14ac:dyDescent="0.45">
      <c r="A216" s="315"/>
      <c r="B216" s="282"/>
      <c r="C216" s="187" t="s">
        <v>10</v>
      </c>
      <c r="D216" s="187" t="s">
        <v>11</v>
      </c>
      <c r="E216" s="187" t="s">
        <v>12</v>
      </c>
      <c r="F216" s="182" t="s">
        <v>369</v>
      </c>
      <c r="G216" s="145">
        <v>87.5</v>
      </c>
      <c r="H216" s="187" t="s">
        <v>13</v>
      </c>
      <c r="I216" s="188" t="s">
        <v>14</v>
      </c>
      <c r="J216" s="220" t="s">
        <v>569</v>
      </c>
      <c r="K216" s="214" t="s">
        <v>575</v>
      </c>
      <c r="L216" s="202">
        <v>44227</v>
      </c>
    </row>
    <row r="217" spans="1:14" ht="57" x14ac:dyDescent="0.45">
      <c r="A217" s="315"/>
      <c r="B217" s="282"/>
      <c r="C217" s="187" t="s">
        <v>10</v>
      </c>
      <c r="D217" s="187" t="s">
        <v>201</v>
      </c>
      <c r="E217" s="187" t="s">
        <v>12</v>
      </c>
      <c r="F217" s="182" t="s">
        <v>369</v>
      </c>
      <c r="G217" s="145">
        <v>15</v>
      </c>
      <c r="H217" s="187" t="s">
        <v>13</v>
      </c>
      <c r="I217" s="188" t="s">
        <v>134</v>
      </c>
      <c r="J217" s="220" t="s">
        <v>569</v>
      </c>
      <c r="K217" s="214" t="s">
        <v>594</v>
      </c>
      <c r="L217" s="202">
        <v>44227</v>
      </c>
    </row>
    <row r="218" spans="1:14" ht="57" x14ac:dyDescent="0.45">
      <c r="A218" s="315"/>
      <c r="B218" s="282"/>
      <c r="C218" s="187" t="s">
        <v>10</v>
      </c>
      <c r="D218" s="187" t="s">
        <v>241</v>
      </c>
      <c r="E218" s="187" t="s">
        <v>12</v>
      </c>
      <c r="F218" s="182" t="s">
        <v>369</v>
      </c>
      <c r="G218" s="145">
        <v>90.021000000000001</v>
      </c>
      <c r="H218" s="262" t="s">
        <v>13</v>
      </c>
      <c r="I218" s="263" t="s">
        <v>40</v>
      </c>
      <c r="J218" s="280" t="s">
        <v>569</v>
      </c>
      <c r="K218" s="314" t="s">
        <v>492</v>
      </c>
      <c r="L218" s="275">
        <v>44227</v>
      </c>
    </row>
    <row r="219" spans="1:14" x14ac:dyDescent="0.45">
      <c r="A219" s="315"/>
      <c r="B219" s="282"/>
      <c r="C219" s="187" t="s">
        <v>10</v>
      </c>
      <c r="D219" s="187" t="s">
        <v>241</v>
      </c>
      <c r="E219" s="187" t="s">
        <v>18</v>
      </c>
      <c r="F219" s="182" t="s">
        <v>115</v>
      </c>
      <c r="G219" s="145">
        <v>15.879</v>
      </c>
      <c r="H219" s="262"/>
      <c r="I219" s="263"/>
      <c r="J219" s="280"/>
      <c r="K219" s="314"/>
      <c r="L219" s="276"/>
    </row>
    <row r="220" spans="1:14" ht="57" x14ac:dyDescent="0.45">
      <c r="A220" s="315"/>
      <c r="B220" s="282"/>
      <c r="C220" s="187" t="s">
        <v>10</v>
      </c>
      <c r="D220" s="187" t="s">
        <v>68</v>
      </c>
      <c r="E220" s="187" t="s">
        <v>12</v>
      </c>
      <c r="F220" s="182" t="s">
        <v>369</v>
      </c>
      <c r="G220" s="145">
        <v>26.923988000000001</v>
      </c>
      <c r="H220" s="283" t="s">
        <v>13</v>
      </c>
      <c r="I220" s="286" t="s">
        <v>164</v>
      </c>
      <c r="J220" s="269" t="s">
        <v>569</v>
      </c>
      <c r="K220" s="272" t="s">
        <v>556</v>
      </c>
      <c r="L220" s="241">
        <v>44227</v>
      </c>
      <c r="N220" s="96"/>
    </row>
    <row r="221" spans="1:14" x14ac:dyDescent="0.45">
      <c r="A221" s="315"/>
      <c r="B221" s="282"/>
      <c r="C221" s="187" t="s">
        <v>10</v>
      </c>
      <c r="D221" s="187" t="s">
        <v>68</v>
      </c>
      <c r="E221" s="187" t="s">
        <v>18</v>
      </c>
      <c r="F221" s="182" t="s">
        <v>115</v>
      </c>
      <c r="G221" s="145">
        <v>19.776012000000001</v>
      </c>
      <c r="H221" s="284"/>
      <c r="I221" s="287"/>
      <c r="J221" s="270"/>
      <c r="K221" s="273"/>
      <c r="L221" s="260"/>
    </row>
    <row r="222" spans="1:14" s="56" customFormat="1" ht="57" x14ac:dyDescent="0.45">
      <c r="A222" s="315"/>
      <c r="B222" s="282"/>
      <c r="C222" s="187" t="s">
        <v>430</v>
      </c>
      <c r="D222" s="187" t="s">
        <v>68</v>
      </c>
      <c r="E222" s="187" t="s">
        <v>12</v>
      </c>
      <c r="F222" s="182" t="s">
        <v>369</v>
      </c>
      <c r="G222" s="145">
        <v>-9.4615969999999994</v>
      </c>
      <c r="H222" s="284"/>
      <c r="I222" s="287"/>
      <c r="J222" s="270"/>
      <c r="K222" s="273"/>
      <c r="L222" s="260"/>
    </row>
    <row r="223" spans="1:14" s="56" customFormat="1" x14ac:dyDescent="0.45">
      <c r="A223" s="315"/>
      <c r="B223" s="282"/>
      <c r="C223" s="187" t="s">
        <v>430</v>
      </c>
      <c r="D223" s="187" t="s">
        <v>68</v>
      </c>
      <c r="E223" s="187" t="s">
        <v>18</v>
      </c>
      <c r="F223" s="182" t="s">
        <v>115</v>
      </c>
      <c r="G223" s="145">
        <f>0.2+9.261597</f>
        <v>9.4615969999999994</v>
      </c>
      <c r="H223" s="285"/>
      <c r="I223" s="288"/>
      <c r="J223" s="271"/>
      <c r="K223" s="274"/>
      <c r="L223" s="261"/>
    </row>
    <row r="224" spans="1:14" ht="57" x14ac:dyDescent="0.45">
      <c r="A224" s="315"/>
      <c r="B224" s="282"/>
      <c r="C224" s="187" t="s">
        <v>10</v>
      </c>
      <c r="D224" s="187" t="s">
        <v>242</v>
      </c>
      <c r="E224" s="187" t="s">
        <v>12</v>
      </c>
      <c r="F224" s="182" t="s">
        <v>369</v>
      </c>
      <c r="G224" s="145">
        <v>14.522803</v>
      </c>
      <c r="H224" s="262" t="s">
        <v>13</v>
      </c>
      <c r="I224" s="263" t="s">
        <v>243</v>
      </c>
      <c r="J224" s="280" t="s">
        <v>569</v>
      </c>
      <c r="K224" s="265" t="s">
        <v>499</v>
      </c>
      <c r="L224" s="275">
        <v>44227</v>
      </c>
    </row>
    <row r="225" spans="1:12" x14ac:dyDescent="0.45">
      <c r="A225" s="315"/>
      <c r="B225" s="282"/>
      <c r="C225" s="187" t="s">
        <v>10</v>
      </c>
      <c r="D225" s="187" t="s">
        <v>242</v>
      </c>
      <c r="E225" s="187" t="s">
        <v>18</v>
      </c>
      <c r="F225" s="182" t="s">
        <v>115</v>
      </c>
      <c r="G225" s="145">
        <f>0.726319+0.444197</f>
        <v>1.1705160000000001</v>
      </c>
      <c r="H225" s="262"/>
      <c r="I225" s="263"/>
      <c r="J225" s="280"/>
      <c r="K225" s="265"/>
      <c r="L225" s="276"/>
    </row>
    <row r="226" spans="1:12" ht="57" x14ac:dyDescent="0.45">
      <c r="A226" s="315"/>
      <c r="B226" s="282"/>
      <c r="C226" s="187" t="s">
        <v>10</v>
      </c>
      <c r="D226" s="187" t="s">
        <v>244</v>
      </c>
      <c r="E226" s="187" t="s">
        <v>12</v>
      </c>
      <c r="F226" s="182" t="s">
        <v>369</v>
      </c>
      <c r="G226" s="145">
        <v>11.338509999999999</v>
      </c>
      <c r="H226" s="262" t="s">
        <v>13</v>
      </c>
      <c r="I226" s="263" t="s">
        <v>245</v>
      </c>
      <c r="J226" s="280" t="s">
        <v>569</v>
      </c>
      <c r="K226" s="265" t="s">
        <v>519</v>
      </c>
      <c r="L226" s="275">
        <v>44227</v>
      </c>
    </row>
    <row r="227" spans="1:12" x14ac:dyDescent="0.45">
      <c r="A227" s="315"/>
      <c r="B227" s="282"/>
      <c r="C227" s="187" t="s">
        <v>10</v>
      </c>
      <c r="D227" s="187" t="s">
        <v>244</v>
      </c>
      <c r="E227" s="187" t="s">
        <v>18</v>
      </c>
      <c r="F227" s="182" t="s">
        <v>115</v>
      </c>
      <c r="G227" s="166">
        <v>5.0575000000000002E-2</v>
      </c>
      <c r="H227" s="262"/>
      <c r="I227" s="263"/>
      <c r="J227" s="280"/>
      <c r="K227" s="265"/>
      <c r="L227" s="276"/>
    </row>
    <row r="228" spans="1:12" ht="57" x14ac:dyDescent="0.45">
      <c r="A228" s="315"/>
      <c r="B228" s="282"/>
      <c r="C228" s="187" t="s">
        <v>10</v>
      </c>
      <c r="D228" s="187" t="s">
        <v>72</v>
      </c>
      <c r="E228" s="187" t="s">
        <v>12</v>
      </c>
      <c r="F228" s="182" t="s">
        <v>369</v>
      </c>
      <c r="G228" s="145">
        <v>9</v>
      </c>
      <c r="H228" s="262" t="s">
        <v>13</v>
      </c>
      <c r="I228" s="263" t="s">
        <v>77</v>
      </c>
      <c r="J228" s="280" t="s">
        <v>569</v>
      </c>
      <c r="K228" s="314" t="s">
        <v>552</v>
      </c>
      <c r="L228" s="275">
        <v>44227</v>
      </c>
    </row>
    <row r="229" spans="1:12" x14ac:dyDescent="0.45">
      <c r="A229" s="315"/>
      <c r="B229" s="282"/>
      <c r="C229" s="187" t="s">
        <v>10</v>
      </c>
      <c r="D229" s="187" t="s">
        <v>72</v>
      </c>
      <c r="E229" s="187" t="s">
        <v>18</v>
      </c>
      <c r="F229" s="182" t="s">
        <v>115</v>
      </c>
      <c r="G229" s="145">
        <v>6</v>
      </c>
      <c r="H229" s="262"/>
      <c r="I229" s="263"/>
      <c r="J229" s="280"/>
      <c r="K229" s="314"/>
      <c r="L229" s="276"/>
    </row>
    <row r="230" spans="1:12" ht="57" x14ac:dyDescent="0.45">
      <c r="A230" s="315"/>
      <c r="B230" s="282"/>
      <c r="C230" s="187" t="s">
        <v>10</v>
      </c>
      <c r="D230" s="182" t="s">
        <v>246</v>
      </c>
      <c r="E230" s="187" t="s">
        <v>12</v>
      </c>
      <c r="F230" s="182" t="s">
        <v>369</v>
      </c>
      <c r="G230" s="145">
        <v>153.4</v>
      </c>
      <c r="H230" s="187" t="s">
        <v>13</v>
      </c>
      <c r="I230" s="188" t="s">
        <v>227</v>
      </c>
      <c r="J230" s="220" t="s">
        <v>569</v>
      </c>
      <c r="K230" s="214" t="s">
        <v>555</v>
      </c>
      <c r="L230" s="202">
        <v>44227</v>
      </c>
    </row>
    <row r="231" spans="1:12" ht="57" x14ac:dyDescent="0.45">
      <c r="A231" s="315"/>
      <c r="B231" s="282"/>
      <c r="C231" s="187" t="s">
        <v>10</v>
      </c>
      <c r="D231" s="187" t="s">
        <v>93</v>
      </c>
      <c r="E231" s="187" t="s">
        <v>12</v>
      </c>
      <c r="F231" s="182" t="s">
        <v>369</v>
      </c>
      <c r="G231" s="168">
        <v>1.6E-2</v>
      </c>
      <c r="H231" s="187" t="s">
        <v>13</v>
      </c>
      <c r="I231" s="188" t="s">
        <v>94</v>
      </c>
      <c r="J231" s="182" t="s">
        <v>21</v>
      </c>
      <c r="K231" s="214" t="s">
        <v>399</v>
      </c>
      <c r="L231" s="202">
        <v>44255</v>
      </c>
    </row>
    <row r="232" spans="1:12" ht="57" x14ac:dyDescent="0.45">
      <c r="A232" s="315"/>
      <c r="B232" s="277"/>
      <c r="C232" s="187" t="s">
        <v>10</v>
      </c>
      <c r="D232" s="182" t="s">
        <v>226</v>
      </c>
      <c r="E232" s="187" t="s">
        <v>12</v>
      </c>
      <c r="F232" s="182" t="s">
        <v>369</v>
      </c>
      <c r="G232" s="145">
        <v>50.7</v>
      </c>
      <c r="H232" s="187" t="s">
        <v>13</v>
      </c>
      <c r="I232" s="188" t="s">
        <v>227</v>
      </c>
      <c r="J232" s="220" t="s">
        <v>569</v>
      </c>
      <c r="K232" s="214" t="s">
        <v>559</v>
      </c>
      <c r="L232" s="202">
        <v>44227</v>
      </c>
    </row>
    <row r="233" spans="1:12" ht="42.75" x14ac:dyDescent="0.45">
      <c r="A233" s="201" t="s">
        <v>389</v>
      </c>
      <c r="B233" s="83">
        <v>369</v>
      </c>
      <c r="C233" s="187" t="s">
        <v>44</v>
      </c>
      <c r="D233" s="182" t="s">
        <v>37</v>
      </c>
      <c r="E233" s="187" t="s">
        <v>115</v>
      </c>
      <c r="F233" s="182" t="s">
        <v>367</v>
      </c>
      <c r="G233" s="145" t="s">
        <v>115</v>
      </c>
      <c r="H233" s="187" t="s">
        <v>13</v>
      </c>
      <c r="I233" s="188" t="s">
        <v>38</v>
      </c>
      <c r="J233" s="237" t="s">
        <v>569</v>
      </c>
      <c r="K233" s="214" t="s">
        <v>593</v>
      </c>
      <c r="L233" s="236">
        <v>44227</v>
      </c>
    </row>
    <row r="234" spans="1:12" ht="42.75" x14ac:dyDescent="0.45">
      <c r="A234" s="201" t="s">
        <v>247</v>
      </c>
      <c r="B234" s="94">
        <v>1019</v>
      </c>
      <c r="C234" s="187" t="s">
        <v>44</v>
      </c>
      <c r="D234" s="182" t="s">
        <v>37</v>
      </c>
      <c r="E234" s="187" t="s">
        <v>115</v>
      </c>
      <c r="F234" s="182" t="s">
        <v>367</v>
      </c>
      <c r="G234" s="145" t="s">
        <v>115</v>
      </c>
      <c r="H234" s="187" t="s">
        <v>13</v>
      </c>
      <c r="I234" s="188" t="s">
        <v>38</v>
      </c>
      <c r="J234" s="237" t="s">
        <v>569</v>
      </c>
      <c r="K234" s="214" t="s">
        <v>595</v>
      </c>
      <c r="L234" s="236">
        <v>44227</v>
      </c>
    </row>
    <row r="235" spans="1:12" ht="28.5" x14ac:dyDescent="0.45">
      <c r="A235" s="315" t="s">
        <v>248</v>
      </c>
      <c r="B235" s="281">
        <v>900</v>
      </c>
      <c r="C235" s="187" t="s">
        <v>28</v>
      </c>
      <c r="D235" s="182" t="s">
        <v>37</v>
      </c>
      <c r="E235" s="187" t="s">
        <v>12</v>
      </c>
      <c r="F235" s="182" t="s">
        <v>367</v>
      </c>
      <c r="G235" s="153">
        <v>912</v>
      </c>
      <c r="H235" s="283" t="s">
        <v>87</v>
      </c>
      <c r="I235" s="283"/>
      <c r="J235" s="281"/>
      <c r="K235" s="286"/>
      <c r="L235" s="333"/>
    </row>
    <row r="236" spans="1:12" ht="28.5" x14ac:dyDescent="0.45">
      <c r="A236" s="315"/>
      <c r="B236" s="277"/>
      <c r="C236" s="187" t="s">
        <v>10</v>
      </c>
      <c r="D236" s="182" t="s">
        <v>37</v>
      </c>
      <c r="E236" s="187" t="s">
        <v>12</v>
      </c>
      <c r="F236" s="182" t="s">
        <v>367</v>
      </c>
      <c r="G236" s="145">
        <v>-912</v>
      </c>
      <c r="H236" s="285"/>
      <c r="I236" s="285"/>
      <c r="J236" s="277"/>
      <c r="K236" s="288"/>
      <c r="L236" s="243"/>
    </row>
    <row r="237" spans="1:12" ht="28.5" x14ac:dyDescent="0.45">
      <c r="A237" s="315" t="s">
        <v>249</v>
      </c>
      <c r="B237" s="281">
        <v>270</v>
      </c>
      <c r="C237" s="187" t="s">
        <v>28</v>
      </c>
      <c r="D237" s="182" t="s">
        <v>35</v>
      </c>
      <c r="E237" s="187" t="s">
        <v>12</v>
      </c>
      <c r="F237" s="182" t="s">
        <v>367</v>
      </c>
      <c r="G237" s="145">
        <v>269.98689999999999</v>
      </c>
      <c r="H237" s="262" t="s">
        <v>13</v>
      </c>
      <c r="I237" s="263" t="s">
        <v>40</v>
      </c>
      <c r="J237" s="280" t="s">
        <v>569</v>
      </c>
      <c r="K237" s="314" t="s">
        <v>493</v>
      </c>
      <c r="L237" s="275">
        <v>44227</v>
      </c>
    </row>
    <row r="238" spans="1:12" ht="28.5" x14ac:dyDescent="0.45">
      <c r="A238" s="315"/>
      <c r="B238" s="282"/>
      <c r="C238" s="187" t="s">
        <v>10</v>
      </c>
      <c r="D238" s="182" t="s">
        <v>35</v>
      </c>
      <c r="E238" s="187" t="s">
        <v>12</v>
      </c>
      <c r="F238" s="182" t="s">
        <v>367</v>
      </c>
      <c r="G238" s="145">
        <v>-7.2362219999999997</v>
      </c>
      <c r="H238" s="262"/>
      <c r="I238" s="263"/>
      <c r="J238" s="280"/>
      <c r="K238" s="314"/>
      <c r="L238" s="276"/>
    </row>
    <row r="239" spans="1:12" s="56" customFormat="1" x14ac:dyDescent="0.45">
      <c r="A239" s="315"/>
      <c r="B239" s="282"/>
      <c r="C239" s="187" t="s">
        <v>10</v>
      </c>
      <c r="D239" s="182" t="s">
        <v>35</v>
      </c>
      <c r="E239" s="187" t="s">
        <v>18</v>
      </c>
      <c r="F239" s="182" t="s">
        <v>115</v>
      </c>
      <c r="G239" s="145">
        <v>7.2362219999999997</v>
      </c>
      <c r="H239" s="262"/>
      <c r="I239" s="263"/>
      <c r="J239" s="280"/>
      <c r="K239" s="314"/>
      <c r="L239" s="276"/>
    </row>
    <row r="240" spans="1:12" s="56" customFormat="1" ht="28.5" x14ac:dyDescent="0.45">
      <c r="A240" s="315"/>
      <c r="B240" s="282"/>
      <c r="C240" s="187" t="s">
        <v>430</v>
      </c>
      <c r="D240" s="182" t="s">
        <v>35</v>
      </c>
      <c r="E240" s="187" t="s">
        <v>12</v>
      </c>
      <c r="F240" s="182" t="s">
        <v>367</v>
      </c>
      <c r="G240" s="145">
        <v>-2.5944470000000002</v>
      </c>
      <c r="H240" s="262"/>
      <c r="I240" s="263"/>
      <c r="J240" s="280"/>
      <c r="K240" s="314"/>
      <c r="L240" s="276"/>
    </row>
    <row r="241" spans="1:12" x14ac:dyDescent="0.45">
      <c r="A241" s="315"/>
      <c r="B241" s="277"/>
      <c r="C241" s="190" t="s">
        <v>430</v>
      </c>
      <c r="D241" s="182" t="s">
        <v>35</v>
      </c>
      <c r="E241" s="190" t="s">
        <v>18</v>
      </c>
      <c r="F241" s="198" t="s">
        <v>115</v>
      </c>
      <c r="G241" s="154">
        <f>0.397689+2.104984</f>
        <v>2.5026730000000001</v>
      </c>
      <c r="H241" s="262"/>
      <c r="I241" s="263"/>
      <c r="J241" s="280"/>
      <c r="K241" s="314"/>
      <c r="L241" s="276"/>
    </row>
    <row r="242" spans="1:12" ht="57" x14ac:dyDescent="0.45">
      <c r="A242" s="315" t="s">
        <v>250</v>
      </c>
      <c r="B242" s="281">
        <v>8</v>
      </c>
      <c r="C242" s="187" t="s">
        <v>28</v>
      </c>
      <c r="D242" s="182" t="s">
        <v>19</v>
      </c>
      <c r="E242" s="187" t="s">
        <v>12</v>
      </c>
      <c r="F242" s="182" t="s">
        <v>369</v>
      </c>
      <c r="G242" s="145">
        <v>7.5</v>
      </c>
      <c r="H242" s="262" t="s">
        <v>13</v>
      </c>
      <c r="I242" s="263" t="s">
        <v>82</v>
      </c>
      <c r="J242" s="264" t="s">
        <v>21</v>
      </c>
      <c r="K242" s="314" t="s">
        <v>395</v>
      </c>
      <c r="L242" s="275">
        <v>44255</v>
      </c>
    </row>
    <row r="243" spans="1:12" ht="57" x14ac:dyDescent="0.45">
      <c r="A243" s="315"/>
      <c r="B243" s="282"/>
      <c r="C243" s="187" t="s">
        <v>10</v>
      </c>
      <c r="D243" s="182" t="s">
        <v>19</v>
      </c>
      <c r="E243" s="187" t="s">
        <v>12</v>
      </c>
      <c r="F243" s="182" t="s">
        <v>369</v>
      </c>
      <c r="G243" s="145">
        <v>-3.299229</v>
      </c>
      <c r="H243" s="262"/>
      <c r="I243" s="263"/>
      <c r="J243" s="264"/>
      <c r="K243" s="314"/>
      <c r="L243" s="276"/>
    </row>
    <row r="244" spans="1:12" x14ac:dyDescent="0.45">
      <c r="A244" s="315"/>
      <c r="B244" s="277"/>
      <c r="C244" s="187" t="s">
        <v>10</v>
      </c>
      <c r="D244" s="182" t="s">
        <v>19</v>
      </c>
      <c r="E244" s="187" t="s">
        <v>18</v>
      </c>
      <c r="F244" s="182" t="s">
        <v>115</v>
      </c>
      <c r="G244" s="145">
        <v>3.299229</v>
      </c>
      <c r="H244" s="262"/>
      <c r="I244" s="263"/>
      <c r="J244" s="264"/>
      <c r="K244" s="314"/>
      <c r="L244" s="276"/>
    </row>
    <row r="245" spans="1:12" ht="57" x14ac:dyDescent="0.45">
      <c r="A245" s="201" t="s">
        <v>251</v>
      </c>
      <c r="B245" s="83">
        <v>20</v>
      </c>
      <c r="C245" s="187" t="s">
        <v>28</v>
      </c>
      <c r="D245" s="182" t="s">
        <v>37</v>
      </c>
      <c r="E245" s="187" t="s">
        <v>12</v>
      </c>
      <c r="F245" s="182" t="s">
        <v>369</v>
      </c>
      <c r="G245" s="145">
        <v>20</v>
      </c>
      <c r="H245" s="187" t="s">
        <v>462</v>
      </c>
      <c r="I245" s="187" t="s">
        <v>115</v>
      </c>
      <c r="J245" s="220" t="s">
        <v>569</v>
      </c>
      <c r="K245" s="205" t="s">
        <v>514</v>
      </c>
      <c r="L245" s="202">
        <v>44227</v>
      </c>
    </row>
    <row r="246" spans="1:12" ht="28.5" x14ac:dyDescent="0.45">
      <c r="A246" s="201" t="s">
        <v>253</v>
      </c>
      <c r="B246" s="83">
        <v>365</v>
      </c>
      <c r="C246" s="187" t="s">
        <v>44</v>
      </c>
      <c r="D246" s="187" t="s">
        <v>145</v>
      </c>
      <c r="E246" s="187" t="s">
        <v>115</v>
      </c>
      <c r="F246" s="182" t="s">
        <v>367</v>
      </c>
      <c r="G246" s="145" t="s">
        <v>115</v>
      </c>
      <c r="H246" s="187" t="s">
        <v>13</v>
      </c>
      <c r="I246" s="188" t="s">
        <v>167</v>
      </c>
      <c r="J246" s="182" t="s">
        <v>21</v>
      </c>
      <c r="K246" s="214" t="s">
        <v>130</v>
      </c>
      <c r="L246" s="203"/>
    </row>
    <row r="247" spans="1:12" ht="42.75" x14ac:dyDescent="0.45">
      <c r="A247" s="201" t="s">
        <v>254</v>
      </c>
      <c r="B247" s="83">
        <v>20</v>
      </c>
      <c r="C247" s="187" t="s">
        <v>10</v>
      </c>
      <c r="D247" s="182" t="s">
        <v>255</v>
      </c>
      <c r="E247" s="187" t="s">
        <v>12</v>
      </c>
      <c r="F247" s="182" t="s">
        <v>371</v>
      </c>
      <c r="G247" s="145">
        <v>20</v>
      </c>
      <c r="H247" s="187" t="s">
        <v>13</v>
      </c>
      <c r="I247" s="188" t="s">
        <v>256</v>
      </c>
      <c r="J247" s="220" t="s">
        <v>569</v>
      </c>
      <c r="K247" s="205" t="s">
        <v>424</v>
      </c>
      <c r="L247" s="202">
        <v>44227</v>
      </c>
    </row>
    <row r="248" spans="1:12" ht="57" x14ac:dyDescent="0.45">
      <c r="A248" s="201" t="s">
        <v>257</v>
      </c>
      <c r="B248" s="197">
        <v>350</v>
      </c>
      <c r="C248" s="187" t="s">
        <v>28</v>
      </c>
      <c r="D248" s="182" t="s">
        <v>37</v>
      </c>
      <c r="E248" s="187" t="s">
        <v>12</v>
      </c>
      <c r="F248" s="182" t="s">
        <v>369</v>
      </c>
      <c r="G248" s="177">
        <v>350</v>
      </c>
      <c r="H248" s="187" t="s">
        <v>462</v>
      </c>
      <c r="I248" s="176" t="s">
        <v>115</v>
      </c>
      <c r="J248" s="220" t="s">
        <v>569</v>
      </c>
      <c r="K248" s="215" t="s">
        <v>515</v>
      </c>
      <c r="L248" s="204">
        <v>44227</v>
      </c>
    </row>
    <row r="249" spans="1:12" ht="28.5" x14ac:dyDescent="0.45">
      <c r="A249" s="244" t="s">
        <v>258</v>
      </c>
      <c r="B249" s="281">
        <f>75+100</f>
        <v>175</v>
      </c>
      <c r="C249" s="187" t="s">
        <v>28</v>
      </c>
      <c r="D249" s="182" t="s">
        <v>91</v>
      </c>
      <c r="E249" s="187" t="s">
        <v>12</v>
      </c>
      <c r="F249" s="182" t="s">
        <v>367</v>
      </c>
      <c r="G249" s="145">
        <v>75</v>
      </c>
      <c r="H249" s="283" t="s">
        <v>13</v>
      </c>
      <c r="I249" s="286" t="s">
        <v>92</v>
      </c>
      <c r="J249" s="281" t="s">
        <v>21</v>
      </c>
      <c r="K249" s="272" t="s">
        <v>468</v>
      </c>
      <c r="L249" s="241">
        <v>44251</v>
      </c>
    </row>
    <row r="250" spans="1:12" x14ac:dyDescent="0.45">
      <c r="A250" s="245"/>
      <c r="B250" s="282"/>
      <c r="C250" s="187" t="s">
        <v>10</v>
      </c>
      <c r="D250" s="182" t="s">
        <v>240</v>
      </c>
      <c r="E250" s="187" t="s">
        <v>18</v>
      </c>
      <c r="F250" s="182" t="s">
        <v>115</v>
      </c>
      <c r="G250" s="145">
        <v>50</v>
      </c>
      <c r="H250" s="284"/>
      <c r="I250" s="287"/>
      <c r="J250" s="282"/>
      <c r="K250" s="273"/>
      <c r="L250" s="260"/>
    </row>
    <row r="251" spans="1:12" ht="28.5" x14ac:dyDescent="0.45">
      <c r="A251" s="245"/>
      <c r="B251" s="282"/>
      <c r="C251" s="187" t="s">
        <v>10</v>
      </c>
      <c r="D251" s="182" t="s">
        <v>240</v>
      </c>
      <c r="E251" s="187" t="s">
        <v>12</v>
      </c>
      <c r="F251" s="182" t="s">
        <v>371</v>
      </c>
      <c r="G251" s="145">
        <v>50</v>
      </c>
      <c r="H251" s="284"/>
      <c r="I251" s="287"/>
      <c r="J251" s="282"/>
      <c r="K251" s="273"/>
      <c r="L251" s="260"/>
    </row>
    <row r="252" spans="1:12" s="56" customFormat="1" x14ac:dyDescent="0.45">
      <c r="A252" s="245"/>
      <c r="B252" s="282"/>
      <c r="C252" s="187" t="s">
        <v>430</v>
      </c>
      <c r="D252" s="182" t="s">
        <v>240</v>
      </c>
      <c r="E252" s="187" t="s">
        <v>18</v>
      </c>
      <c r="F252" s="182" t="s">
        <v>115</v>
      </c>
      <c r="G252" s="145">
        <v>-30</v>
      </c>
      <c r="H252" s="285"/>
      <c r="I252" s="288"/>
      <c r="J252" s="277"/>
      <c r="K252" s="274"/>
      <c r="L252" s="261"/>
    </row>
    <row r="253" spans="1:12" s="56" customFormat="1" ht="42.75" x14ac:dyDescent="0.45">
      <c r="A253" s="246"/>
      <c r="B253" s="277"/>
      <c r="C253" s="187" t="s">
        <v>430</v>
      </c>
      <c r="D253" s="182" t="s">
        <v>35</v>
      </c>
      <c r="E253" s="187" t="s">
        <v>18</v>
      </c>
      <c r="F253" s="182" t="s">
        <v>115</v>
      </c>
      <c r="G253" s="145">
        <v>30</v>
      </c>
      <c r="H253" s="187" t="s">
        <v>13</v>
      </c>
      <c r="I253" s="188" t="s">
        <v>40</v>
      </c>
      <c r="J253" s="220" t="s">
        <v>569</v>
      </c>
      <c r="K253" s="215" t="s">
        <v>558</v>
      </c>
      <c r="L253" s="204">
        <v>44227</v>
      </c>
    </row>
    <row r="254" spans="1:12" ht="28.5" x14ac:dyDescent="0.45">
      <c r="A254" s="244" t="s">
        <v>259</v>
      </c>
      <c r="B254" s="281">
        <v>50</v>
      </c>
      <c r="C254" s="187" t="s">
        <v>10</v>
      </c>
      <c r="D254" s="187" t="s">
        <v>260</v>
      </c>
      <c r="E254" s="187" t="s">
        <v>12</v>
      </c>
      <c r="F254" s="182" t="s">
        <v>371</v>
      </c>
      <c r="G254" s="145">
        <v>50</v>
      </c>
      <c r="H254" s="283" t="s">
        <v>13</v>
      </c>
      <c r="I254" s="286" t="s">
        <v>261</v>
      </c>
      <c r="J254" s="283" t="s">
        <v>21</v>
      </c>
      <c r="K254" s="290" t="s">
        <v>473</v>
      </c>
      <c r="L254" s="241">
        <v>44245</v>
      </c>
    </row>
    <row r="255" spans="1:12" s="56" customFormat="1" ht="28.5" x14ac:dyDescent="0.45">
      <c r="A255" s="245"/>
      <c r="B255" s="282"/>
      <c r="C255" s="187" t="s">
        <v>430</v>
      </c>
      <c r="D255" s="187" t="s">
        <v>260</v>
      </c>
      <c r="E255" s="187" t="s">
        <v>12</v>
      </c>
      <c r="F255" s="182" t="s">
        <v>371</v>
      </c>
      <c r="G255" s="145">
        <v>-8.6999999999999993</v>
      </c>
      <c r="H255" s="284"/>
      <c r="I255" s="287"/>
      <c r="J255" s="284"/>
      <c r="K255" s="291"/>
      <c r="L255" s="260"/>
    </row>
    <row r="256" spans="1:12" s="56" customFormat="1" x14ac:dyDescent="0.45">
      <c r="A256" s="246"/>
      <c r="B256" s="277"/>
      <c r="C256" s="187" t="s">
        <v>430</v>
      </c>
      <c r="D256" s="187" t="s">
        <v>260</v>
      </c>
      <c r="E256" s="187" t="s">
        <v>18</v>
      </c>
      <c r="F256" s="182" t="s">
        <v>115</v>
      </c>
      <c r="G256" s="145">
        <v>8.6999999999999993</v>
      </c>
      <c r="H256" s="285"/>
      <c r="I256" s="288"/>
      <c r="J256" s="285"/>
      <c r="K256" s="292"/>
      <c r="L256" s="261"/>
    </row>
    <row r="257" spans="1:12" x14ac:dyDescent="0.45">
      <c r="A257" s="315" t="s">
        <v>262</v>
      </c>
      <c r="B257" s="281">
        <v>50</v>
      </c>
      <c r="C257" s="187" t="s">
        <v>28</v>
      </c>
      <c r="D257" s="182" t="s">
        <v>260</v>
      </c>
      <c r="E257" s="187" t="s">
        <v>18</v>
      </c>
      <c r="F257" s="182" t="s">
        <v>115</v>
      </c>
      <c r="G257" s="145">
        <v>10</v>
      </c>
      <c r="H257" s="262" t="s">
        <v>13</v>
      </c>
      <c r="I257" s="263" t="s">
        <v>261</v>
      </c>
      <c r="J257" s="264" t="s">
        <v>21</v>
      </c>
      <c r="K257" s="272" t="s">
        <v>472</v>
      </c>
      <c r="L257" s="241">
        <v>44245</v>
      </c>
    </row>
    <row r="258" spans="1:12" ht="28.5" x14ac:dyDescent="0.45">
      <c r="A258" s="315"/>
      <c r="B258" s="282"/>
      <c r="C258" s="187" t="s">
        <v>28</v>
      </c>
      <c r="D258" s="182" t="s">
        <v>260</v>
      </c>
      <c r="E258" s="187" t="s">
        <v>12</v>
      </c>
      <c r="F258" s="182" t="s">
        <v>367</v>
      </c>
      <c r="G258" s="145">
        <v>30</v>
      </c>
      <c r="H258" s="262"/>
      <c r="I258" s="263"/>
      <c r="J258" s="264"/>
      <c r="K258" s="274"/>
      <c r="L258" s="261"/>
    </row>
    <row r="259" spans="1:12" ht="42.75" x14ac:dyDescent="0.45">
      <c r="A259" s="315"/>
      <c r="B259" s="277"/>
      <c r="C259" s="187" t="s">
        <v>28</v>
      </c>
      <c r="D259" s="182" t="s">
        <v>35</v>
      </c>
      <c r="E259" s="187" t="s">
        <v>12</v>
      </c>
      <c r="F259" s="182" t="s">
        <v>367</v>
      </c>
      <c r="G259" s="145">
        <v>10</v>
      </c>
      <c r="H259" s="187" t="s">
        <v>13</v>
      </c>
      <c r="I259" s="188" t="s">
        <v>40</v>
      </c>
      <c r="J259" s="220" t="s">
        <v>569</v>
      </c>
      <c r="K259" s="214" t="s">
        <v>494</v>
      </c>
      <c r="L259" s="202">
        <v>44227</v>
      </c>
    </row>
    <row r="260" spans="1:12" ht="29.25" customHeight="1" x14ac:dyDescent="0.45">
      <c r="A260" s="201" t="s">
        <v>264</v>
      </c>
      <c r="B260" s="83">
        <v>5</v>
      </c>
      <c r="C260" s="187" t="s">
        <v>44</v>
      </c>
      <c r="D260" s="187" t="s">
        <v>35</v>
      </c>
      <c r="E260" s="187" t="s">
        <v>115</v>
      </c>
      <c r="F260" s="182" t="s">
        <v>115</v>
      </c>
      <c r="G260" s="145" t="s">
        <v>115</v>
      </c>
      <c r="H260" s="187" t="s">
        <v>13</v>
      </c>
      <c r="I260" s="188" t="s">
        <v>40</v>
      </c>
      <c r="J260" s="182" t="s">
        <v>223</v>
      </c>
      <c r="K260" s="214" t="s">
        <v>263</v>
      </c>
      <c r="L260" s="203"/>
    </row>
    <row r="261" spans="1:12" ht="42.75" x14ac:dyDescent="0.45">
      <c r="A261" s="201" t="s">
        <v>265</v>
      </c>
      <c r="B261" s="94">
        <v>1500</v>
      </c>
      <c r="C261" s="187" t="s">
        <v>10</v>
      </c>
      <c r="D261" s="182" t="s">
        <v>37</v>
      </c>
      <c r="E261" s="187" t="s">
        <v>12</v>
      </c>
      <c r="F261" s="182" t="s">
        <v>371</v>
      </c>
      <c r="G261" s="151">
        <v>1500</v>
      </c>
      <c r="H261" s="187" t="s">
        <v>13</v>
      </c>
      <c r="I261" s="188" t="s">
        <v>38</v>
      </c>
      <c r="J261" s="220" t="s">
        <v>569</v>
      </c>
      <c r="K261" s="205" t="s">
        <v>516</v>
      </c>
      <c r="L261" s="202">
        <v>44227</v>
      </c>
    </row>
    <row r="262" spans="1:12" x14ac:dyDescent="0.45">
      <c r="A262" s="244" t="s">
        <v>266</v>
      </c>
      <c r="B262" s="281">
        <v>758</v>
      </c>
      <c r="C262" s="187" t="s">
        <v>10</v>
      </c>
      <c r="D262" s="182" t="s">
        <v>177</v>
      </c>
      <c r="E262" s="187" t="s">
        <v>18</v>
      </c>
      <c r="F262" s="182" t="s">
        <v>115</v>
      </c>
      <c r="G262" s="151">
        <v>253.75</v>
      </c>
      <c r="H262" s="283" t="s">
        <v>13</v>
      </c>
      <c r="I262" s="286" t="s">
        <v>188</v>
      </c>
      <c r="J262" s="269" t="s">
        <v>569</v>
      </c>
      <c r="K262" s="272" t="s">
        <v>607</v>
      </c>
      <c r="L262" s="241">
        <v>44227</v>
      </c>
    </row>
    <row r="263" spans="1:12" ht="28.5" x14ac:dyDescent="0.45">
      <c r="A263" s="245"/>
      <c r="B263" s="282"/>
      <c r="C263" s="187" t="s">
        <v>10</v>
      </c>
      <c r="D263" s="182" t="s">
        <v>177</v>
      </c>
      <c r="E263" s="187" t="s">
        <v>12</v>
      </c>
      <c r="F263" s="182" t="s">
        <v>371</v>
      </c>
      <c r="G263" s="151">
        <v>503.75</v>
      </c>
      <c r="H263" s="284"/>
      <c r="I263" s="287"/>
      <c r="J263" s="270"/>
      <c r="K263" s="273"/>
      <c r="L263" s="260"/>
    </row>
    <row r="264" spans="1:12" s="56" customFormat="1" ht="28.5" x14ac:dyDescent="0.45">
      <c r="A264" s="245"/>
      <c r="B264" s="282"/>
      <c r="C264" s="187" t="s">
        <v>430</v>
      </c>
      <c r="D264" s="182" t="s">
        <v>177</v>
      </c>
      <c r="E264" s="187" t="s">
        <v>12</v>
      </c>
      <c r="F264" s="182" t="s">
        <v>371</v>
      </c>
      <c r="G264" s="151">
        <v>-3.4807480000000002</v>
      </c>
      <c r="H264" s="284"/>
      <c r="I264" s="287"/>
      <c r="J264" s="270"/>
      <c r="K264" s="273"/>
      <c r="L264" s="260"/>
    </row>
    <row r="265" spans="1:12" s="56" customFormat="1" x14ac:dyDescent="0.45">
      <c r="A265" s="246"/>
      <c r="B265" s="277"/>
      <c r="C265" s="187" t="s">
        <v>430</v>
      </c>
      <c r="D265" s="182" t="s">
        <v>177</v>
      </c>
      <c r="E265" s="187" t="s">
        <v>18</v>
      </c>
      <c r="F265" s="182" t="s">
        <v>115</v>
      </c>
      <c r="G265" s="151">
        <v>3.4807480000000002</v>
      </c>
      <c r="H265" s="285"/>
      <c r="I265" s="288"/>
      <c r="J265" s="271"/>
      <c r="K265" s="274"/>
      <c r="L265" s="261"/>
    </row>
    <row r="266" spans="1:12" ht="42.75" x14ac:dyDescent="0.45">
      <c r="A266" s="201" t="s">
        <v>267</v>
      </c>
      <c r="B266" s="83">
        <v>31</v>
      </c>
      <c r="C266" s="187" t="s">
        <v>10</v>
      </c>
      <c r="D266" s="182" t="s">
        <v>216</v>
      </c>
      <c r="E266" s="187" t="s">
        <v>18</v>
      </c>
      <c r="F266" s="182" t="s">
        <v>115</v>
      </c>
      <c r="G266" s="151">
        <f>30+0.511094</f>
        <v>30.511094</v>
      </c>
      <c r="H266" s="187" t="s">
        <v>13</v>
      </c>
      <c r="I266" s="188" t="s">
        <v>243</v>
      </c>
      <c r="J266" s="220" t="s">
        <v>569</v>
      </c>
      <c r="K266" s="214" t="s">
        <v>496</v>
      </c>
      <c r="L266" s="202">
        <v>44227</v>
      </c>
    </row>
    <row r="267" spans="1:12" x14ac:dyDescent="0.45">
      <c r="A267" s="244" t="s">
        <v>268</v>
      </c>
      <c r="B267" s="281">
        <v>10</v>
      </c>
      <c r="C267" s="187" t="s">
        <v>430</v>
      </c>
      <c r="D267" s="182" t="s">
        <v>160</v>
      </c>
      <c r="E267" s="187" t="s">
        <v>18</v>
      </c>
      <c r="F267" s="182" t="s">
        <v>115</v>
      </c>
      <c r="G267" s="166">
        <f>0.235939+0.024684</f>
        <v>0.26062299999999999</v>
      </c>
      <c r="H267" s="283" t="s">
        <v>13</v>
      </c>
      <c r="I267" s="286" t="s">
        <v>164</v>
      </c>
      <c r="J267" s="281" t="s">
        <v>223</v>
      </c>
      <c r="K267" s="290"/>
      <c r="L267" s="333"/>
    </row>
    <row r="268" spans="1:12" s="56" customFormat="1" ht="28.5" x14ac:dyDescent="0.45">
      <c r="A268" s="246"/>
      <c r="B268" s="277"/>
      <c r="C268" s="187" t="s">
        <v>430</v>
      </c>
      <c r="D268" s="182" t="s">
        <v>162</v>
      </c>
      <c r="E268" s="187" t="s">
        <v>18</v>
      </c>
      <c r="F268" s="182" t="s">
        <v>115</v>
      </c>
      <c r="G268" s="166">
        <v>0.10349999999999999</v>
      </c>
      <c r="H268" s="285"/>
      <c r="I268" s="288"/>
      <c r="J268" s="277"/>
      <c r="K268" s="292"/>
      <c r="L268" s="243"/>
    </row>
    <row r="269" spans="1:12" x14ac:dyDescent="0.45">
      <c r="A269" s="201" t="s">
        <v>269</v>
      </c>
      <c r="B269" s="83">
        <v>151</v>
      </c>
      <c r="C269" s="187" t="s">
        <v>430</v>
      </c>
      <c r="D269" s="187" t="s">
        <v>365</v>
      </c>
      <c r="E269" s="187" t="s">
        <v>18</v>
      </c>
      <c r="F269" s="182" t="s">
        <v>115</v>
      </c>
      <c r="G269" s="145">
        <v>135.75823500000001</v>
      </c>
      <c r="H269" s="187" t="s">
        <v>13</v>
      </c>
      <c r="I269" s="188" t="s">
        <v>411</v>
      </c>
      <c r="J269" s="182" t="s">
        <v>21</v>
      </c>
      <c r="K269" s="214" t="s">
        <v>466</v>
      </c>
      <c r="L269" s="202">
        <v>44265</v>
      </c>
    </row>
    <row r="270" spans="1:12" x14ac:dyDescent="0.45">
      <c r="A270" s="244" t="s">
        <v>270</v>
      </c>
      <c r="B270" s="281">
        <f>74+54</f>
        <v>128</v>
      </c>
      <c r="C270" s="187" t="s">
        <v>10</v>
      </c>
      <c r="D270" s="187" t="s">
        <v>271</v>
      </c>
      <c r="E270" s="187" t="s">
        <v>18</v>
      </c>
      <c r="F270" s="182" t="s">
        <v>115</v>
      </c>
      <c r="G270" s="145">
        <v>74.099999999999994</v>
      </c>
      <c r="H270" s="283" t="s">
        <v>13</v>
      </c>
      <c r="I270" s="286" t="s">
        <v>272</v>
      </c>
      <c r="J270" s="280" t="s">
        <v>569</v>
      </c>
      <c r="K270" s="272" t="s">
        <v>521</v>
      </c>
      <c r="L270" s="336">
        <v>44227</v>
      </c>
    </row>
    <row r="271" spans="1:12" s="56" customFormat="1" x14ac:dyDescent="0.45">
      <c r="A271" s="246"/>
      <c r="B271" s="277"/>
      <c r="C271" s="187" t="s">
        <v>430</v>
      </c>
      <c r="D271" s="187" t="s">
        <v>271</v>
      </c>
      <c r="E271" s="187" t="s">
        <v>18</v>
      </c>
      <c r="F271" s="182" t="s">
        <v>115</v>
      </c>
      <c r="G271" s="145">
        <v>54.1</v>
      </c>
      <c r="H271" s="285"/>
      <c r="I271" s="288"/>
      <c r="J271" s="280"/>
      <c r="K271" s="274"/>
      <c r="L271" s="337"/>
    </row>
    <row r="272" spans="1:12" ht="42.75" x14ac:dyDescent="0.45">
      <c r="A272" s="201" t="s">
        <v>273</v>
      </c>
      <c r="B272" s="83">
        <v>5</v>
      </c>
      <c r="C272" s="187" t="s">
        <v>430</v>
      </c>
      <c r="D272" s="182" t="s">
        <v>363</v>
      </c>
      <c r="E272" s="187" t="s">
        <v>18</v>
      </c>
      <c r="F272" s="182" t="s">
        <v>115</v>
      </c>
      <c r="G272" s="145">
        <v>1.944599</v>
      </c>
      <c r="H272" s="187" t="s">
        <v>13</v>
      </c>
      <c r="I272" s="188" t="s">
        <v>412</v>
      </c>
      <c r="J272" s="220" t="s">
        <v>569</v>
      </c>
      <c r="K272" s="214" t="s">
        <v>520</v>
      </c>
      <c r="L272" s="202">
        <v>44227</v>
      </c>
    </row>
    <row r="273" spans="1:12" ht="28.5" x14ac:dyDescent="0.45">
      <c r="A273" s="201" t="s">
        <v>274</v>
      </c>
      <c r="B273" s="83">
        <v>25</v>
      </c>
      <c r="C273" s="187" t="s">
        <v>44</v>
      </c>
      <c r="D273" s="182" t="s">
        <v>24</v>
      </c>
      <c r="E273" s="187" t="s">
        <v>115</v>
      </c>
      <c r="F273" s="182" t="s">
        <v>115</v>
      </c>
      <c r="G273" s="145" t="s">
        <v>115</v>
      </c>
      <c r="H273" s="187" t="s">
        <v>13</v>
      </c>
      <c r="I273" s="180" t="s">
        <v>25</v>
      </c>
      <c r="J273" s="187" t="s">
        <v>15</v>
      </c>
      <c r="K273" s="214"/>
      <c r="L273" s="203"/>
    </row>
    <row r="274" spans="1:12" ht="28.5" x14ac:dyDescent="0.45">
      <c r="A274" s="201" t="s">
        <v>275</v>
      </c>
      <c r="B274" s="83">
        <v>26</v>
      </c>
      <c r="C274" s="187" t="s">
        <v>430</v>
      </c>
      <c r="D274" s="182" t="s">
        <v>37</v>
      </c>
      <c r="E274" s="187" t="s">
        <v>18</v>
      </c>
      <c r="F274" s="182" t="s">
        <v>115</v>
      </c>
      <c r="G274" s="145">
        <v>2.5999460000000001</v>
      </c>
      <c r="H274" s="187" t="s">
        <v>13</v>
      </c>
      <c r="I274" s="188" t="s">
        <v>413</v>
      </c>
      <c r="J274" s="182" t="s">
        <v>223</v>
      </c>
      <c r="K274" s="214"/>
      <c r="L274" s="203"/>
    </row>
    <row r="275" spans="1:12" ht="28.5" x14ac:dyDescent="0.45">
      <c r="A275" s="201" t="s">
        <v>276</v>
      </c>
      <c r="B275" s="83">
        <v>16</v>
      </c>
      <c r="C275" s="187" t="s">
        <v>44</v>
      </c>
      <c r="D275" s="182" t="s">
        <v>37</v>
      </c>
      <c r="E275" s="187" t="s">
        <v>115</v>
      </c>
      <c r="F275" s="182" t="s">
        <v>115</v>
      </c>
      <c r="G275" s="145" t="s">
        <v>115</v>
      </c>
      <c r="H275" s="187" t="s">
        <v>13</v>
      </c>
      <c r="I275" s="188" t="s">
        <v>413</v>
      </c>
      <c r="J275" s="182" t="s">
        <v>223</v>
      </c>
      <c r="K275" s="214"/>
      <c r="L275" s="203"/>
    </row>
    <row r="276" spans="1:12" x14ac:dyDescent="0.45">
      <c r="A276" s="201" t="s">
        <v>277</v>
      </c>
      <c r="B276" s="83">
        <v>46</v>
      </c>
      <c r="C276" s="187" t="s">
        <v>430</v>
      </c>
      <c r="D276" s="182" t="s">
        <v>281</v>
      </c>
      <c r="E276" s="187" t="s">
        <v>18</v>
      </c>
      <c r="F276" s="182" t="s">
        <v>115</v>
      </c>
      <c r="G276" s="145">
        <v>46</v>
      </c>
      <c r="H276" s="187" t="s">
        <v>13</v>
      </c>
      <c r="I276" s="188" t="s">
        <v>415</v>
      </c>
      <c r="J276" s="182" t="s">
        <v>223</v>
      </c>
      <c r="K276" s="214"/>
      <c r="L276" s="203"/>
    </row>
    <row r="277" spans="1:12" ht="30" customHeight="1" x14ac:dyDescent="0.45">
      <c r="A277" s="244" t="s">
        <v>278</v>
      </c>
      <c r="B277" s="281">
        <v>50</v>
      </c>
      <c r="C277" s="187" t="s">
        <v>430</v>
      </c>
      <c r="D277" s="182" t="s">
        <v>437</v>
      </c>
      <c r="E277" s="187" t="s">
        <v>18</v>
      </c>
      <c r="F277" s="182" t="s">
        <v>115</v>
      </c>
      <c r="G277" s="145">
        <v>5.5008489999999997</v>
      </c>
      <c r="H277" s="283" t="s">
        <v>13</v>
      </c>
      <c r="I277" s="286" t="s">
        <v>415</v>
      </c>
      <c r="J277" s="220" t="s">
        <v>569</v>
      </c>
      <c r="K277" s="227" t="s">
        <v>522</v>
      </c>
      <c r="L277" s="221">
        <v>44227</v>
      </c>
    </row>
    <row r="278" spans="1:12" s="56" customFormat="1" x14ac:dyDescent="0.45">
      <c r="A278" s="246"/>
      <c r="B278" s="277"/>
      <c r="C278" s="189" t="s">
        <v>430</v>
      </c>
      <c r="D278" s="182" t="s">
        <v>438</v>
      </c>
      <c r="E278" s="187" t="s">
        <v>18</v>
      </c>
      <c r="F278" s="182" t="s">
        <v>115</v>
      </c>
      <c r="G278" s="145">
        <v>0.50501499999999999</v>
      </c>
      <c r="H278" s="285"/>
      <c r="I278" s="288"/>
      <c r="J278" s="197" t="s">
        <v>223</v>
      </c>
      <c r="K278" s="227"/>
      <c r="L278" s="231"/>
    </row>
    <row r="279" spans="1:12" x14ac:dyDescent="0.45">
      <c r="A279" s="244" t="s">
        <v>279</v>
      </c>
      <c r="B279" s="281">
        <v>0</v>
      </c>
      <c r="C279" s="283" t="s">
        <v>44</v>
      </c>
      <c r="D279" s="191" t="s">
        <v>145</v>
      </c>
      <c r="E279" s="149" t="s">
        <v>115</v>
      </c>
      <c r="F279" s="199" t="s">
        <v>115</v>
      </c>
      <c r="G279" s="145" t="s">
        <v>115</v>
      </c>
      <c r="H279" s="187" t="s">
        <v>388</v>
      </c>
      <c r="I279" s="187"/>
      <c r="J279" s="187"/>
      <c r="K279" s="214"/>
      <c r="L279" s="203"/>
    </row>
    <row r="280" spans="1:12" s="56" customFormat="1" ht="28.5" x14ac:dyDescent="0.45">
      <c r="A280" s="246"/>
      <c r="B280" s="277"/>
      <c r="C280" s="285"/>
      <c r="D280" s="182" t="s">
        <v>37</v>
      </c>
      <c r="E280" s="189" t="s">
        <v>115</v>
      </c>
      <c r="F280" s="197" t="s">
        <v>115</v>
      </c>
      <c r="G280" s="155" t="s">
        <v>115</v>
      </c>
      <c r="H280" s="187" t="s">
        <v>388</v>
      </c>
      <c r="I280" s="189"/>
      <c r="J280" s="189"/>
      <c r="K280" s="214"/>
      <c r="L280" s="203"/>
    </row>
    <row r="281" spans="1:12" ht="14.65" thickBot="1" x14ac:dyDescent="0.5">
      <c r="A281" s="200" t="s">
        <v>280</v>
      </c>
      <c r="B281" s="99">
        <v>188</v>
      </c>
      <c r="C281" s="189" t="s">
        <v>430</v>
      </c>
      <c r="D281" s="197" t="s">
        <v>364</v>
      </c>
      <c r="E281" s="189" t="s">
        <v>18</v>
      </c>
      <c r="F281" s="197" t="s">
        <v>115</v>
      </c>
      <c r="G281" s="155">
        <v>187.5</v>
      </c>
      <c r="H281" s="187" t="s">
        <v>13</v>
      </c>
      <c r="I281" s="194" t="s">
        <v>414</v>
      </c>
      <c r="J281" s="197" t="s">
        <v>223</v>
      </c>
      <c r="K281" s="192"/>
      <c r="L281" s="196"/>
    </row>
    <row r="282" spans="1:12" ht="14.65" thickBot="1" x14ac:dyDescent="0.5">
      <c r="A282" s="27" t="s">
        <v>358</v>
      </c>
      <c r="B282" s="89">
        <f>SUM(B4:B281)</f>
        <v>232278</v>
      </c>
      <c r="C282" s="24"/>
      <c r="D282" s="24"/>
      <c r="E282" s="24"/>
      <c r="F282" s="24"/>
      <c r="G282" s="40">
        <f>SUM(G4:G281)</f>
        <v>113011.999396</v>
      </c>
      <c r="H282" s="24"/>
      <c r="I282" s="24"/>
      <c r="J282" s="24"/>
      <c r="K282" s="24"/>
      <c r="L282" s="25"/>
    </row>
    <row r="283" spans="1:12" s="56" customFormat="1" ht="14.65" thickBot="1" x14ac:dyDescent="0.5">
      <c r="A283" s="27" t="s">
        <v>361</v>
      </c>
      <c r="B283" s="78"/>
      <c r="C283" s="24"/>
      <c r="D283" s="24"/>
      <c r="E283" s="24"/>
      <c r="F283" s="24"/>
      <c r="G283" s="40">
        <f>SUMIF(C4:C281,"*Supps A*",G4:G281)</f>
        <v>77334.329612999994</v>
      </c>
      <c r="H283" s="69"/>
      <c r="I283" s="24"/>
      <c r="J283" s="24"/>
      <c r="K283" s="24"/>
      <c r="L283" s="25"/>
    </row>
    <row r="284" spans="1:12" s="56" customFormat="1" ht="14.65" thickBot="1" x14ac:dyDescent="0.5">
      <c r="A284" s="27" t="s">
        <v>362</v>
      </c>
      <c r="B284" s="78"/>
      <c r="C284" s="24"/>
      <c r="D284" s="24"/>
      <c r="E284" s="24"/>
      <c r="F284" s="24"/>
      <c r="G284" s="40">
        <f>SUMIF(C4:C281,"*Supps B*",G4:G281)</f>
        <v>36072.668049000007</v>
      </c>
      <c r="H284" s="24"/>
      <c r="I284" s="24"/>
      <c r="J284" s="24"/>
      <c r="K284" s="24"/>
      <c r="L284" s="25"/>
    </row>
    <row r="285" spans="1:12" s="56" customFormat="1" ht="14.65" thickBot="1" x14ac:dyDescent="0.5">
      <c r="A285" s="27" t="s">
        <v>427</v>
      </c>
      <c r="B285" s="78"/>
      <c r="C285" s="24"/>
      <c r="D285" s="24"/>
      <c r="E285" s="24"/>
      <c r="F285" s="24"/>
      <c r="G285" s="40">
        <f>SUMIF(C4:C281,"*Supps C*",G4:G281)</f>
        <v>-394.99826600000245</v>
      </c>
      <c r="H285" s="24"/>
      <c r="I285" s="24"/>
      <c r="J285" s="24"/>
      <c r="K285" s="24"/>
      <c r="L285" s="25"/>
    </row>
    <row r="286" spans="1:12" s="56" customFormat="1" x14ac:dyDescent="0.45"/>
    <row r="287" spans="1:12" s="56" customFormat="1" ht="15.75" x14ac:dyDescent="0.45">
      <c r="A287" s="90" t="s">
        <v>394</v>
      </c>
    </row>
    <row r="288" spans="1:12" x14ac:dyDescent="0.45">
      <c r="A288" s="58" t="s">
        <v>401</v>
      </c>
      <c r="B288" s="58"/>
    </row>
    <row r="289" spans="1:2" s="56" customFormat="1" x14ac:dyDescent="0.45">
      <c r="A289" s="55" t="s">
        <v>554</v>
      </c>
      <c r="B289" s="58"/>
    </row>
    <row r="290" spans="1:2" x14ac:dyDescent="0.45">
      <c r="A290" s="55" t="s">
        <v>606</v>
      </c>
    </row>
    <row r="291" spans="1:2" x14ac:dyDescent="0.45">
      <c r="A291" s="55" t="s">
        <v>596</v>
      </c>
    </row>
  </sheetData>
  <mergeCells count="321">
    <mergeCell ref="L101:L103"/>
    <mergeCell ref="J104:J108"/>
    <mergeCell ref="L176:L179"/>
    <mergeCell ref="J235:J236"/>
    <mergeCell ref="K235:K236"/>
    <mergeCell ref="L235:L236"/>
    <mergeCell ref="K163:K165"/>
    <mergeCell ref="L163:L165"/>
    <mergeCell ref="L206:L207"/>
    <mergeCell ref="J212:J215"/>
    <mergeCell ref="K212:K215"/>
    <mergeCell ref="L212:L215"/>
    <mergeCell ref="L195:L197"/>
    <mergeCell ref="K226:K227"/>
    <mergeCell ref="L226:L227"/>
    <mergeCell ref="L201:L203"/>
    <mergeCell ref="K228:K229"/>
    <mergeCell ref="L228:L229"/>
    <mergeCell ref="H4:H5"/>
    <mergeCell ref="I4:I5"/>
    <mergeCell ref="J4:J5"/>
    <mergeCell ref="K4:K5"/>
    <mergeCell ref="L4:L5"/>
    <mergeCell ref="I12:I13"/>
    <mergeCell ref="J12:J13"/>
    <mergeCell ref="K12:K13"/>
    <mergeCell ref="L12:L13"/>
    <mergeCell ref="H12:H13"/>
    <mergeCell ref="L75:L79"/>
    <mergeCell ref="L69:L70"/>
    <mergeCell ref="A72:A74"/>
    <mergeCell ref="I183:I184"/>
    <mergeCell ref="J183:J184"/>
    <mergeCell ref="K183:K184"/>
    <mergeCell ref="K15:K22"/>
    <mergeCell ref="L15:L22"/>
    <mergeCell ref="K23:K26"/>
    <mergeCell ref="L23:L26"/>
    <mergeCell ref="K27:K37"/>
    <mergeCell ref="L27:L37"/>
    <mergeCell ref="J140:J147"/>
    <mergeCell ref="K156:K161"/>
    <mergeCell ref="L133:L134"/>
    <mergeCell ref="L95:L98"/>
    <mergeCell ref="L93:L94"/>
    <mergeCell ref="L104:L108"/>
    <mergeCell ref="L128:L130"/>
    <mergeCell ref="I156:I161"/>
    <mergeCell ref="J156:J161"/>
    <mergeCell ref="K140:K141"/>
    <mergeCell ref="L140:L141"/>
    <mergeCell ref="L135:L136"/>
    <mergeCell ref="A67:A68"/>
    <mergeCell ref="A69:A70"/>
    <mergeCell ref="H15:H65"/>
    <mergeCell ref="I15:I65"/>
    <mergeCell ref="J15:J65"/>
    <mergeCell ref="J86:J90"/>
    <mergeCell ref="I86:I90"/>
    <mergeCell ref="K86:K90"/>
    <mergeCell ref="L86:L90"/>
    <mergeCell ref="H86:H90"/>
    <mergeCell ref="I72:I74"/>
    <mergeCell ref="J72:J74"/>
    <mergeCell ref="K72:K74"/>
    <mergeCell ref="L72:L74"/>
    <mergeCell ref="K38:K47"/>
    <mergeCell ref="L38:L47"/>
    <mergeCell ref="K48:K54"/>
    <mergeCell ref="L48:L54"/>
    <mergeCell ref="K55:K65"/>
    <mergeCell ref="L55:L65"/>
    <mergeCell ref="C67:C68"/>
    <mergeCell ref="H69:H70"/>
    <mergeCell ref="I69:I70"/>
    <mergeCell ref="J69:J70"/>
    <mergeCell ref="I135:I136"/>
    <mergeCell ref="J135:J136"/>
    <mergeCell ref="H104:H108"/>
    <mergeCell ref="K142:K145"/>
    <mergeCell ref="B67:B68"/>
    <mergeCell ref="B69:B70"/>
    <mergeCell ref="K133:K134"/>
    <mergeCell ref="B117:B122"/>
    <mergeCell ref="B112:B115"/>
    <mergeCell ref="K69:K70"/>
    <mergeCell ref="I95:I98"/>
    <mergeCell ref="K95:K98"/>
    <mergeCell ref="K93:K94"/>
    <mergeCell ref="K104:K108"/>
    <mergeCell ref="I93:I94"/>
    <mergeCell ref="J93:J94"/>
    <mergeCell ref="B86:B90"/>
    <mergeCell ref="J123:J126"/>
    <mergeCell ref="B123:B126"/>
    <mergeCell ref="I75:I79"/>
    <mergeCell ref="J75:J79"/>
    <mergeCell ref="K75:K79"/>
    <mergeCell ref="I101:I103"/>
    <mergeCell ref="K101:K103"/>
    <mergeCell ref="I171:I179"/>
    <mergeCell ref="J171:J179"/>
    <mergeCell ref="K166:K167"/>
    <mergeCell ref="B185:B188"/>
    <mergeCell ref="B163:B167"/>
    <mergeCell ref="B156:B161"/>
    <mergeCell ref="B183:B184"/>
    <mergeCell ref="L156:L161"/>
    <mergeCell ref="L166:L167"/>
    <mergeCell ref="L185:L188"/>
    <mergeCell ref="I168:I170"/>
    <mergeCell ref="L180:L182"/>
    <mergeCell ref="L183:L184"/>
    <mergeCell ref="I163:I167"/>
    <mergeCell ref="J163:J167"/>
    <mergeCell ref="J168:J170"/>
    <mergeCell ref="L168:L170"/>
    <mergeCell ref="K176:K179"/>
    <mergeCell ref="L171:L173"/>
    <mergeCell ref="L174:L175"/>
    <mergeCell ref="I180:I182"/>
    <mergeCell ref="J180:J182"/>
    <mergeCell ref="K180:K182"/>
    <mergeCell ref="I206:I207"/>
    <mergeCell ref="J206:J207"/>
    <mergeCell ref="K206:K207"/>
    <mergeCell ref="L190:L193"/>
    <mergeCell ref="I226:I227"/>
    <mergeCell ref="J226:J227"/>
    <mergeCell ref="J218:J219"/>
    <mergeCell ref="I220:I223"/>
    <mergeCell ref="J220:J223"/>
    <mergeCell ref="K220:K223"/>
    <mergeCell ref="L220:L223"/>
    <mergeCell ref="I208:I211"/>
    <mergeCell ref="J208:J211"/>
    <mergeCell ref="K208:K211"/>
    <mergeCell ref="L208:L211"/>
    <mergeCell ref="I224:I225"/>
    <mergeCell ref="J224:J225"/>
    <mergeCell ref="K224:K225"/>
    <mergeCell ref="L224:L225"/>
    <mergeCell ref="I218:I219"/>
    <mergeCell ref="K218:K219"/>
    <mergeCell ref="L218:L219"/>
    <mergeCell ref="I195:I197"/>
    <mergeCell ref="I212:I215"/>
    <mergeCell ref="A279:A280"/>
    <mergeCell ref="C279:C280"/>
    <mergeCell ref="B279:B280"/>
    <mergeCell ref="A235:A236"/>
    <mergeCell ref="A237:A241"/>
    <mergeCell ref="H237:H241"/>
    <mergeCell ref="A267:A268"/>
    <mergeCell ref="B267:B268"/>
    <mergeCell ref="H267:H268"/>
    <mergeCell ref="A242:A244"/>
    <mergeCell ref="H242:H244"/>
    <mergeCell ref="A254:A256"/>
    <mergeCell ref="B254:B256"/>
    <mergeCell ref="A257:A259"/>
    <mergeCell ref="H257:H258"/>
    <mergeCell ref="B257:B259"/>
    <mergeCell ref="A262:A265"/>
    <mergeCell ref="B262:B265"/>
    <mergeCell ref="H262:H265"/>
    <mergeCell ref="B242:B244"/>
    <mergeCell ref="B237:B241"/>
    <mergeCell ref="A277:A278"/>
    <mergeCell ref="B277:B278"/>
    <mergeCell ref="H277:H278"/>
    <mergeCell ref="A148:A154"/>
    <mergeCell ref="A156:A161"/>
    <mergeCell ref="H156:H161"/>
    <mergeCell ref="B148:B154"/>
    <mergeCell ref="H171:H179"/>
    <mergeCell ref="H180:H182"/>
    <mergeCell ref="H135:H136"/>
    <mergeCell ref="A123:A126"/>
    <mergeCell ref="A201:A204"/>
    <mergeCell ref="B201:B204"/>
    <mergeCell ref="A180:A182"/>
    <mergeCell ref="A190:A194"/>
    <mergeCell ref="A185:A188"/>
    <mergeCell ref="A183:A184"/>
    <mergeCell ref="B72:B74"/>
    <mergeCell ref="H72:H74"/>
    <mergeCell ref="A168:A179"/>
    <mergeCell ref="B168:B179"/>
    <mergeCell ref="H168:H170"/>
    <mergeCell ref="A75:A79"/>
    <mergeCell ref="B75:B79"/>
    <mergeCell ref="H75:H79"/>
    <mergeCell ref="B93:B94"/>
    <mergeCell ref="H93:H94"/>
    <mergeCell ref="A93:A94"/>
    <mergeCell ref="H163:H167"/>
    <mergeCell ref="A112:A115"/>
    <mergeCell ref="H112:H115"/>
    <mergeCell ref="A117:A122"/>
    <mergeCell ref="H117:H122"/>
    <mergeCell ref="H95:H98"/>
    <mergeCell ref="A101:A103"/>
    <mergeCell ref="B101:B103"/>
    <mergeCell ref="A86:A90"/>
    <mergeCell ref="B95:B99"/>
    <mergeCell ref="A140:A147"/>
    <mergeCell ref="H123:H126"/>
    <mergeCell ref="A104:A108"/>
    <mergeCell ref="J254:J256"/>
    <mergeCell ref="K254:K256"/>
    <mergeCell ref="L254:L256"/>
    <mergeCell ref="I237:I241"/>
    <mergeCell ref="J257:J258"/>
    <mergeCell ref="I262:I265"/>
    <mergeCell ref="J262:J265"/>
    <mergeCell ref="J237:J241"/>
    <mergeCell ref="K237:K241"/>
    <mergeCell ref="L237:L241"/>
    <mergeCell ref="K262:K265"/>
    <mergeCell ref="L249:L252"/>
    <mergeCell ref="L242:L244"/>
    <mergeCell ref="L262:L265"/>
    <mergeCell ref="I257:I258"/>
    <mergeCell ref="I242:I244"/>
    <mergeCell ref="J270:J271"/>
    <mergeCell ref="K270:K271"/>
    <mergeCell ref="L270:L271"/>
    <mergeCell ref="H128:H130"/>
    <mergeCell ref="I128:I130"/>
    <mergeCell ref="J128:J130"/>
    <mergeCell ref="K128:K130"/>
    <mergeCell ref="K171:K173"/>
    <mergeCell ref="K174:K175"/>
    <mergeCell ref="K135:K136"/>
    <mergeCell ref="I133:I134"/>
    <mergeCell ref="I140:I147"/>
    <mergeCell ref="L142:L145"/>
    <mergeCell ref="K146:K147"/>
    <mergeCell ref="L146:L147"/>
    <mergeCell ref="J133:J134"/>
    <mergeCell ref="I201:I203"/>
    <mergeCell ref="J201:J203"/>
    <mergeCell ref="K201:K203"/>
    <mergeCell ref="I267:I268"/>
    <mergeCell ref="J267:J268"/>
    <mergeCell ref="K267:K268"/>
    <mergeCell ref="L267:L268"/>
    <mergeCell ref="I254:I256"/>
    <mergeCell ref="I277:I278"/>
    <mergeCell ref="A128:A137"/>
    <mergeCell ref="B128:B137"/>
    <mergeCell ref="A270:A271"/>
    <mergeCell ref="B270:B271"/>
    <mergeCell ref="H270:H271"/>
    <mergeCell ref="I270:I271"/>
    <mergeCell ref="B180:B182"/>
    <mergeCell ref="H185:H188"/>
    <mergeCell ref="I185:I188"/>
    <mergeCell ref="H183:H184"/>
    <mergeCell ref="I190:I193"/>
    <mergeCell ref="H195:H197"/>
    <mergeCell ref="H228:H229"/>
    <mergeCell ref="A163:A167"/>
    <mergeCell ref="H133:H134"/>
    <mergeCell ref="B235:B236"/>
    <mergeCell ref="B206:B232"/>
    <mergeCell ref="H208:H211"/>
    <mergeCell ref="H226:H227"/>
    <mergeCell ref="H190:H193"/>
    <mergeCell ref="I228:I229"/>
    <mergeCell ref="H254:H256"/>
    <mergeCell ref="I235:I236"/>
    <mergeCell ref="A15:A65"/>
    <mergeCell ref="B15:B65"/>
    <mergeCell ref="L257:L258"/>
    <mergeCell ref="K257:K258"/>
    <mergeCell ref="I104:I108"/>
    <mergeCell ref="I117:I122"/>
    <mergeCell ref="J117:J122"/>
    <mergeCell ref="I123:I126"/>
    <mergeCell ref="I112:I115"/>
    <mergeCell ref="J112:J115"/>
    <mergeCell ref="K112:K115"/>
    <mergeCell ref="L112:L115"/>
    <mergeCell ref="K123:K126"/>
    <mergeCell ref="L123:L126"/>
    <mergeCell ref="J185:J188"/>
    <mergeCell ref="K185:K188"/>
    <mergeCell ref="J190:J193"/>
    <mergeCell ref="K190:K193"/>
    <mergeCell ref="J195:J197"/>
    <mergeCell ref="J95:J96"/>
    <mergeCell ref="J228:J229"/>
    <mergeCell ref="J97:J98"/>
    <mergeCell ref="J102:J103"/>
    <mergeCell ref="A249:A253"/>
    <mergeCell ref="A206:A232"/>
    <mergeCell ref="H224:H225"/>
    <mergeCell ref="A95:A99"/>
    <mergeCell ref="B249:B253"/>
    <mergeCell ref="H249:H252"/>
    <mergeCell ref="I249:I252"/>
    <mergeCell ref="J249:J252"/>
    <mergeCell ref="K249:K252"/>
    <mergeCell ref="K195:K197"/>
    <mergeCell ref="J242:J244"/>
    <mergeCell ref="K242:K244"/>
    <mergeCell ref="H101:H103"/>
    <mergeCell ref="H140:H147"/>
    <mergeCell ref="B140:B147"/>
    <mergeCell ref="H212:H215"/>
    <mergeCell ref="H201:H203"/>
    <mergeCell ref="H218:H219"/>
    <mergeCell ref="H235:H236"/>
    <mergeCell ref="B104:B108"/>
    <mergeCell ref="A195:A197"/>
    <mergeCell ref="B195:B197"/>
    <mergeCell ref="B190:B194"/>
    <mergeCell ref="H220:H223"/>
    <mergeCell ref="H206:H207"/>
  </mergeCells>
  <hyperlinks>
    <hyperlink ref="I69" r:id="rId1" xr:uid="{A0E46438-20B5-40B6-9AAA-8D0F5AE29481}"/>
    <hyperlink ref="I72" r:id="rId2" xr:uid="{05C9A3AE-8728-49BE-8EB6-B98A6899C20B}"/>
    <hyperlink ref="I84" r:id="rId3" xr:uid="{8C35B821-F546-4B4F-B54F-0A2267F132B6}"/>
    <hyperlink ref="I86" r:id="rId4" xr:uid="{C65A66EB-BD7A-42B9-96EF-20DE8A2C0A14}"/>
    <hyperlink ref="I91" r:id="rId5" xr:uid="{1C1BE423-FB38-4FA0-834E-4BF16728271B}"/>
    <hyperlink ref="J4" r:id="rId6" display="CEWS data" xr:uid="{53CEED76-105E-49E1-94A6-52F4934B453B}"/>
    <hyperlink ref="I4" r:id="rId7" xr:uid="{5BA4DEEE-EEE9-4973-97EE-477583E975B0}"/>
    <hyperlink ref="J9" r:id="rId8" display="CRB data" xr:uid="{D46A86DC-F440-4F6E-856D-8B8A7F8A2B24}"/>
    <hyperlink ref="J10" r:id="rId9" display="CRSB data" xr:uid="{D54C8E4E-CA75-4F6E-832B-FCE84432AF28}"/>
    <hyperlink ref="J11" r:id="rId10" display="CRCB data" xr:uid="{0ECF4E2E-8CCE-4C74-9407-1BF622FA1EAE}"/>
    <hyperlink ref="I15" r:id="rId11" display="https://www.pbo-dpb.gc.ca/web/default/files/Documents/Info%20Requests/2020/IR0471_ISED_COVID-19_Measures_request_e_signed.pdf" xr:uid="{58634BD7-2770-4836-9D0D-CF09CCB8AC55}"/>
    <hyperlink ref="I15:I51" r:id="rId12" display="IR0471" xr:uid="{1818005C-9911-43CA-AF9D-51F09FC4598B}"/>
    <hyperlink ref="I92" r:id="rId13" xr:uid="{701C3778-E3AB-4B8A-9EE5-58383E38560D}"/>
    <hyperlink ref="I93:I94" r:id="rId14" display="IR0550" xr:uid="{823A6A3B-E1A3-4EAC-97B3-0D06E66CC8D9}"/>
    <hyperlink ref="I95" r:id="rId15" xr:uid="{C69F7341-22BA-4100-8DDC-A1C92968F1F8}"/>
    <hyperlink ref="J95" r:id="rId16" display="https://www.canada.ca/en/services/benefits/ei/claims-report.html" xr:uid="{FED88BC1-4016-4470-80B5-8D300D350360}"/>
    <hyperlink ref="I100" r:id="rId17" xr:uid="{B5921EB3-758B-4034-8BEA-787511C38753}"/>
    <hyperlink ref="J101" r:id="rId18" display="CESB data" xr:uid="{4408DE60-755B-4ADA-96BD-ED246E4BA809}"/>
    <hyperlink ref="I104" r:id="rId19" xr:uid="{C3AA0382-0350-43E3-89C3-886B0E0B34E4}"/>
    <hyperlink ref="I110" r:id="rId20" xr:uid="{B1FF6B23-3D45-4961-AAE8-F0C1155EDD9C}"/>
    <hyperlink ref="I111" r:id="rId21" xr:uid="{AEB87BE1-90AA-4A1C-9965-EEDB3D1CB1A9}"/>
    <hyperlink ref="I112" r:id="rId22" xr:uid="{77309BF5-5852-4530-94C2-45312216B4E8}"/>
    <hyperlink ref="I117" r:id="rId23" xr:uid="{EDE7E4CF-F08C-4A65-B38C-B8A1BDCA674A}"/>
    <hyperlink ref="I123" r:id="rId24" xr:uid="{6A6EB690-EB5F-429C-BF14-F8697F816BBD}"/>
    <hyperlink ref="I127" r:id="rId25" xr:uid="{A33D10C7-2B07-4BFD-9B42-820718DBF04F}"/>
    <hyperlink ref="I128" r:id="rId26" xr:uid="{25C2D6F6-8DF3-419F-9E8A-CE016CB38E0B}"/>
    <hyperlink ref="I128:I129" r:id="rId27" display="IR0540" xr:uid="{54EBCF92-A2F3-43E3-88ED-E9AC4B793065}"/>
    <hyperlink ref="I135" r:id="rId28" xr:uid="{B466CBC8-B236-498A-BB6F-8DD499165ABC}"/>
    <hyperlink ref="I132" r:id="rId29" xr:uid="{6DB99D24-5DFB-4620-9FF5-39388C859E06}"/>
    <hyperlink ref="I133" r:id="rId30" xr:uid="{26C98431-143D-44F2-99C6-F6D1DB986A32}"/>
    <hyperlink ref="I131" r:id="rId31" xr:uid="{2CD236D1-9DA9-48B4-A428-7867FA3B4851}"/>
    <hyperlink ref="I139" r:id="rId32" xr:uid="{93A7F9C0-07CB-4312-A0FE-5D9AAC016A8B}"/>
    <hyperlink ref="I140" r:id="rId33" display="https://www.pbo-dpb.gc.ca/web/default/files/Documents/Info%20Requests/2020/IR0469_Heritage_COVID-19_Measures_request_e_signed.pdf" xr:uid="{756872DB-AC7E-4F4C-A338-01036987C2C0}"/>
    <hyperlink ref="I140:I146" r:id="rId34" display="IR0469" xr:uid="{E76540D6-91C3-45D9-BB9E-6F863C5E79C9}"/>
    <hyperlink ref="I156" r:id="rId35" display="https://www.pbo-dpb.gc.ca/web/default/files/Documents/Info%20Requests/2020/IR0494_FIN_COVID-19_Measures_request_e.pdf" xr:uid="{5525AD14-74B3-49D9-88E1-2F1A3CD4C80F}"/>
    <hyperlink ref="I156:I161" r:id="rId36" display="IR0494" xr:uid="{22B98C89-8B39-449A-B32B-1237CAE2A617}"/>
    <hyperlink ref="I162" r:id="rId37" xr:uid="{8DB0F1CB-CE44-46D5-9FE1-8DAD0B015500}"/>
    <hyperlink ref="I163" r:id="rId38" display="https://www.pbo-dpb.gc.ca/web/default/files/Documents/Info%20Requests/2020/IR0456_AAFC_COVID-19_Allocations_request_e_signed.pdf" xr:uid="{EC02BA72-4086-4225-B2AD-EDEF0A7814AB}"/>
    <hyperlink ref="I163:I167" r:id="rId39" display="IR0456" xr:uid="{9E63DED9-DB40-4550-B633-DBAC3DED164F}"/>
    <hyperlink ref="I171" r:id="rId40" display="https://www.pbo-dpb.gc.ca/web/default/files/Documents/Info%20Requests/2020/IR0539_ISED_COVID-19_Funding_request_e.pdf" xr:uid="{06F43086-9144-46E2-8899-CD482D1804FF}"/>
    <hyperlink ref="I171:I177" r:id="rId41" display="IR0539" xr:uid="{2B31DC9B-9DCB-4764-BC38-C6AF4E93476F}"/>
    <hyperlink ref="I168" r:id="rId42" display="https://www.pbo-dpb.gc.ca/web/default/files/Documents/Info%20Requests/2020/IR0482_FOC_COVID-19_ltr_e.pdf" xr:uid="{AA11D4EF-7023-4819-993F-E63B610F57DD}"/>
    <hyperlink ref="I168:I169" r:id="rId43" display="IR0482" xr:uid="{07AFDBEF-A896-4740-86F6-734306AB49C0}"/>
    <hyperlink ref="I180" r:id="rId44" xr:uid="{18AAF52C-3248-4B3D-8423-F614B3603352}"/>
    <hyperlink ref="I183" r:id="rId45" xr:uid="{A8B78020-C3F6-4948-A54C-CE68AF26C8EA}"/>
    <hyperlink ref="I185" r:id="rId46" xr:uid="{03753284-181D-44FC-A748-BC9911A756BB}"/>
    <hyperlink ref="I190:I191" r:id="rId47" display="IR0547" xr:uid="{5DA40522-4A26-4B32-A96E-D8CC085FF862}"/>
    <hyperlink ref="I194" r:id="rId48" xr:uid="{23FCD39C-AED0-473F-8CD1-609045A04EB5}"/>
    <hyperlink ref="I195" r:id="rId49" xr:uid="{DD8D86DF-8BCF-4622-A529-03931D77F145}"/>
    <hyperlink ref="I198" r:id="rId50" xr:uid="{D09998F6-001C-4BD7-AFC4-67D54A768F14}"/>
    <hyperlink ref="I199" r:id="rId51" xr:uid="{7294EF4B-6078-4AE8-8A74-1FB85BE81105}"/>
    <hyperlink ref="I200" r:id="rId52" xr:uid="{A16029DA-9566-465F-9DD1-DABCE25F6E8E}"/>
    <hyperlink ref="I201:I202" r:id="rId53" display="IR0549" xr:uid="{097AE9F7-8C41-4B6B-8DFF-35DFC2E60F36}"/>
    <hyperlink ref="I208" r:id="rId54" display="https://www.pbo-dpb.gc.ca/web/default/files/Documents/Info%20Requests/2020/IR0456_AAFC_COVID-19_Allocations_request_e_signed.pdf" xr:uid="{A7767BFB-BE54-4BA5-916E-9F67977B8A13}"/>
    <hyperlink ref="I208:I209" r:id="rId55" display="IR0456" xr:uid="{0196BF95-6D1D-4716-9047-EB3A2C83F00E}"/>
    <hyperlink ref="I212" r:id="rId56" display="https://www.pbo-dpb.gc.ca/web/default/files/Documents/Info%20Requests/2020/IR0516_CMHC_COVID19_update_2_request_e.pdf" xr:uid="{7DE53DC8-0E92-4D92-85F9-3291D47C969E}"/>
    <hyperlink ref="I212:I213" r:id="rId57" display="IR0516" xr:uid="{8F4D998F-D5E4-4E2C-87CD-D58ECF69BE51}"/>
    <hyperlink ref="I218" r:id="rId58" display="https://www.pbo-dpb.gc.ca/web/default/files/Documents/Info%20Requests/2020/IR0523_ISC_COVID19_update_2_request_e.pdf" xr:uid="{E3785309-4555-41A7-9040-693B9DBF6213}"/>
    <hyperlink ref="I218:I219" r:id="rId59" display="IR0523" xr:uid="{A02028C2-6210-4F27-AFDF-D1C6692AD1E6}"/>
    <hyperlink ref="I220" r:id="rId60" display="https://www.pbo-dpb.gc.ca/web/default/files/Documents/Info%20Requests/2020/IR0524_ISED_COVID19_update_2_request_e.pdf" xr:uid="{61CCC48B-16B3-4FA9-ABF5-DA5D594A96F1}"/>
    <hyperlink ref="I220:I221" r:id="rId61" display="IR0524" xr:uid="{92FF3AC4-DA9C-4AE8-A133-7C59FA6D04C0}"/>
    <hyperlink ref="I228" r:id="rId62" display="https://www.pbo-dpb.gc.ca/web/default/files/Documents/Info%20Requests/2020/IR0526_NRCCan_COVID19_update_2_request_e.pdf" xr:uid="{64D5DB96-728B-4836-9359-B238EE849BE2}"/>
    <hyperlink ref="I228:I229" r:id="rId63" display="IR0526" xr:uid="{F11E918A-614C-4DCE-8C51-67D57D3C50FB}"/>
    <hyperlink ref="I230" r:id="rId64" xr:uid="{095079C4-43A7-4C58-A8FA-8D02DC3A010A}"/>
    <hyperlink ref="I232" r:id="rId65" xr:uid="{9FB69F9F-7940-4AA2-9288-A45DCCFC4BDC}"/>
    <hyperlink ref="I216" r:id="rId66" xr:uid="{22BF7537-99E3-493C-B253-581EC657118A}"/>
    <hyperlink ref="I224:I225" r:id="rId67" display="IR0552" xr:uid="{C5F42711-CEEC-4D06-A1B9-F68E1F16D3CF}"/>
    <hyperlink ref="I206:I207" r:id="rId68" display="IR0549" xr:uid="{5D6DD822-8D3B-4D8E-B4FE-741BE507E538}"/>
    <hyperlink ref="I226:I227" r:id="rId69" display="IR0557" xr:uid="{7DCF0E0E-00C8-4E5C-B889-9B7EBF09AFE3}"/>
    <hyperlink ref="I217" r:id="rId70" xr:uid="{117122ED-24E8-4385-A68F-4A542280B41E}"/>
    <hyperlink ref="I231" r:id="rId71" xr:uid="{78A913E8-8DBB-4160-878B-6768CAEBD8C3}"/>
    <hyperlink ref="I233" r:id="rId72" xr:uid="{9E45E98B-BB4D-4427-AB5A-D11C94F088D1}"/>
    <hyperlink ref="I234" r:id="rId73" xr:uid="{331C8271-1E76-40DD-850A-A519E9E061DF}"/>
    <hyperlink ref="I237" r:id="rId74" xr:uid="{8C388146-D2E5-49C1-8F48-AE65DD874C18}"/>
    <hyperlink ref="I242" r:id="rId75" xr:uid="{A4F42B33-068E-4A60-8825-7D8325A2368D}"/>
    <hyperlink ref="I246" r:id="rId76" xr:uid="{110A4714-C81B-45C8-88FA-D98117EB8963}"/>
    <hyperlink ref="I247" r:id="rId77" xr:uid="{9DFBAE31-FEB3-4BDC-B7B1-0392CA7E491A}"/>
    <hyperlink ref="I249" r:id="rId78" xr:uid="{56B794CC-9E07-4982-B58A-3F30781A92D1}"/>
    <hyperlink ref="I254" r:id="rId79" xr:uid="{CFB7D3FA-9D2E-4ECA-B7D3-C5A43CF696EA}"/>
    <hyperlink ref="I257" r:id="rId80" display="https://www.pbo-dpb.gc.ca/web/default/files/Documents/Info%20Requests/2020/IR0475_WAGE_COVID-19_Measures_request_e_signed.pdf" xr:uid="{B92A90DC-E7F4-4699-9D8E-FFE8B21E6AD4}"/>
    <hyperlink ref="I257:I258" r:id="rId81" display="IR0475" xr:uid="{A37078D8-BD05-49A3-AED5-8A0565CC9151}"/>
    <hyperlink ref="I259" r:id="rId82" xr:uid="{783F237B-09A2-4EEC-8EF3-CA389824058E}"/>
    <hyperlink ref="I260" r:id="rId83" xr:uid="{63D8AB19-29A0-43F4-8707-A9798BF47C34}"/>
    <hyperlink ref="I261" r:id="rId84" xr:uid="{AD53CA69-EB35-4B05-83A5-0D692E8AB5A7}"/>
    <hyperlink ref="I262" r:id="rId85" xr:uid="{DE47EE6A-A506-441E-956E-A68179BCB42D}"/>
    <hyperlink ref="I266" r:id="rId86" xr:uid="{6FB0F167-A3E1-427B-8F00-B606B213766B}"/>
    <hyperlink ref="I267" r:id="rId87" xr:uid="{D22B9FEB-8201-423C-AA77-6A011EC113BA}"/>
    <hyperlink ref="I270" r:id="rId88" xr:uid="{10219D95-ABEE-450A-B9B8-44C8015167FE}"/>
    <hyperlink ref="I8" r:id="rId89" xr:uid="{21A4DA44-E851-4D08-9864-D1ABA3BD5E80}"/>
    <hyperlink ref="I14" r:id="rId90" xr:uid="{C2755199-89DA-4BFA-810D-E6570B8D6EDF}"/>
    <hyperlink ref="J14" r:id="rId91" display="CEBA data" xr:uid="{613E2DE2-F4F0-4464-B32B-05CCCB7B16A9}"/>
    <hyperlink ref="F8" r:id="rId92" xr:uid="{35984EF2-9CB5-40A2-A9B1-8C8E60C70CB9}"/>
    <hyperlink ref="I66" r:id="rId93" xr:uid="{46843F36-8CDF-4AEF-AA9B-91B6BFE0FE39}"/>
    <hyperlink ref="I75" r:id="rId94" xr:uid="{8F77106C-AD9B-430B-80D6-D39BE5E2BB7D}"/>
    <hyperlink ref="I82" r:id="rId95" xr:uid="{E601454F-6EA3-4A28-A6DD-DBAFF166B4F8}"/>
    <hyperlink ref="I7" r:id="rId96" xr:uid="{85525B30-2580-41F4-98EC-3CBA0C8D6112}"/>
    <hyperlink ref="I116" r:id="rId97" xr:uid="{1A65898B-3FF1-43B4-BE63-781291839F2B}"/>
    <hyperlink ref="I189" r:id="rId98" xr:uid="{DCE2C195-246F-4796-82CF-D8C11FBF71D9}"/>
    <hyperlink ref="I205" r:id="rId99" xr:uid="{BD54B2EC-A1E1-47D2-AA09-AB1AF7826EA8}"/>
    <hyperlink ref="I269" r:id="rId100" xr:uid="{A8F07CDD-BDF0-4B77-BEFA-8A4036D543A5}"/>
    <hyperlink ref="I272" r:id="rId101" xr:uid="{67D6D80D-0446-48AC-8738-AB384AFE4581}"/>
    <hyperlink ref="I274" r:id="rId102" xr:uid="{4A3555F8-2085-4CCD-AE5F-B98F08A717A2}"/>
    <hyperlink ref="I275" r:id="rId103" xr:uid="{7FA04975-CAB9-42E5-AFEB-456B76FD4036}"/>
    <hyperlink ref="I281" r:id="rId104" xr:uid="{29136BAA-C9AA-4825-8001-84E28CA93624}"/>
    <hyperlink ref="I276" r:id="rId105" xr:uid="{985A4B47-6196-4451-885C-B835B625B7ED}"/>
    <hyperlink ref="I277" r:id="rId106" xr:uid="{92706733-5909-4183-AB1D-FFECAB5AE731}"/>
    <hyperlink ref="I273" r:id="rId107" xr:uid="{3BEA52A1-24AD-416A-A239-05563CE0604E}"/>
    <hyperlink ref="I137" r:id="rId108" xr:uid="{FF5BA102-6D66-427C-BCE0-9C29C7DB9A29}"/>
    <hyperlink ref="J12" r:id="rId109" xr:uid="{7A3FD43C-2ABB-463C-BE35-3ADD490DF3A6}"/>
    <hyperlink ref="I85" r:id="rId110" xr:uid="{A866F098-3E8E-49C6-91E3-2714CFE92E24}"/>
    <hyperlink ref="I253" r:id="rId111" xr:uid="{BBF9E219-A925-46D4-9543-1E4921547743}"/>
    <hyperlink ref="J69:J70" r:id="rId112" display="TBS Data: COVID-19 Economic Response Plan - Estimated Expenditures" xr:uid="{81E634D5-EFE4-4B9D-9ABF-EDE9A27DC211}"/>
    <hyperlink ref="J72:J74" r:id="rId113" display="TBS Data: COVID-19 Economic Response Plan - Estimated Expenditures" xr:uid="{D86D4405-2087-4A9F-B824-BB88C5975634}"/>
    <hyperlink ref="J86:J90" r:id="rId114" display="TBS Data: COVID-19 Economic Response Plan - Estimated Expenditures" xr:uid="{43429EF4-2B94-483D-A125-B33954CF06EA}"/>
    <hyperlink ref="J97:J98" r:id="rId115" display="TBS Data: COVID-19 Economic Response Plan - Estimated Expenditures" xr:uid="{C25AC492-9573-4B60-AF9C-2ABFED1BF75A}"/>
    <hyperlink ref="J102:J103" r:id="rId116" display="TBS Data: COVID-19 Economic Response Plan - Estimated Expenditures" xr:uid="{62B8C13F-69CE-43C5-8C3C-6A2923A1E649}"/>
    <hyperlink ref="J99" r:id="rId117" xr:uid="{265507FB-CB70-47AE-98E5-1B8D7CBA8B2C}"/>
    <hyperlink ref="J110" r:id="rId118" xr:uid="{1F1E056E-5C02-478A-B5D2-0B449A000B71}"/>
    <hyperlink ref="J111" r:id="rId119" xr:uid="{85FA885F-54E1-424A-83EA-89B9B2058FA0}"/>
    <hyperlink ref="J127" r:id="rId120" xr:uid="{BE1C4500-D007-44B5-848C-566E0B5520B7}"/>
    <hyperlink ref="J131" r:id="rId121" xr:uid="{E46925D4-678F-438B-8960-5384B0854738}"/>
    <hyperlink ref="J137" r:id="rId122" xr:uid="{14E39ADB-83A6-4DF0-979A-6139B3FF53C0}"/>
    <hyperlink ref="J139" r:id="rId123" xr:uid="{CD09C380-2D78-4FC7-AD0B-65B105EED773}"/>
    <hyperlink ref="J148" r:id="rId124" xr:uid="{224CB54E-F649-4FF1-B6D9-F2C3DABF2639}"/>
    <hyperlink ref="J149" r:id="rId125" xr:uid="{0B45232D-40C7-46AE-850A-4AC3D0494DC9}"/>
    <hyperlink ref="J150" r:id="rId126" xr:uid="{DBDB115F-92E2-4F16-88E2-6D91805C9751}"/>
    <hyperlink ref="J151" r:id="rId127" xr:uid="{07484BDB-4206-401C-8B39-50EF3C55E74B}"/>
    <hyperlink ref="J152" r:id="rId128" xr:uid="{2A8CFC62-D257-442A-B4FA-81DF00FC7FB2}"/>
    <hyperlink ref="J153" r:id="rId129" xr:uid="{7E8894B1-7FCE-4666-946E-917E2378FAAB}"/>
    <hyperlink ref="J154" r:id="rId130" xr:uid="{0C81EC97-E954-453A-B80C-C02EB827861D}"/>
    <hyperlink ref="J155" r:id="rId131" xr:uid="{255459E9-D7A7-4E91-AB01-488C0AB5CB57}"/>
    <hyperlink ref="J162" r:id="rId132" xr:uid="{50B24474-CDDC-4FF8-8A61-ED7BE1DED3B0}"/>
    <hyperlink ref="J156:J161" r:id="rId133" display="TBS Data: COVID-19 Economic Response Plan - Estimated Expenditures" xr:uid="{B66E5912-A178-426E-8FA6-77F86E54C673}"/>
    <hyperlink ref="J128:J130" r:id="rId134" display="TBS Data: COVID-19 Economic Response Plan - Estimated Expenditures" xr:uid="{7533BB7B-0D95-4D04-B46E-C4393A287D10}"/>
    <hyperlink ref="J180:J182" r:id="rId135" display="TBS Data: COVID-19 Economic Response Plan - Estimated Expenditures" xr:uid="{DD39B89C-1A56-45E1-BC6B-1EBDE847E841}"/>
    <hyperlink ref="J201:J203" r:id="rId136" display="TBS Data: COVID-19 Economic Response Plan - Estimated Expenditures" xr:uid="{F712DDA4-FFCD-4AF2-A516-83FEDC97D9C5}"/>
    <hyperlink ref="J277" r:id="rId137" xr:uid="{305F64E0-A426-4DC6-9D37-D5B42D1010F3}"/>
    <hyperlink ref="J272" r:id="rId138" xr:uid="{CC4FD736-8484-4148-9C98-619B1B48FFC3}"/>
    <hyperlink ref="J266" r:id="rId139" xr:uid="{71CB251B-A6DE-4D5B-B8AD-D29425002C1C}"/>
    <hyperlink ref="J261" r:id="rId140" xr:uid="{595E30D7-00E0-4E27-9DA0-E02C9BE96A2B}"/>
    <hyperlink ref="J259" r:id="rId141" xr:uid="{F4BA6CD1-E0B0-41BB-BA7E-7F7C51D4C881}"/>
    <hyperlink ref="J253" r:id="rId142" xr:uid="{7E0E5E89-FA96-4D4B-9BBB-245A8E5A315C}"/>
    <hyperlink ref="J248" r:id="rId143" xr:uid="{C6DBA475-ADBF-4D21-8E89-13F99C494DF3}"/>
    <hyperlink ref="J247" r:id="rId144" xr:uid="{53EFC41C-2A0A-4756-8D61-A9FC1550D90C}"/>
    <hyperlink ref="J245" r:id="rId145" xr:uid="{2BC63185-B945-42C7-AD6D-DAC0B6CDE524}"/>
    <hyperlink ref="J232" r:id="rId146" xr:uid="{DC10CD3F-D8DE-4C9C-AE24-42A0B1C08031}"/>
    <hyperlink ref="J230" r:id="rId147" xr:uid="{A1E4F9AD-359B-4F56-9D61-230D61E28D51}"/>
    <hyperlink ref="J204" r:id="rId148" xr:uid="{2A5C0772-2510-4D00-A57C-902977BC9BDE}"/>
    <hyperlink ref="J200" r:id="rId149" xr:uid="{888C5FDF-AF0F-4801-9309-A34A74CE5A24}"/>
    <hyperlink ref="J189" r:id="rId150" xr:uid="{8938FBC8-0558-480F-A924-70591AD3006E}"/>
    <hyperlink ref="J270:J271" r:id="rId151" display="TBS Data: COVID-19 Economic Response Plan - Estimated Expenditures" xr:uid="{2B80132B-2A70-4D85-9A3E-7560A190FBBD}"/>
    <hyperlink ref="J228:J229" r:id="rId152" display="TBS Data: COVID-19 Economic Response Plan - Estimated Expenditures" xr:uid="{EEFDCE50-5AAE-41B6-BBCD-E0638E5F737F}"/>
    <hyperlink ref="J226:J227" r:id="rId153" display="TBS Data: COVID-19 Economic Response Plan - Estimated Expenditures" xr:uid="{738C0F89-F943-496B-BB64-CEAA17A3B87C}"/>
    <hyperlink ref="J224:J225" r:id="rId154" display="TBS Data: COVID-19 Economic Response Plan - Estimated Expenditures" xr:uid="{C8E5F0DB-0F1A-4416-96C4-FFB14635A2EB}"/>
    <hyperlink ref="J218:J219" r:id="rId155" display="TBS Data: COVID-19 Economic Response Plan - Estimated Expenditures" xr:uid="{7AE71E92-C064-46C2-AC3F-D002074BBE82}"/>
    <hyperlink ref="J206:J207" r:id="rId156" display="TBS Data: COVID-19 Economic Response Plan - Estimated Expenditures" xr:uid="{0B65DF21-5001-44B0-BC50-3A75E2F1BFEE}"/>
    <hyperlink ref="J183:J184" r:id="rId157" display="TBS Data: COVID-19 Economic Response Plan - Estimated Expenditures" xr:uid="{90A1BC50-54C3-4AEB-8CB9-DA17C220D320}"/>
    <hyperlink ref="J133:J134" r:id="rId158" display="TBS Data: COVID-19 Economic Response Plan - Estimated Expenditures" xr:uid="{8FDB785B-6F62-4971-B49D-ADD61B700F14}"/>
    <hyperlink ref="J237:J241" r:id="rId159" display="TBS Data: COVID-19 Economic Response Plan - Estimated Expenditures" xr:uid="{B9C4DE78-9BB7-4A56-9C2E-B156E22A3438}"/>
    <hyperlink ref="J220:J223" r:id="rId160" display="TBS Data: COVID-19 Economic Response Plan - Estimated Expenditures" xr:uid="{3F7E3380-BB11-4761-8FF7-503BA46606BE}"/>
    <hyperlink ref="J212:J215" r:id="rId161" display="TBS Data: COVID-19 Economic Response Plan - Estimated Expenditures" xr:uid="{BF8BEE6C-191B-4C1A-AFEE-F2398B58737D}"/>
    <hyperlink ref="J217" r:id="rId162" xr:uid="{F694829C-03AA-4006-8C05-7FACB4BB2293}"/>
    <hyperlink ref="J185:J188" r:id="rId163" display="TBS Data: COVID-19 Economic Response Plan - Estimated Expenditures" xr:uid="{4791575B-35E1-4D2E-8A46-842B6B9777F4}"/>
    <hyperlink ref="J171:J179" r:id="rId164" display="TBS Data: COVID-19 Economic Response Plan - Estimated Expenditures" xr:uid="{EC333F1A-A714-4C18-902C-F4433D9DD0CC}"/>
    <hyperlink ref="J140:J147" r:id="rId165" display="TBS Data: COVID-19 Economic Response Plan - Estimated Expenditures" xr:uid="{DCCFDC5C-8102-42D6-BB5A-CFD7B3175CE8}"/>
    <hyperlink ref="J117:J122" r:id="rId166" display="TBS Data: COVID-19 Economic Response Plan - Estimated Expenditures" xr:uid="{4CE80664-5FA9-4855-84BA-F3F408A6C89F}"/>
    <hyperlink ref="J104:J108" r:id="rId167" display="TBS Data: COVID-19 Economic Response Plan - Estimated Expenditures" xr:uid="{8EB2C25F-833D-491E-96F5-29DA7AF81F7F}"/>
    <hyperlink ref="J112:J115" r:id="rId168" display="TBS Data: COVID-19 Economic Response Plan - Estimated Expenditures" xr:uid="{934685E6-5760-4BC0-93CD-0FE6A2006448}"/>
    <hyperlink ref="J216" r:id="rId169" xr:uid="{44E064DB-F0D4-4C54-86B9-5E5CED80B24F}"/>
    <hyperlink ref="J233" r:id="rId170" xr:uid="{A15E94A9-1E70-42A0-A4C0-3912D83A0CAD}"/>
    <hyperlink ref="J234" r:id="rId171" xr:uid="{0B03BC53-861B-4F26-B920-50DB4217DDA8}"/>
    <hyperlink ref="J262:J265" r:id="rId172" display="TBS Data: COVID-19 Economic Response Plan - Estimated Expenditures" xr:uid="{7CE97C5D-5124-42F5-AE1B-E554E7A9379F}"/>
  </hyperlinks>
  <pageMargins left="0.7" right="0.7" top="0.75" bottom="0.75" header="0.3" footer="0.3"/>
  <pageSetup orientation="portrait" r:id="rId17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673E-02CE-49F0-919C-70AD3423F227}">
  <sheetPr>
    <tabColor theme="4"/>
  </sheetPr>
  <dimension ref="A1:L14"/>
  <sheetViews>
    <sheetView showGridLines="0" zoomScale="70" zoomScaleNormal="70" workbookViewId="0"/>
  </sheetViews>
  <sheetFormatPr defaultRowHeight="14.25" x14ac:dyDescent="0.45"/>
  <cols>
    <col min="1" max="1" width="82.73046875" customWidth="1"/>
    <col min="2" max="2" width="42.73046875" style="56" bestFit="1" customWidth="1"/>
    <col min="3" max="3" width="26.59765625" bestFit="1" customWidth="1"/>
    <col min="4" max="4" width="33.73046875" customWidth="1"/>
    <col min="5" max="5" width="24.86328125" bestFit="1" customWidth="1"/>
    <col min="6" max="6" width="39" style="56" bestFit="1" customWidth="1"/>
    <col min="7" max="7" width="37.86328125" bestFit="1" customWidth="1"/>
    <col min="8" max="8" width="14.3984375" bestFit="1" customWidth="1"/>
    <col min="9" max="9" width="14" bestFit="1" customWidth="1"/>
    <col min="10" max="10" width="18.265625" bestFit="1" customWidth="1"/>
    <col min="11" max="11" width="57.265625" customWidth="1"/>
    <col min="12" max="12" width="12.3984375" bestFit="1" customWidth="1"/>
  </cols>
  <sheetData>
    <row r="1" spans="1:12" x14ac:dyDescent="0.45">
      <c r="A1" s="28" t="s">
        <v>52</v>
      </c>
      <c r="B1" s="28"/>
    </row>
    <row r="2" spans="1:12" ht="14.65" thickBot="1" x14ac:dyDescent="0.5"/>
    <row r="3" spans="1:12" ht="15.75" x14ac:dyDescent="0.45">
      <c r="A3" s="42" t="s">
        <v>339</v>
      </c>
      <c r="B3" s="77" t="s">
        <v>392</v>
      </c>
      <c r="C3" s="30" t="s">
        <v>428</v>
      </c>
      <c r="D3" s="30" t="s">
        <v>1</v>
      </c>
      <c r="E3" s="30" t="s">
        <v>2</v>
      </c>
      <c r="F3" s="30" t="s">
        <v>348</v>
      </c>
      <c r="G3" s="30" t="s">
        <v>3</v>
      </c>
      <c r="H3" s="31" t="s">
        <v>4</v>
      </c>
      <c r="I3" s="31" t="s">
        <v>5</v>
      </c>
      <c r="J3" s="31" t="s">
        <v>6</v>
      </c>
      <c r="K3" s="31" t="s">
        <v>7</v>
      </c>
      <c r="L3" s="32" t="s">
        <v>8</v>
      </c>
    </row>
    <row r="4" spans="1:12" x14ac:dyDescent="0.45">
      <c r="A4" s="44" t="s">
        <v>306</v>
      </c>
      <c r="B4" s="79"/>
      <c r="C4" s="45"/>
      <c r="D4" s="45"/>
      <c r="E4" s="45"/>
      <c r="F4" s="45"/>
      <c r="G4" s="45"/>
      <c r="H4" s="45"/>
      <c r="I4" s="45"/>
      <c r="J4" s="45"/>
      <c r="K4" s="45"/>
      <c r="L4" s="46"/>
    </row>
    <row r="5" spans="1:12" x14ac:dyDescent="0.45">
      <c r="A5" s="47" t="s">
        <v>307</v>
      </c>
      <c r="B5" s="87" t="s">
        <v>130</v>
      </c>
      <c r="C5" s="7" t="s">
        <v>44</v>
      </c>
      <c r="D5" s="7" t="s">
        <v>145</v>
      </c>
      <c r="E5" s="7" t="s">
        <v>115</v>
      </c>
      <c r="F5" s="59" t="s">
        <v>383</v>
      </c>
      <c r="G5" s="7" t="s">
        <v>115</v>
      </c>
      <c r="H5" s="7" t="s">
        <v>13</v>
      </c>
      <c r="I5" s="12" t="s">
        <v>170</v>
      </c>
      <c r="J5" s="7" t="s">
        <v>21</v>
      </c>
      <c r="K5" s="20" t="s">
        <v>130</v>
      </c>
      <c r="L5" s="10"/>
    </row>
    <row r="6" spans="1:12" ht="28.5" x14ac:dyDescent="0.45">
      <c r="A6" s="358" t="s">
        <v>308</v>
      </c>
      <c r="B6" s="356" t="s">
        <v>130</v>
      </c>
      <c r="C6" s="356" t="s">
        <v>44</v>
      </c>
      <c r="D6" s="356" t="s">
        <v>121</v>
      </c>
      <c r="E6" s="356" t="s">
        <v>115</v>
      </c>
      <c r="F6" s="283" t="s">
        <v>384</v>
      </c>
      <c r="G6" s="356" t="s">
        <v>115</v>
      </c>
      <c r="H6" s="356" t="s">
        <v>13</v>
      </c>
      <c r="I6" s="354" t="s">
        <v>122</v>
      </c>
      <c r="J6" s="356" t="s">
        <v>21</v>
      </c>
      <c r="K6" s="21" t="s">
        <v>309</v>
      </c>
      <c r="L6" s="48">
        <v>44027</v>
      </c>
    </row>
    <row r="7" spans="1:12" ht="42.75" x14ac:dyDescent="0.45">
      <c r="A7" s="359"/>
      <c r="B7" s="357"/>
      <c r="C7" s="357"/>
      <c r="D7" s="357"/>
      <c r="E7" s="357"/>
      <c r="F7" s="285"/>
      <c r="G7" s="357"/>
      <c r="H7" s="357"/>
      <c r="I7" s="355"/>
      <c r="J7" s="357"/>
      <c r="K7" s="11" t="s">
        <v>310</v>
      </c>
      <c r="L7" s="49">
        <v>44044</v>
      </c>
    </row>
    <row r="8" spans="1:12" ht="14.65" thickBot="1" x14ac:dyDescent="0.5">
      <c r="A8" s="50" t="s">
        <v>311</v>
      </c>
      <c r="B8" s="86" t="s">
        <v>130</v>
      </c>
      <c r="C8" s="8" t="s">
        <v>44</v>
      </c>
      <c r="D8" s="8" t="s">
        <v>312</v>
      </c>
      <c r="E8" s="95" t="s">
        <v>115</v>
      </c>
      <c r="F8" s="171" t="s">
        <v>115</v>
      </c>
      <c r="G8" s="8" t="s">
        <v>115</v>
      </c>
      <c r="H8" s="8" t="s">
        <v>13</v>
      </c>
      <c r="I8" s="13" t="s">
        <v>17</v>
      </c>
      <c r="J8" s="9" t="s">
        <v>223</v>
      </c>
      <c r="K8" s="8"/>
      <c r="L8" s="51"/>
    </row>
    <row r="9" spans="1:12" ht="14.65" thickBot="1" x14ac:dyDescent="0.5">
      <c r="A9" s="27" t="s">
        <v>313</v>
      </c>
      <c r="B9" s="70">
        <f>SUM(B5:B8)</f>
        <v>0</v>
      </c>
      <c r="C9" s="24"/>
      <c r="D9" s="24"/>
      <c r="E9" s="24"/>
      <c r="F9" s="24"/>
      <c r="G9" s="70">
        <f>SUM(G5:G8)</f>
        <v>0</v>
      </c>
      <c r="H9" s="24"/>
      <c r="I9" s="24"/>
      <c r="J9" s="24"/>
      <c r="K9" s="24"/>
      <c r="L9" s="25"/>
    </row>
    <row r="11" spans="1:12" ht="15.75" x14ac:dyDescent="0.45">
      <c r="A11" s="58" t="s">
        <v>393</v>
      </c>
      <c r="B11" s="1"/>
    </row>
    <row r="13" spans="1:12" x14ac:dyDescent="0.45">
      <c r="A13" s="1"/>
      <c r="B13" s="1"/>
    </row>
    <row r="14" spans="1:12" x14ac:dyDescent="0.45">
      <c r="A14" s="1"/>
      <c r="B14" s="1"/>
    </row>
  </sheetData>
  <mergeCells count="10">
    <mergeCell ref="I6:I7"/>
    <mergeCell ref="J6:J7"/>
    <mergeCell ref="A6:A7"/>
    <mergeCell ref="C6:C7"/>
    <mergeCell ref="D6:D7"/>
    <mergeCell ref="E6:E7"/>
    <mergeCell ref="G6:G7"/>
    <mergeCell ref="H6:H7"/>
    <mergeCell ref="F6:F7"/>
    <mergeCell ref="B6:B7"/>
  </mergeCells>
  <hyperlinks>
    <hyperlink ref="I5" r:id="rId1" xr:uid="{377346CD-197E-46BB-B601-CA9E2FD5FD51}"/>
    <hyperlink ref="I6" r:id="rId2" xr:uid="{3F92ED71-0FED-428C-8452-65D972078570}"/>
    <hyperlink ref="I8" r:id="rId3" xr:uid="{682A5356-3463-4301-B1B2-67D779748B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FEF4-095B-44DB-ACC4-4D83993D8CC9}">
  <sheetPr>
    <tabColor theme="4"/>
  </sheetPr>
  <dimension ref="A1:L26"/>
  <sheetViews>
    <sheetView showGridLines="0" zoomScale="70" zoomScaleNormal="70" workbookViewId="0"/>
  </sheetViews>
  <sheetFormatPr defaultRowHeight="14.25" x14ac:dyDescent="0.45"/>
  <cols>
    <col min="1" max="1" width="88.86328125" bestFit="1" customWidth="1"/>
    <col min="2" max="2" width="38.265625" style="56" bestFit="1" customWidth="1"/>
    <col min="3" max="3" width="25.265625" bestFit="1" customWidth="1"/>
    <col min="4" max="4" width="27.59765625" customWidth="1"/>
    <col min="5" max="5" width="25.265625" bestFit="1" customWidth="1"/>
    <col min="6" max="6" width="36.59765625" style="56" customWidth="1"/>
    <col min="7" max="7" width="36.59765625" bestFit="1" customWidth="1"/>
    <col min="8" max="8" width="13.59765625" bestFit="1" customWidth="1"/>
    <col min="9" max="9" width="13" bestFit="1" customWidth="1"/>
    <col min="10" max="10" width="22.73046875" customWidth="1"/>
    <col min="11" max="11" width="48.265625" customWidth="1"/>
    <col min="12" max="12" width="12.73046875" bestFit="1" customWidth="1"/>
  </cols>
  <sheetData>
    <row r="1" spans="1:12" x14ac:dyDescent="0.45">
      <c r="A1" s="28" t="s">
        <v>53</v>
      </c>
      <c r="B1" s="28"/>
    </row>
    <row r="2" spans="1:12" ht="14.65" thickBot="1" x14ac:dyDescent="0.5"/>
    <row r="3" spans="1:12" ht="15.75" x14ac:dyDescent="0.45">
      <c r="A3" s="42" t="s">
        <v>337</v>
      </c>
      <c r="B3" s="77" t="s">
        <v>392</v>
      </c>
      <c r="C3" s="30" t="s">
        <v>428</v>
      </c>
      <c r="D3" s="30" t="s">
        <v>1</v>
      </c>
      <c r="E3" s="30" t="s">
        <v>2</v>
      </c>
      <c r="F3" s="30" t="s">
        <v>348</v>
      </c>
      <c r="G3" s="30" t="s">
        <v>3</v>
      </c>
      <c r="H3" s="31" t="s">
        <v>4</v>
      </c>
      <c r="I3" s="31" t="s">
        <v>5</v>
      </c>
      <c r="J3" s="31" t="s">
        <v>6</v>
      </c>
      <c r="K3" s="31" t="s">
        <v>7</v>
      </c>
      <c r="L3" s="32" t="s">
        <v>8</v>
      </c>
    </row>
    <row r="4" spans="1:12" x14ac:dyDescent="0.45">
      <c r="A4" s="52" t="s">
        <v>314</v>
      </c>
      <c r="B4" s="80"/>
      <c r="C4" s="57"/>
      <c r="D4" s="71"/>
      <c r="E4" s="57"/>
      <c r="F4" s="57"/>
      <c r="G4" s="57"/>
      <c r="H4" s="57"/>
      <c r="I4" s="57"/>
      <c r="J4" s="71"/>
      <c r="K4" s="57"/>
      <c r="L4" s="62"/>
    </row>
    <row r="5" spans="1:12" ht="93.75" customHeight="1" x14ac:dyDescent="0.45">
      <c r="A5" s="35" t="s">
        <v>315</v>
      </c>
      <c r="B5" s="84" t="s">
        <v>130</v>
      </c>
      <c r="C5" s="71" t="s">
        <v>44</v>
      </c>
      <c r="D5" s="61" t="s">
        <v>316</v>
      </c>
      <c r="E5" s="71" t="s">
        <v>115</v>
      </c>
      <c r="F5" s="138" t="s">
        <v>367</v>
      </c>
      <c r="G5" s="164" t="s">
        <v>115</v>
      </c>
      <c r="H5" s="71" t="s">
        <v>13</v>
      </c>
      <c r="I5" s="142" t="s">
        <v>317</v>
      </c>
      <c r="J5" s="71" t="s">
        <v>21</v>
      </c>
      <c r="K5" s="72" t="s">
        <v>581</v>
      </c>
      <c r="L5" s="233">
        <v>44267</v>
      </c>
    </row>
    <row r="6" spans="1:12" ht="42.75" x14ac:dyDescent="0.45">
      <c r="A6" s="35" t="s">
        <v>318</v>
      </c>
      <c r="B6" s="84" t="s">
        <v>130</v>
      </c>
      <c r="C6" s="71" t="s">
        <v>44</v>
      </c>
      <c r="D6" s="71" t="s">
        <v>319</v>
      </c>
      <c r="E6" s="71" t="s">
        <v>115</v>
      </c>
      <c r="F6" s="138" t="s">
        <v>367</v>
      </c>
      <c r="G6" s="164" t="s">
        <v>115</v>
      </c>
      <c r="H6" s="71" t="s">
        <v>13</v>
      </c>
      <c r="I6" s="142" t="s">
        <v>320</v>
      </c>
      <c r="J6" s="61" t="s">
        <v>21</v>
      </c>
      <c r="K6" s="72" t="s">
        <v>506</v>
      </c>
      <c r="L6" s="60">
        <v>44227</v>
      </c>
    </row>
    <row r="7" spans="1:12" ht="45.75" customHeight="1" x14ac:dyDescent="0.45">
      <c r="A7" s="35" t="s">
        <v>321</v>
      </c>
      <c r="B7" s="84" t="s">
        <v>130</v>
      </c>
      <c r="C7" s="71" t="s">
        <v>44</v>
      </c>
      <c r="D7" s="71" t="s">
        <v>319</v>
      </c>
      <c r="E7" s="71" t="s">
        <v>115</v>
      </c>
      <c r="F7" s="138" t="s">
        <v>367</v>
      </c>
      <c r="G7" s="164" t="s">
        <v>115</v>
      </c>
      <c r="H7" s="71" t="s">
        <v>13</v>
      </c>
      <c r="I7" s="142" t="s">
        <v>320</v>
      </c>
      <c r="J7" s="238" t="s">
        <v>322</v>
      </c>
      <c r="K7" s="240" t="s">
        <v>609</v>
      </c>
      <c r="L7" s="239">
        <v>44280</v>
      </c>
    </row>
    <row r="8" spans="1:12" ht="108.75" customHeight="1" x14ac:dyDescent="0.45">
      <c r="A8" s="358" t="s">
        <v>323</v>
      </c>
      <c r="B8" s="356" t="s">
        <v>115</v>
      </c>
      <c r="C8" s="71" t="s">
        <v>44</v>
      </c>
      <c r="D8" s="61" t="s">
        <v>316</v>
      </c>
      <c r="E8" s="71" t="s">
        <v>115</v>
      </c>
      <c r="F8" s="138" t="s">
        <v>367</v>
      </c>
      <c r="G8" s="164" t="s">
        <v>115</v>
      </c>
      <c r="H8" s="71" t="s">
        <v>13</v>
      </c>
      <c r="I8" s="142" t="s">
        <v>317</v>
      </c>
      <c r="J8" s="71" t="s">
        <v>21</v>
      </c>
      <c r="K8" s="72" t="s">
        <v>581</v>
      </c>
      <c r="L8" s="233">
        <v>44267</v>
      </c>
    </row>
    <row r="9" spans="1:12" ht="42.75" x14ac:dyDescent="0.45">
      <c r="A9" s="359"/>
      <c r="B9" s="357"/>
      <c r="C9" s="71" t="s">
        <v>44</v>
      </c>
      <c r="D9" s="71" t="s">
        <v>319</v>
      </c>
      <c r="E9" s="71" t="s">
        <v>115</v>
      </c>
      <c r="F9" s="138" t="s">
        <v>367</v>
      </c>
      <c r="G9" s="164" t="s">
        <v>115</v>
      </c>
      <c r="H9" s="71" t="s">
        <v>13</v>
      </c>
      <c r="I9" s="142" t="s">
        <v>320</v>
      </c>
      <c r="J9" s="53" t="s">
        <v>75</v>
      </c>
      <c r="K9" s="72"/>
      <c r="L9" s="62"/>
    </row>
    <row r="10" spans="1:12" x14ac:dyDescent="0.45">
      <c r="A10" s="33" t="s">
        <v>324</v>
      </c>
      <c r="B10" s="81"/>
      <c r="C10" s="71"/>
      <c r="D10" s="71"/>
      <c r="E10" s="57"/>
      <c r="F10" s="57"/>
      <c r="G10" s="164"/>
      <c r="H10" s="71"/>
      <c r="I10" s="142"/>
      <c r="J10" s="71"/>
      <c r="K10" s="72"/>
      <c r="L10" s="62"/>
    </row>
    <row r="11" spans="1:12" ht="42.75" x14ac:dyDescent="0.45">
      <c r="A11" s="35" t="s">
        <v>325</v>
      </c>
      <c r="B11" s="84" t="s">
        <v>115</v>
      </c>
      <c r="C11" s="71" t="s">
        <v>44</v>
      </c>
      <c r="D11" s="71" t="s">
        <v>326</v>
      </c>
      <c r="E11" s="71" t="s">
        <v>115</v>
      </c>
      <c r="F11" s="138" t="s">
        <v>367</v>
      </c>
      <c r="G11" s="164" t="s">
        <v>115</v>
      </c>
      <c r="H11" s="71" t="s">
        <v>13</v>
      </c>
      <c r="I11" s="142" t="s">
        <v>327</v>
      </c>
      <c r="J11" s="71" t="s">
        <v>21</v>
      </c>
      <c r="K11" s="72" t="s">
        <v>130</v>
      </c>
      <c r="L11" s="62"/>
    </row>
    <row r="12" spans="1:12" ht="28.5" x14ac:dyDescent="0.45">
      <c r="A12" s="35" t="s">
        <v>328</v>
      </c>
      <c r="B12" s="84" t="s">
        <v>115</v>
      </c>
      <c r="C12" s="71" t="s">
        <v>44</v>
      </c>
      <c r="D12" s="61" t="s">
        <v>91</v>
      </c>
      <c r="E12" s="71" t="s">
        <v>115</v>
      </c>
      <c r="F12" s="138" t="s">
        <v>381</v>
      </c>
      <c r="G12" s="164" t="s">
        <v>115</v>
      </c>
      <c r="H12" s="71" t="s">
        <v>13</v>
      </c>
      <c r="I12" s="142" t="s">
        <v>92</v>
      </c>
      <c r="J12" s="61" t="s">
        <v>21</v>
      </c>
      <c r="K12" s="72" t="s">
        <v>579</v>
      </c>
      <c r="L12" s="60">
        <v>44251</v>
      </c>
    </row>
    <row r="13" spans="1:12" ht="48.75" customHeight="1" x14ac:dyDescent="0.45">
      <c r="A13" s="368" t="s">
        <v>329</v>
      </c>
      <c r="B13" s="356" t="s">
        <v>115</v>
      </c>
      <c r="C13" s="71" t="s">
        <v>44</v>
      </c>
      <c r="D13" s="61" t="s">
        <v>330</v>
      </c>
      <c r="E13" s="71" t="s">
        <v>115</v>
      </c>
      <c r="F13" s="138" t="s">
        <v>367</v>
      </c>
      <c r="G13" s="164" t="s">
        <v>115</v>
      </c>
      <c r="H13" s="71" t="s">
        <v>13</v>
      </c>
      <c r="I13" s="137" t="s">
        <v>331</v>
      </c>
      <c r="J13" s="137" t="s">
        <v>332</v>
      </c>
      <c r="K13" s="74" t="s">
        <v>454</v>
      </c>
      <c r="L13" s="141">
        <v>44231</v>
      </c>
    </row>
    <row r="14" spans="1:12" s="56" customFormat="1" ht="48.75" customHeight="1" x14ac:dyDescent="0.45">
      <c r="A14" s="369"/>
      <c r="B14" s="357"/>
      <c r="C14" s="71" t="s">
        <v>430</v>
      </c>
      <c r="D14" s="61" t="s">
        <v>16</v>
      </c>
      <c r="E14" s="71" t="s">
        <v>12</v>
      </c>
      <c r="F14" s="169" t="s">
        <v>458</v>
      </c>
      <c r="G14" s="146">
        <v>200</v>
      </c>
      <c r="H14" s="139" t="s">
        <v>13</v>
      </c>
      <c r="I14" s="137" t="s">
        <v>17</v>
      </c>
      <c r="J14" s="165" t="s">
        <v>15</v>
      </c>
      <c r="K14" s="72"/>
      <c r="L14" s="60"/>
    </row>
    <row r="15" spans="1:12" x14ac:dyDescent="0.45">
      <c r="A15" s="33" t="s">
        <v>333</v>
      </c>
      <c r="B15" s="81"/>
      <c r="C15" s="71"/>
      <c r="D15" s="71"/>
      <c r="E15" s="57"/>
      <c r="F15" s="57"/>
      <c r="G15" s="164"/>
      <c r="H15" s="71"/>
      <c r="I15" s="71"/>
      <c r="J15" s="71"/>
      <c r="K15" s="72"/>
      <c r="L15" s="62"/>
    </row>
    <row r="16" spans="1:12" x14ac:dyDescent="0.45">
      <c r="A16" s="368" t="s">
        <v>334</v>
      </c>
      <c r="B16" s="356" t="s">
        <v>115</v>
      </c>
      <c r="C16" s="356" t="s">
        <v>44</v>
      </c>
      <c r="D16" s="370" t="s">
        <v>177</v>
      </c>
      <c r="E16" s="356" t="s">
        <v>115</v>
      </c>
      <c r="F16" s="281" t="s">
        <v>367</v>
      </c>
      <c r="G16" s="362" t="s">
        <v>115</v>
      </c>
      <c r="H16" s="356" t="s">
        <v>13</v>
      </c>
      <c r="I16" s="364" t="s">
        <v>178</v>
      </c>
      <c r="J16" s="140" t="s">
        <v>21</v>
      </c>
      <c r="K16" s="366" t="s">
        <v>335</v>
      </c>
      <c r="L16" s="360">
        <v>44196</v>
      </c>
    </row>
    <row r="17" spans="1:12" s="56" customFormat="1" x14ac:dyDescent="0.45">
      <c r="A17" s="369"/>
      <c r="B17" s="357"/>
      <c r="C17" s="357"/>
      <c r="D17" s="371"/>
      <c r="E17" s="357"/>
      <c r="F17" s="277"/>
      <c r="G17" s="363"/>
      <c r="H17" s="357"/>
      <c r="I17" s="365"/>
      <c r="J17" s="76" t="s">
        <v>385</v>
      </c>
      <c r="K17" s="367"/>
      <c r="L17" s="361"/>
    </row>
    <row r="18" spans="1:12" ht="37.5" customHeight="1" x14ac:dyDescent="0.45">
      <c r="A18" s="172" t="s">
        <v>336</v>
      </c>
      <c r="B18" s="84" t="s">
        <v>115</v>
      </c>
      <c r="C18" s="140" t="s">
        <v>44</v>
      </c>
      <c r="D18" s="140"/>
      <c r="E18" s="71" t="s">
        <v>115</v>
      </c>
      <c r="F18" s="170" t="s">
        <v>367</v>
      </c>
      <c r="G18" s="164" t="s">
        <v>115</v>
      </c>
      <c r="H18" s="140"/>
      <c r="I18" s="140"/>
      <c r="J18" s="75"/>
      <c r="K18" s="73"/>
      <c r="L18" s="51"/>
    </row>
    <row r="19" spans="1:12" ht="43.15" thickBot="1" x14ac:dyDescent="0.5">
      <c r="A19" s="172" t="s">
        <v>345</v>
      </c>
      <c r="B19" s="84" t="s">
        <v>115</v>
      </c>
      <c r="C19" s="140" t="s">
        <v>44</v>
      </c>
      <c r="D19" s="61" t="s">
        <v>316</v>
      </c>
      <c r="E19" s="71" t="s">
        <v>115</v>
      </c>
      <c r="F19" s="170" t="s">
        <v>367</v>
      </c>
      <c r="G19" s="164" t="s">
        <v>115</v>
      </c>
      <c r="H19" s="140" t="s">
        <v>87</v>
      </c>
      <c r="I19" s="137"/>
      <c r="J19" s="140"/>
      <c r="K19" s="54"/>
      <c r="L19" s="51"/>
    </row>
    <row r="20" spans="1:12" ht="14.65" customHeight="1" thickBot="1" x14ac:dyDescent="0.5">
      <c r="A20" s="64" t="s">
        <v>338</v>
      </c>
      <c r="B20" s="70">
        <f>SUM(B5:B9,B11:B13,B17:B19)</f>
        <v>0</v>
      </c>
      <c r="C20" s="24"/>
      <c r="D20" s="24"/>
      <c r="E20" s="24"/>
      <c r="F20" s="24"/>
      <c r="G20" s="70">
        <f>SUM(G5:G9,G11:G13,G16:G19)</f>
        <v>0</v>
      </c>
      <c r="H20" s="24"/>
      <c r="I20" s="24"/>
      <c r="J20" s="24"/>
      <c r="K20" s="24"/>
      <c r="L20" s="25"/>
    </row>
    <row r="21" spans="1:12" s="56" customFormat="1" ht="14.65" thickBot="1" x14ac:dyDescent="0.5">
      <c r="A21" s="64" t="s">
        <v>453</v>
      </c>
      <c r="B21" s="70"/>
      <c r="C21" s="24"/>
      <c r="D21" s="24"/>
      <c r="E21" s="24"/>
      <c r="F21" s="24"/>
      <c r="G21" s="70">
        <f>SUMIF(C3:C19,"*Supps C*",G3:G19)</f>
        <v>200</v>
      </c>
      <c r="H21" s="24"/>
      <c r="I21" s="24"/>
      <c r="J21" s="24"/>
      <c r="K21" s="24"/>
      <c r="L21" s="25"/>
    </row>
    <row r="23" spans="1:12" ht="15.75" x14ac:dyDescent="0.45">
      <c r="A23" s="58" t="s">
        <v>393</v>
      </c>
      <c r="B23" s="1"/>
    </row>
    <row r="25" spans="1:12" x14ac:dyDescent="0.45">
      <c r="A25" s="1"/>
      <c r="B25" s="1"/>
    </row>
    <row r="26" spans="1:12" x14ac:dyDescent="0.45">
      <c r="A26" s="1"/>
      <c r="B26" s="1"/>
    </row>
  </sheetData>
  <mergeCells count="15">
    <mergeCell ref="A8:A9"/>
    <mergeCell ref="A16:A17"/>
    <mergeCell ref="C16:C17"/>
    <mergeCell ref="D16:D17"/>
    <mergeCell ref="E16:E17"/>
    <mergeCell ref="B8:B9"/>
    <mergeCell ref="B16:B17"/>
    <mergeCell ref="A13:A14"/>
    <mergeCell ref="B13:B14"/>
    <mergeCell ref="L16:L17"/>
    <mergeCell ref="F16:F17"/>
    <mergeCell ref="G16:G17"/>
    <mergeCell ref="H16:H17"/>
    <mergeCell ref="I16:I17"/>
    <mergeCell ref="K16:K17"/>
  </mergeCells>
  <hyperlinks>
    <hyperlink ref="I7" r:id="rId1" xr:uid="{1540B2A2-2984-48E7-A871-D135B0C046DA}"/>
    <hyperlink ref="I6" r:id="rId2" xr:uid="{286F0B26-41AA-436A-A80D-E9A9C492B5AC}"/>
    <hyperlink ref="I16" r:id="rId3" xr:uid="{9EE20607-2354-4D42-B7F2-CA1442D3DAF9}"/>
    <hyperlink ref="I5" r:id="rId4" xr:uid="{A4B9BE79-9D7A-438B-8D49-5EB155EA6847}"/>
    <hyperlink ref="I8" r:id="rId5" xr:uid="{671A4BFC-D553-4509-A213-915B076CAD5A}"/>
    <hyperlink ref="I11" r:id="rId6" xr:uid="{7B89B830-7E53-4A32-9F15-69687737F0D7}"/>
    <hyperlink ref="J13" r:id="rId7" xr:uid="{4EE352B4-79D3-4780-B88E-FCD45B299FC5}"/>
    <hyperlink ref="I13" r:id="rId8" xr:uid="{D9264DA8-B5B3-4F05-A7DC-95494BD0FF53}"/>
    <hyperlink ref="I12" r:id="rId9" xr:uid="{A04A0D1E-9A7C-4C93-BF60-569F4CCF3323}"/>
    <hyperlink ref="I9" r:id="rId10" xr:uid="{9FEDA449-E3FC-4175-92FE-3D8BBE7DC6FB}"/>
    <hyperlink ref="J17" r:id="rId11" xr:uid="{C35F458D-C09C-4469-83A3-39ED1141ADC7}"/>
    <hyperlink ref="I14" r:id="rId12" xr:uid="{8D78F163-DF9F-4B9F-B0BA-8051DE2EB60D}"/>
    <hyperlink ref="J7" r:id="rId13" display="CEBA data" xr:uid="{C9275DAD-2A63-47F5-B32D-C13B0D762590}"/>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56"/>
  <sheetViews>
    <sheetView showGridLines="0" zoomScale="70" zoomScaleNormal="70" workbookViewId="0"/>
  </sheetViews>
  <sheetFormatPr defaultRowHeight="14.25" x14ac:dyDescent="0.45"/>
  <cols>
    <col min="1" max="1" width="68.86328125" customWidth="1"/>
    <col min="2" max="2" width="38.265625" style="56" bestFit="1" customWidth="1"/>
    <col min="3" max="3" width="26.1328125" bestFit="1" customWidth="1"/>
    <col min="4" max="4" width="46.59765625" customWidth="1"/>
    <col min="5" max="5" width="25.265625" bestFit="1" customWidth="1"/>
    <col min="6" max="6" width="42.73046875" style="56" bestFit="1" customWidth="1"/>
    <col min="7" max="7" width="37.265625" bestFit="1" customWidth="1"/>
    <col min="8" max="8" width="14.1328125" bestFit="1" customWidth="1"/>
    <col min="9" max="9" width="13.73046875" bestFit="1" customWidth="1"/>
    <col min="10" max="10" width="21.1328125" bestFit="1" customWidth="1"/>
    <col min="11" max="11" width="30.73046875" customWidth="1"/>
    <col min="12" max="12" width="18.3984375" bestFit="1" customWidth="1"/>
  </cols>
  <sheetData>
    <row r="1" spans="1:12" x14ac:dyDescent="0.45">
      <c r="A1" s="43" t="s">
        <v>352</v>
      </c>
      <c r="B1" s="43"/>
    </row>
    <row r="2" spans="1:12" ht="14.65" thickBot="1" x14ac:dyDescent="0.5"/>
    <row r="3" spans="1:12" ht="15.75" x14ac:dyDescent="0.45">
      <c r="A3" s="42" t="s">
        <v>353</v>
      </c>
      <c r="B3" s="77" t="s">
        <v>392</v>
      </c>
      <c r="C3" s="30" t="s">
        <v>428</v>
      </c>
      <c r="D3" s="30" t="s">
        <v>1</v>
      </c>
      <c r="E3" s="30" t="s">
        <v>2</v>
      </c>
      <c r="F3" s="30" t="s">
        <v>348</v>
      </c>
      <c r="G3" s="30" t="s">
        <v>3</v>
      </c>
      <c r="H3" s="31" t="s">
        <v>4</v>
      </c>
      <c r="I3" s="31" t="s">
        <v>5</v>
      </c>
      <c r="J3" s="31" t="s">
        <v>6</v>
      </c>
      <c r="K3" s="31" t="s">
        <v>7</v>
      </c>
      <c r="L3" s="32" t="s">
        <v>8</v>
      </c>
    </row>
    <row r="4" spans="1:12" ht="32.25" customHeight="1" x14ac:dyDescent="0.45">
      <c r="A4" s="315" t="s">
        <v>305</v>
      </c>
      <c r="B4" s="281"/>
      <c r="C4" s="132" t="s">
        <v>28</v>
      </c>
      <c r="D4" s="101" t="s">
        <v>304</v>
      </c>
      <c r="E4" s="132" t="s">
        <v>18</v>
      </c>
      <c r="F4" s="132" t="s">
        <v>115</v>
      </c>
      <c r="G4" s="145">
        <v>-20</v>
      </c>
      <c r="H4" s="376" t="s">
        <v>87</v>
      </c>
      <c r="I4" s="376"/>
      <c r="J4" s="376"/>
      <c r="K4" s="376"/>
      <c r="L4" s="377"/>
    </row>
    <row r="5" spans="1:12" ht="36" customHeight="1" x14ac:dyDescent="0.45">
      <c r="A5" s="315"/>
      <c r="B5" s="277"/>
      <c r="C5" s="132" t="s">
        <v>28</v>
      </c>
      <c r="D5" s="101" t="s">
        <v>304</v>
      </c>
      <c r="E5" s="132" t="s">
        <v>18</v>
      </c>
      <c r="F5" s="132" t="s">
        <v>115</v>
      </c>
      <c r="G5" s="145">
        <v>20</v>
      </c>
      <c r="H5" s="376"/>
      <c r="I5" s="376"/>
      <c r="J5" s="376"/>
      <c r="K5" s="376"/>
      <c r="L5" s="377"/>
    </row>
    <row r="6" spans="1:12" x14ac:dyDescent="0.45">
      <c r="A6" s="131" t="s">
        <v>303</v>
      </c>
      <c r="B6" s="106">
        <v>112</v>
      </c>
      <c r="C6" s="116" t="s">
        <v>44</v>
      </c>
      <c r="D6" s="116" t="s">
        <v>39</v>
      </c>
      <c r="E6" s="132" t="s">
        <v>115</v>
      </c>
      <c r="F6" s="132"/>
      <c r="G6" s="145" t="s">
        <v>115</v>
      </c>
      <c r="H6" s="116" t="s">
        <v>13</v>
      </c>
      <c r="I6" s="121" t="s">
        <v>40</v>
      </c>
      <c r="J6" s="118" t="s">
        <v>184</v>
      </c>
      <c r="K6" s="98"/>
      <c r="L6" s="105"/>
    </row>
    <row r="7" spans="1:12" x14ac:dyDescent="0.45">
      <c r="A7" s="113" t="s">
        <v>302</v>
      </c>
      <c r="B7" s="107"/>
      <c r="C7" s="116" t="s">
        <v>10</v>
      </c>
      <c r="D7" s="116" t="s">
        <v>19</v>
      </c>
      <c r="E7" s="116" t="s">
        <v>18</v>
      </c>
      <c r="F7" s="132" t="s">
        <v>115</v>
      </c>
      <c r="G7" s="145">
        <v>6.4198120000000003</v>
      </c>
      <c r="H7" s="116" t="s">
        <v>13</v>
      </c>
      <c r="I7" s="117" t="s">
        <v>20</v>
      </c>
      <c r="J7" s="118" t="s">
        <v>15</v>
      </c>
      <c r="K7" s="98"/>
      <c r="L7" s="105"/>
    </row>
    <row r="8" spans="1:12" ht="28.5" x14ac:dyDescent="0.45">
      <c r="A8" s="113" t="s">
        <v>301</v>
      </c>
      <c r="B8" s="107"/>
      <c r="C8" s="116" t="s">
        <v>10</v>
      </c>
      <c r="D8" s="118" t="s">
        <v>246</v>
      </c>
      <c r="E8" s="116" t="s">
        <v>18</v>
      </c>
      <c r="F8" s="132" t="s">
        <v>115</v>
      </c>
      <c r="G8" s="145">
        <v>5</v>
      </c>
      <c r="H8" s="116" t="s">
        <v>13</v>
      </c>
      <c r="I8" s="117" t="s">
        <v>227</v>
      </c>
      <c r="J8" s="118" t="s">
        <v>75</v>
      </c>
      <c r="K8" s="98"/>
      <c r="L8" s="105"/>
    </row>
    <row r="9" spans="1:12" ht="30" customHeight="1" x14ac:dyDescent="0.45">
      <c r="A9" s="315" t="s">
        <v>300</v>
      </c>
      <c r="B9" s="281"/>
      <c r="C9" s="116" t="s">
        <v>10</v>
      </c>
      <c r="D9" s="118" t="s">
        <v>299</v>
      </c>
      <c r="E9" s="116" t="s">
        <v>18</v>
      </c>
      <c r="F9" s="132" t="s">
        <v>115</v>
      </c>
      <c r="G9" s="145">
        <v>-3.3290000000000002</v>
      </c>
      <c r="H9" s="262" t="s">
        <v>87</v>
      </c>
      <c r="I9" s="262"/>
      <c r="J9" s="262"/>
      <c r="K9" s="379"/>
      <c r="L9" s="378"/>
    </row>
    <row r="10" spans="1:12" ht="30" customHeight="1" x14ac:dyDescent="0.45">
      <c r="A10" s="315"/>
      <c r="B10" s="277"/>
      <c r="C10" s="116" t="s">
        <v>10</v>
      </c>
      <c r="D10" s="116" t="s">
        <v>299</v>
      </c>
      <c r="E10" s="116" t="s">
        <v>18</v>
      </c>
      <c r="F10" s="132" t="s">
        <v>115</v>
      </c>
      <c r="G10" s="145">
        <v>3.3290000000000002</v>
      </c>
      <c r="H10" s="262"/>
      <c r="I10" s="262"/>
      <c r="J10" s="262"/>
      <c r="K10" s="379"/>
      <c r="L10" s="378"/>
    </row>
    <row r="11" spans="1:12" x14ac:dyDescent="0.45">
      <c r="A11" s="315" t="s">
        <v>298</v>
      </c>
      <c r="B11" s="281"/>
      <c r="C11" s="116" t="s">
        <v>10</v>
      </c>
      <c r="D11" s="116" t="s">
        <v>297</v>
      </c>
      <c r="E11" s="116" t="s">
        <v>18</v>
      </c>
      <c r="F11" s="132" t="s">
        <v>115</v>
      </c>
      <c r="G11" s="145">
        <v>-33.732999999999997</v>
      </c>
      <c r="H11" s="262" t="s">
        <v>87</v>
      </c>
      <c r="I11" s="262"/>
      <c r="J11" s="262"/>
      <c r="K11" s="379"/>
      <c r="L11" s="378"/>
    </row>
    <row r="12" spans="1:12" x14ac:dyDescent="0.45">
      <c r="A12" s="315"/>
      <c r="B12" s="277"/>
      <c r="C12" s="116" t="s">
        <v>10</v>
      </c>
      <c r="D12" s="116" t="s">
        <v>297</v>
      </c>
      <c r="E12" s="116" t="s">
        <v>18</v>
      </c>
      <c r="F12" s="132" t="s">
        <v>115</v>
      </c>
      <c r="G12" s="145">
        <v>33.732999999999997</v>
      </c>
      <c r="H12" s="262"/>
      <c r="I12" s="262"/>
      <c r="J12" s="262"/>
      <c r="K12" s="379"/>
      <c r="L12" s="378"/>
    </row>
    <row r="13" spans="1:12" ht="30" customHeight="1" x14ac:dyDescent="0.45">
      <c r="A13" s="315" t="s">
        <v>296</v>
      </c>
      <c r="B13" s="281"/>
      <c r="C13" s="116" t="s">
        <v>10</v>
      </c>
      <c r="D13" s="118" t="s">
        <v>295</v>
      </c>
      <c r="E13" s="116" t="s">
        <v>18</v>
      </c>
      <c r="F13" s="132" t="s">
        <v>115</v>
      </c>
      <c r="G13" s="145">
        <v>5.5269320000000004</v>
      </c>
      <c r="H13" s="116" t="s">
        <v>87</v>
      </c>
      <c r="I13" s="116"/>
      <c r="J13" s="116"/>
      <c r="K13" s="98"/>
      <c r="L13" s="105"/>
    </row>
    <row r="14" spans="1:12" x14ac:dyDescent="0.45">
      <c r="A14" s="315"/>
      <c r="B14" s="277"/>
      <c r="C14" s="116" t="s">
        <v>10</v>
      </c>
      <c r="D14" s="118" t="s">
        <v>93</v>
      </c>
      <c r="E14" s="116" t="s">
        <v>18</v>
      </c>
      <c r="F14" s="132" t="s">
        <v>115</v>
      </c>
      <c r="G14" s="145">
        <f>27.30409+63.65</f>
        <v>90.954089999999994</v>
      </c>
      <c r="H14" s="116" t="s">
        <v>13</v>
      </c>
      <c r="I14" s="117" t="s">
        <v>94</v>
      </c>
      <c r="J14" s="118" t="s">
        <v>21</v>
      </c>
      <c r="K14" s="175" t="s">
        <v>464</v>
      </c>
      <c r="L14" s="115">
        <v>44255</v>
      </c>
    </row>
    <row r="15" spans="1:12" ht="30" customHeight="1" x14ac:dyDescent="0.45">
      <c r="A15" s="315" t="s">
        <v>294</v>
      </c>
      <c r="B15" s="281"/>
      <c r="C15" s="116" t="s">
        <v>10</v>
      </c>
      <c r="D15" s="118" t="s">
        <v>288</v>
      </c>
      <c r="E15" s="116" t="s">
        <v>18</v>
      </c>
      <c r="F15" s="132" t="s">
        <v>115</v>
      </c>
      <c r="G15" s="145">
        <v>1.3129919999999999</v>
      </c>
      <c r="H15" s="116" t="s">
        <v>13</v>
      </c>
      <c r="I15" s="117" t="s">
        <v>287</v>
      </c>
      <c r="J15" s="118" t="s">
        <v>21</v>
      </c>
      <c r="K15" s="109" t="s">
        <v>405</v>
      </c>
      <c r="L15" s="115">
        <v>44135</v>
      </c>
    </row>
    <row r="16" spans="1:12" x14ac:dyDescent="0.45">
      <c r="A16" s="315"/>
      <c r="B16" s="282"/>
      <c r="C16" s="116" t="s">
        <v>10</v>
      </c>
      <c r="D16" s="118" t="s">
        <v>37</v>
      </c>
      <c r="E16" s="116" t="s">
        <v>18</v>
      </c>
      <c r="F16" s="132" t="s">
        <v>115</v>
      </c>
      <c r="G16" s="166">
        <v>0.44668799999999997</v>
      </c>
      <c r="H16" s="116" t="s">
        <v>13</v>
      </c>
      <c r="I16" s="117" t="s">
        <v>293</v>
      </c>
      <c r="J16" s="118" t="s">
        <v>223</v>
      </c>
      <c r="K16" s="98"/>
      <c r="L16" s="105"/>
    </row>
    <row r="17" spans="1:12" x14ac:dyDescent="0.45">
      <c r="A17" s="315"/>
      <c r="B17" s="277"/>
      <c r="C17" s="116" t="s">
        <v>10</v>
      </c>
      <c r="D17" s="118" t="s">
        <v>32</v>
      </c>
      <c r="E17" s="116" t="s">
        <v>18</v>
      </c>
      <c r="F17" s="132" t="s">
        <v>115</v>
      </c>
      <c r="G17" s="166">
        <v>0.19544</v>
      </c>
      <c r="H17" s="116" t="s">
        <v>13</v>
      </c>
      <c r="I17" s="117" t="s">
        <v>33</v>
      </c>
      <c r="J17" s="116" t="s">
        <v>15</v>
      </c>
      <c r="K17" s="98"/>
      <c r="L17" s="105"/>
    </row>
    <row r="18" spans="1:12" x14ac:dyDescent="0.45">
      <c r="A18" s="315" t="s">
        <v>292</v>
      </c>
      <c r="B18" s="281"/>
      <c r="C18" s="116" t="s">
        <v>10</v>
      </c>
      <c r="D18" s="118" t="s">
        <v>114</v>
      </c>
      <c r="E18" s="116" t="s">
        <v>18</v>
      </c>
      <c r="F18" s="132" t="s">
        <v>115</v>
      </c>
      <c r="G18" s="145">
        <v>-2</v>
      </c>
      <c r="H18" s="262" t="s">
        <v>13</v>
      </c>
      <c r="I18" s="263" t="s">
        <v>77</v>
      </c>
      <c r="J18" s="264" t="s">
        <v>75</v>
      </c>
      <c r="K18" s="379"/>
      <c r="L18" s="378"/>
    </row>
    <row r="19" spans="1:12" x14ac:dyDescent="0.45">
      <c r="A19" s="315"/>
      <c r="B19" s="277"/>
      <c r="C19" s="116" t="s">
        <v>10</v>
      </c>
      <c r="D19" s="116" t="s">
        <v>72</v>
      </c>
      <c r="E19" s="116" t="s">
        <v>18</v>
      </c>
      <c r="F19" s="132" t="s">
        <v>115</v>
      </c>
      <c r="G19" s="145">
        <v>2</v>
      </c>
      <c r="H19" s="262"/>
      <c r="I19" s="263"/>
      <c r="J19" s="264"/>
      <c r="K19" s="379"/>
      <c r="L19" s="378"/>
    </row>
    <row r="20" spans="1:12" x14ac:dyDescent="0.45">
      <c r="A20" s="380" t="s">
        <v>291</v>
      </c>
      <c r="B20" s="283"/>
      <c r="C20" s="116" t="s">
        <v>10</v>
      </c>
      <c r="D20" s="116" t="s">
        <v>22</v>
      </c>
      <c r="E20" s="116" t="s">
        <v>18</v>
      </c>
      <c r="F20" s="132" t="s">
        <v>115</v>
      </c>
      <c r="G20" s="166">
        <v>-0.45871099999999998</v>
      </c>
      <c r="H20" s="262" t="s">
        <v>13</v>
      </c>
      <c r="I20" s="263" t="s">
        <v>164</v>
      </c>
      <c r="J20" s="264" t="s">
        <v>75</v>
      </c>
      <c r="K20" s="379"/>
      <c r="L20" s="378"/>
    </row>
    <row r="21" spans="1:12" x14ac:dyDescent="0.45">
      <c r="A21" s="380"/>
      <c r="B21" s="285"/>
      <c r="C21" s="116" t="s">
        <v>10</v>
      </c>
      <c r="D21" s="116" t="s">
        <v>68</v>
      </c>
      <c r="E21" s="116" t="s">
        <v>18</v>
      </c>
      <c r="F21" s="132" t="s">
        <v>115</v>
      </c>
      <c r="G21" s="166">
        <v>0.45871099999999998</v>
      </c>
      <c r="H21" s="262"/>
      <c r="I21" s="263"/>
      <c r="J21" s="264"/>
      <c r="K21" s="379"/>
      <c r="L21" s="378"/>
    </row>
    <row r="22" spans="1:12" ht="28.5" x14ac:dyDescent="0.45">
      <c r="A22" s="380" t="s">
        <v>290</v>
      </c>
      <c r="B22" s="283"/>
      <c r="C22" s="116" t="s">
        <v>10</v>
      </c>
      <c r="D22" s="116" t="s">
        <v>68</v>
      </c>
      <c r="E22" s="116" t="s">
        <v>18</v>
      </c>
      <c r="F22" s="132" t="s">
        <v>115</v>
      </c>
      <c r="G22" s="145">
        <v>44.52328</v>
      </c>
      <c r="H22" s="116" t="s">
        <v>13</v>
      </c>
      <c r="I22" s="117" t="s">
        <v>164</v>
      </c>
      <c r="J22" s="118" t="s">
        <v>75</v>
      </c>
      <c r="K22" s="98"/>
      <c r="L22" s="105"/>
    </row>
    <row r="23" spans="1:12" ht="28.5" x14ac:dyDescent="0.45">
      <c r="A23" s="380"/>
      <c r="B23" s="285"/>
      <c r="C23" s="116" t="s">
        <v>10</v>
      </c>
      <c r="D23" s="116" t="s">
        <v>72</v>
      </c>
      <c r="E23" s="116" t="s">
        <v>18</v>
      </c>
      <c r="F23" s="132" t="s">
        <v>115</v>
      </c>
      <c r="G23" s="145">
        <v>3.9385840000000001</v>
      </c>
      <c r="H23" s="116" t="s">
        <v>13</v>
      </c>
      <c r="I23" s="117" t="s">
        <v>77</v>
      </c>
      <c r="J23" s="118" t="s">
        <v>75</v>
      </c>
      <c r="K23" s="98"/>
      <c r="L23" s="105"/>
    </row>
    <row r="24" spans="1:12" ht="28.5" x14ac:dyDescent="0.45">
      <c r="A24" s="131" t="s">
        <v>289</v>
      </c>
      <c r="B24" s="108"/>
      <c r="C24" s="116" t="s">
        <v>10</v>
      </c>
      <c r="D24" s="118" t="s">
        <v>128</v>
      </c>
      <c r="E24" s="116" t="s">
        <v>18</v>
      </c>
      <c r="F24" s="132" t="s">
        <v>115</v>
      </c>
      <c r="G24" s="145">
        <v>4.2189170000000003</v>
      </c>
      <c r="H24" s="116" t="s">
        <v>87</v>
      </c>
      <c r="I24" s="116"/>
      <c r="J24" s="116"/>
      <c r="K24" s="98"/>
      <c r="L24" s="105"/>
    </row>
    <row r="25" spans="1:12" x14ac:dyDescent="0.45">
      <c r="A25" s="113" t="s">
        <v>286</v>
      </c>
      <c r="B25" s="107"/>
      <c r="C25" s="116" t="s">
        <v>44</v>
      </c>
      <c r="D25" s="116" t="s">
        <v>285</v>
      </c>
      <c r="E25" s="116" t="s">
        <v>115</v>
      </c>
      <c r="F25" s="132" t="s">
        <v>115</v>
      </c>
      <c r="G25" s="145" t="s">
        <v>115</v>
      </c>
      <c r="H25" s="116" t="s">
        <v>13</v>
      </c>
      <c r="I25" s="117" t="s">
        <v>284</v>
      </c>
      <c r="J25" s="118" t="s">
        <v>21</v>
      </c>
      <c r="K25" s="98" t="s">
        <v>130</v>
      </c>
      <c r="L25" s="105"/>
    </row>
    <row r="26" spans="1:12" ht="28.5" x14ac:dyDescent="0.45">
      <c r="A26" s="113" t="s">
        <v>340</v>
      </c>
      <c r="B26" s="107"/>
      <c r="C26" s="116" t="s">
        <v>44</v>
      </c>
      <c r="D26" s="118" t="s">
        <v>37</v>
      </c>
      <c r="E26" s="116" t="s">
        <v>115</v>
      </c>
      <c r="F26" s="132" t="s">
        <v>115</v>
      </c>
      <c r="G26" s="145" t="s">
        <v>115</v>
      </c>
      <c r="H26" s="173" t="s">
        <v>462</v>
      </c>
      <c r="I26" s="116" t="s">
        <v>115</v>
      </c>
      <c r="J26" s="123" t="s">
        <v>252</v>
      </c>
      <c r="K26" s="124" t="s">
        <v>341</v>
      </c>
      <c r="L26" s="120" t="s">
        <v>88</v>
      </c>
    </row>
    <row r="27" spans="1:12" ht="57" x14ac:dyDescent="0.45">
      <c r="A27" s="113" t="s">
        <v>342</v>
      </c>
      <c r="B27" s="83">
        <v>4</v>
      </c>
      <c r="C27" s="116" t="s">
        <v>44</v>
      </c>
      <c r="D27" s="118" t="s">
        <v>37</v>
      </c>
      <c r="E27" s="116" t="s">
        <v>115</v>
      </c>
      <c r="F27" s="123" t="s">
        <v>379</v>
      </c>
      <c r="G27" s="145" t="s">
        <v>115</v>
      </c>
      <c r="H27" s="116" t="s">
        <v>13</v>
      </c>
      <c r="I27" s="117" t="s">
        <v>343</v>
      </c>
      <c r="J27" s="123" t="s">
        <v>344</v>
      </c>
      <c r="K27" s="103" t="s">
        <v>610</v>
      </c>
      <c r="L27" s="115">
        <v>44283</v>
      </c>
    </row>
    <row r="28" spans="1:12" s="56" customFormat="1" ht="28.5" x14ac:dyDescent="0.45">
      <c r="A28" s="113" t="s">
        <v>282</v>
      </c>
      <c r="B28" s="124"/>
      <c r="C28" s="116" t="s">
        <v>44</v>
      </c>
      <c r="D28" s="118" t="s">
        <v>161</v>
      </c>
      <c r="E28" s="116" t="s">
        <v>115</v>
      </c>
      <c r="F28" s="112" t="s">
        <v>115</v>
      </c>
      <c r="G28" s="155" t="s">
        <v>115</v>
      </c>
      <c r="H28" s="114" t="s">
        <v>13</v>
      </c>
      <c r="I28" s="125" t="s">
        <v>164</v>
      </c>
      <c r="J28" s="112" t="s">
        <v>75</v>
      </c>
      <c r="K28" s="122"/>
      <c r="L28" s="128"/>
    </row>
    <row r="29" spans="1:12" s="56" customFormat="1" x14ac:dyDescent="0.45">
      <c r="A29" s="113" t="s">
        <v>391</v>
      </c>
      <c r="B29" s="124"/>
      <c r="C29" s="116" t="s">
        <v>44</v>
      </c>
      <c r="D29" s="118" t="s">
        <v>11</v>
      </c>
      <c r="E29" s="116" t="s">
        <v>115</v>
      </c>
      <c r="F29" s="118" t="s">
        <v>115</v>
      </c>
      <c r="G29" s="145" t="s">
        <v>115</v>
      </c>
      <c r="H29" s="116" t="s">
        <v>13</v>
      </c>
      <c r="I29" s="121" t="s">
        <v>14</v>
      </c>
      <c r="J29" s="116" t="s">
        <v>21</v>
      </c>
      <c r="K29" s="119" t="s">
        <v>576</v>
      </c>
      <c r="L29" s="202">
        <v>44257</v>
      </c>
    </row>
    <row r="30" spans="1:12" s="56" customFormat="1" x14ac:dyDescent="0.45">
      <c r="A30" s="113" t="s">
        <v>450</v>
      </c>
      <c r="B30" s="124"/>
      <c r="C30" s="116" t="s">
        <v>430</v>
      </c>
      <c r="D30" s="71" t="s">
        <v>229</v>
      </c>
      <c r="E30" s="116" t="s">
        <v>18</v>
      </c>
      <c r="F30" s="118" t="s">
        <v>115</v>
      </c>
      <c r="G30" s="145">
        <v>6.8760000000000003</v>
      </c>
      <c r="H30" s="139" t="s">
        <v>13</v>
      </c>
      <c r="I30" s="137" t="s">
        <v>33</v>
      </c>
      <c r="J30" s="139" t="s">
        <v>15</v>
      </c>
      <c r="K30" s="122"/>
      <c r="L30" s="127"/>
    </row>
    <row r="31" spans="1:12" s="56" customFormat="1" x14ac:dyDescent="0.45">
      <c r="A31" s="315" t="s">
        <v>449</v>
      </c>
      <c r="B31" s="264"/>
      <c r="C31" s="116" t="s">
        <v>430</v>
      </c>
      <c r="D31" s="118" t="s">
        <v>24</v>
      </c>
      <c r="E31" s="116" t="s">
        <v>18</v>
      </c>
      <c r="F31" s="118" t="s">
        <v>115</v>
      </c>
      <c r="G31" s="145">
        <v>-1.1006830000000001</v>
      </c>
      <c r="H31" s="262" t="s">
        <v>13</v>
      </c>
      <c r="I31" s="263" t="s">
        <v>77</v>
      </c>
      <c r="J31" s="283" t="s">
        <v>15</v>
      </c>
      <c r="K31" s="283"/>
      <c r="L31" s="372"/>
    </row>
    <row r="32" spans="1:12" s="56" customFormat="1" x14ac:dyDescent="0.45">
      <c r="A32" s="315"/>
      <c r="B32" s="264"/>
      <c r="C32" s="116" t="s">
        <v>430</v>
      </c>
      <c r="D32" s="61" t="s">
        <v>72</v>
      </c>
      <c r="E32" s="116" t="s">
        <v>18</v>
      </c>
      <c r="F32" s="118" t="s">
        <v>115</v>
      </c>
      <c r="G32" s="145">
        <v>1.1006830000000001</v>
      </c>
      <c r="H32" s="262"/>
      <c r="I32" s="263"/>
      <c r="J32" s="285"/>
      <c r="K32" s="285"/>
      <c r="L32" s="373"/>
    </row>
    <row r="33" spans="1:12" s="56" customFormat="1" x14ac:dyDescent="0.45">
      <c r="A33" s="113" t="s">
        <v>448</v>
      </c>
      <c r="B33" s="124"/>
      <c r="C33" s="116" t="s">
        <v>430</v>
      </c>
      <c r="D33" s="61" t="s">
        <v>68</v>
      </c>
      <c r="E33" s="116" t="s">
        <v>18</v>
      </c>
      <c r="F33" s="118" t="s">
        <v>115</v>
      </c>
      <c r="G33" s="145">
        <v>1.5</v>
      </c>
      <c r="H33" s="139" t="s">
        <v>13</v>
      </c>
      <c r="I33" s="137" t="s">
        <v>164</v>
      </c>
      <c r="J33" s="114" t="s">
        <v>15</v>
      </c>
      <c r="K33" s="122"/>
      <c r="L33" s="127"/>
    </row>
    <row r="34" spans="1:12" s="56" customFormat="1" x14ac:dyDescent="0.45">
      <c r="A34" s="244" t="s">
        <v>446</v>
      </c>
      <c r="B34" s="281"/>
      <c r="C34" s="116" t="s">
        <v>430</v>
      </c>
      <c r="D34" s="61" t="s">
        <v>35</v>
      </c>
      <c r="E34" s="116" t="s">
        <v>18</v>
      </c>
      <c r="F34" s="118" t="s">
        <v>115</v>
      </c>
      <c r="G34" s="145">
        <f>58+-3.5</f>
        <v>54.5</v>
      </c>
      <c r="H34" s="139" t="s">
        <v>13</v>
      </c>
      <c r="I34" s="137" t="s">
        <v>40</v>
      </c>
      <c r="J34" s="114" t="s">
        <v>15</v>
      </c>
      <c r="K34" s="122"/>
      <c r="L34" s="127"/>
    </row>
    <row r="35" spans="1:12" s="56" customFormat="1" ht="28.5" x14ac:dyDescent="0.45">
      <c r="A35" s="246"/>
      <c r="B35" s="277"/>
      <c r="C35" s="116" t="s">
        <v>430</v>
      </c>
      <c r="D35" s="61" t="s">
        <v>29</v>
      </c>
      <c r="E35" s="116" t="s">
        <v>18</v>
      </c>
      <c r="F35" s="118" t="s">
        <v>115</v>
      </c>
      <c r="G35" s="145">
        <v>3.5</v>
      </c>
      <c r="H35" s="136" t="s">
        <v>388</v>
      </c>
      <c r="I35" s="126"/>
      <c r="J35" s="114"/>
      <c r="K35" s="122"/>
      <c r="L35" s="127"/>
    </row>
    <row r="36" spans="1:12" s="56" customFormat="1" x14ac:dyDescent="0.45">
      <c r="A36" s="111" t="s">
        <v>445</v>
      </c>
      <c r="B36" s="129"/>
      <c r="C36" s="116" t="s">
        <v>430</v>
      </c>
      <c r="D36" s="61" t="s">
        <v>93</v>
      </c>
      <c r="E36" s="116" t="s">
        <v>18</v>
      </c>
      <c r="F36" s="118" t="s">
        <v>115</v>
      </c>
      <c r="G36" s="145">
        <v>27.858000000000001</v>
      </c>
      <c r="H36" s="162" t="s">
        <v>13</v>
      </c>
      <c r="I36" s="163" t="s">
        <v>94</v>
      </c>
      <c r="J36" s="114" t="s">
        <v>21</v>
      </c>
      <c r="K36" s="122" t="s">
        <v>465</v>
      </c>
      <c r="L36" s="174">
        <v>44255</v>
      </c>
    </row>
    <row r="37" spans="1:12" s="56" customFormat="1" x14ac:dyDescent="0.45">
      <c r="A37" s="111" t="s">
        <v>443</v>
      </c>
      <c r="B37" s="129"/>
      <c r="C37" s="116" t="s">
        <v>430</v>
      </c>
      <c r="D37" s="138" t="s">
        <v>444</v>
      </c>
      <c r="E37" s="116" t="s">
        <v>18</v>
      </c>
      <c r="F37" s="118" t="s">
        <v>115</v>
      </c>
      <c r="G37" s="145">
        <v>12</v>
      </c>
      <c r="H37" s="161" t="s">
        <v>87</v>
      </c>
      <c r="I37" s="126"/>
      <c r="J37" s="114"/>
      <c r="K37" s="122"/>
      <c r="L37" s="127"/>
    </row>
    <row r="38" spans="1:12" s="56" customFormat="1" x14ac:dyDescent="0.45">
      <c r="A38" s="111" t="s">
        <v>439</v>
      </c>
      <c r="B38" s="129"/>
      <c r="C38" s="116" t="s">
        <v>430</v>
      </c>
      <c r="D38" s="61" t="s">
        <v>145</v>
      </c>
      <c r="E38" s="116" t="s">
        <v>18</v>
      </c>
      <c r="F38" s="118" t="s">
        <v>115</v>
      </c>
      <c r="G38" s="145">
        <v>1.095429</v>
      </c>
      <c r="H38" s="161" t="s">
        <v>87</v>
      </c>
      <c r="I38" s="126"/>
      <c r="J38" s="114"/>
      <c r="K38" s="122"/>
      <c r="L38" s="127"/>
    </row>
    <row r="39" spans="1:12" s="56" customFormat="1" x14ac:dyDescent="0.45">
      <c r="A39" s="111" t="s">
        <v>440</v>
      </c>
      <c r="B39" s="129"/>
      <c r="C39" s="116" t="s">
        <v>430</v>
      </c>
      <c r="D39" s="61" t="s">
        <v>145</v>
      </c>
      <c r="E39" s="116" t="s">
        <v>18</v>
      </c>
      <c r="F39" s="118" t="s">
        <v>115</v>
      </c>
      <c r="G39" s="145">
        <v>20.712181000000001</v>
      </c>
      <c r="H39" s="161" t="s">
        <v>87</v>
      </c>
      <c r="I39" s="126"/>
      <c r="J39" s="114"/>
      <c r="K39" s="122"/>
      <c r="L39" s="127"/>
    </row>
    <row r="40" spans="1:12" s="56" customFormat="1" x14ac:dyDescent="0.45">
      <c r="A40" s="111" t="s">
        <v>441</v>
      </c>
      <c r="B40" s="129"/>
      <c r="C40" s="116" t="s">
        <v>430</v>
      </c>
      <c r="D40" s="61" t="s">
        <v>145</v>
      </c>
      <c r="E40" s="116" t="s">
        <v>18</v>
      </c>
      <c r="F40" s="118" t="s">
        <v>115</v>
      </c>
      <c r="G40" s="145">
        <v>2.1428500000000001</v>
      </c>
      <c r="H40" s="161" t="s">
        <v>87</v>
      </c>
      <c r="I40" s="126"/>
      <c r="J40" s="114"/>
      <c r="K40" s="122"/>
      <c r="L40" s="127"/>
    </row>
    <row r="41" spans="1:12" s="56" customFormat="1" x14ac:dyDescent="0.45">
      <c r="A41" s="111" t="s">
        <v>442</v>
      </c>
      <c r="B41" s="129"/>
      <c r="C41" s="116" t="s">
        <v>430</v>
      </c>
      <c r="D41" s="61" t="s">
        <v>145</v>
      </c>
      <c r="E41" s="116" t="s">
        <v>18</v>
      </c>
      <c r="F41" s="118" t="s">
        <v>115</v>
      </c>
      <c r="G41" s="145">
        <f>31.1063+5.213945</f>
        <v>36.320245</v>
      </c>
      <c r="H41" s="161" t="s">
        <v>87</v>
      </c>
      <c r="I41" s="126"/>
      <c r="J41" s="114"/>
      <c r="K41" s="122"/>
      <c r="L41" s="127"/>
    </row>
    <row r="42" spans="1:12" s="56" customFormat="1" x14ac:dyDescent="0.45">
      <c r="A42" s="244" t="s">
        <v>436</v>
      </c>
      <c r="B42" s="281"/>
      <c r="C42" s="116" t="s">
        <v>430</v>
      </c>
      <c r="D42" s="138" t="s">
        <v>19</v>
      </c>
      <c r="E42" s="116" t="s">
        <v>18</v>
      </c>
      <c r="F42" s="118" t="s">
        <v>115</v>
      </c>
      <c r="G42" s="145">
        <v>-10.3</v>
      </c>
      <c r="H42" s="283" t="s">
        <v>87</v>
      </c>
      <c r="I42" s="283"/>
      <c r="J42" s="283"/>
      <c r="K42" s="283"/>
      <c r="L42" s="333"/>
    </row>
    <row r="43" spans="1:12" s="56" customFormat="1" x14ac:dyDescent="0.45">
      <c r="A43" s="245"/>
      <c r="B43" s="282"/>
      <c r="C43" s="116" t="s">
        <v>430</v>
      </c>
      <c r="D43" s="138" t="s">
        <v>19</v>
      </c>
      <c r="E43" s="116" t="s">
        <v>18</v>
      </c>
      <c r="F43" s="118" t="s">
        <v>115</v>
      </c>
      <c r="G43" s="145">
        <v>9</v>
      </c>
      <c r="H43" s="284"/>
      <c r="I43" s="284"/>
      <c r="J43" s="284"/>
      <c r="K43" s="284"/>
      <c r="L43" s="242"/>
    </row>
    <row r="44" spans="1:12" s="56" customFormat="1" x14ac:dyDescent="0.45">
      <c r="A44" s="246"/>
      <c r="B44" s="277"/>
      <c r="C44" s="116" t="s">
        <v>430</v>
      </c>
      <c r="D44" s="138" t="s">
        <v>19</v>
      </c>
      <c r="E44" s="116" t="s">
        <v>18</v>
      </c>
      <c r="F44" s="118" t="s">
        <v>115</v>
      </c>
      <c r="G44" s="145">
        <v>1.3</v>
      </c>
      <c r="H44" s="285"/>
      <c r="I44" s="285"/>
      <c r="J44" s="285"/>
      <c r="K44" s="285"/>
      <c r="L44" s="243"/>
    </row>
    <row r="45" spans="1:12" s="56" customFormat="1" x14ac:dyDescent="0.45">
      <c r="A45" s="244" t="s">
        <v>434</v>
      </c>
      <c r="B45" s="281"/>
      <c r="C45" s="116" t="s">
        <v>430</v>
      </c>
      <c r="D45" s="118" t="s">
        <v>435</v>
      </c>
      <c r="E45" s="116" t="s">
        <v>18</v>
      </c>
      <c r="F45" s="118" t="s">
        <v>115</v>
      </c>
      <c r="G45" s="145">
        <v>-3</v>
      </c>
      <c r="H45" s="283" t="s">
        <v>87</v>
      </c>
      <c r="I45" s="283"/>
      <c r="J45" s="283"/>
      <c r="K45" s="283"/>
      <c r="L45" s="333"/>
    </row>
    <row r="46" spans="1:12" s="56" customFormat="1" x14ac:dyDescent="0.45">
      <c r="A46" s="246"/>
      <c r="B46" s="277"/>
      <c r="C46" s="116" t="s">
        <v>430</v>
      </c>
      <c r="D46" s="118" t="s">
        <v>435</v>
      </c>
      <c r="E46" s="116" t="s">
        <v>18</v>
      </c>
      <c r="F46" s="118" t="s">
        <v>115</v>
      </c>
      <c r="G46" s="145">
        <v>3</v>
      </c>
      <c r="H46" s="285"/>
      <c r="I46" s="285"/>
      <c r="J46" s="285"/>
      <c r="K46" s="285"/>
      <c r="L46" s="243"/>
    </row>
    <row r="47" spans="1:12" s="56" customFormat="1" x14ac:dyDescent="0.45">
      <c r="A47" s="244" t="s">
        <v>433</v>
      </c>
      <c r="B47" s="281"/>
      <c r="C47" s="116" t="s">
        <v>430</v>
      </c>
      <c r="D47" s="118" t="s">
        <v>11</v>
      </c>
      <c r="E47" s="116" t="s">
        <v>18</v>
      </c>
      <c r="F47" s="118" t="s">
        <v>115</v>
      </c>
      <c r="G47" s="145">
        <v>-3.6</v>
      </c>
      <c r="H47" s="283" t="s">
        <v>87</v>
      </c>
      <c r="I47" s="308"/>
      <c r="J47" s="308"/>
      <c r="K47" s="308"/>
      <c r="L47" s="374"/>
    </row>
    <row r="48" spans="1:12" s="56" customFormat="1" x14ac:dyDescent="0.45">
      <c r="A48" s="246"/>
      <c r="B48" s="277"/>
      <c r="C48" s="116" t="s">
        <v>430</v>
      </c>
      <c r="D48" s="118" t="s">
        <v>11</v>
      </c>
      <c r="E48" s="116" t="s">
        <v>18</v>
      </c>
      <c r="F48" s="118" t="s">
        <v>115</v>
      </c>
      <c r="G48" s="145">
        <v>3.6</v>
      </c>
      <c r="H48" s="285"/>
      <c r="I48" s="310"/>
      <c r="J48" s="310"/>
      <c r="K48" s="310"/>
      <c r="L48" s="375"/>
    </row>
    <row r="49" spans="1:12" s="56" customFormat="1" ht="14.65" thickBot="1" x14ac:dyDescent="0.5">
      <c r="A49" s="111" t="s">
        <v>451</v>
      </c>
      <c r="B49" s="54"/>
      <c r="C49" s="130" t="s">
        <v>430</v>
      </c>
      <c r="D49" s="130" t="s">
        <v>145</v>
      </c>
      <c r="E49" s="130" t="s">
        <v>12</v>
      </c>
      <c r="F49" s="130" t="s">
        <v>432</v>
      </c>
      <c r="G49" s="160">
        <v>38.5</v>
      </c>
      <c r="H49" s="130" t="s">
        <v>87</v>
      </c>
      <c r="I49" s="130"/>
      <c r="J49" s="130"/>
      <c r="K49" s="54"/>
      <c r="L49" s="51"/>
    </row>
    <row r="50" spans="1:12" ht="14.65" thickBot="1" x14ac:dyDescent="0.5">
      <c r="A50" s="156" t="s">
        <v>354</v>
      </c>
      <c r="B50" s="157">
        <f>SUM(B4:B49)</f>
        <v>116</v>
      </c>
      <c r="C50" s="158"/>
      <c r="D50" s="158"/>
      <c r="E50" s="158"/>
      <c r="F50" s="158"/>
      <c r="G50" s="157">
        <f>SUM(G4:G49)</f>
        <v>367.54144000000002</v>
      </c>
      <c r="H50" s="158"/>
      <c r="I50" s="158"/>
      <c r="J50" s="158"/>
      <c r="K50" s="158"/>
      <c r="L50" s="159"/>
    </row>
    <row r="51" spans="1:12" ht="14.65" thickBot="1" x14ac:dyDescent="0.5">
      <c r="A51" s="41" t="s">
        <v>355</v>
      </c>
      <c r="B51" s="82"/>
      <c r="C51" s="39"/>
      <c r="D51" s="39"/>
      <c r="E51" s="39"/>
      <c r="F51" s="39"/>
      <c r="G51" s="40">
        <f>SUMIF(C4:C49,"*Supps A*",G4:G49)</f>
        <v>0</v>
      </c>
      <c r="H51" s="39"/>
      <c r="I51" s="39"/>
      <c r="J51" s="39"/>
      <c r="K51" s="39"/>
      <c r="L51" s="38"/>
    </row>
    <row r="52" spans="1:12" ht="14.65" thickBot="1" x14ac:dyDescent="0.5">
      <c r="A52" s="41" t="s">
        <v>356</v>
      </c>
      <c r="B52" s="82"/>
      <c r="C52" s="39"/>
      <c r="D52" s="39"/>
      <c r="E52" s="39"/>
      <c r="F52" s="39"/>
      <c r="G52" s="40">
        <f>SUMIF(C4:C49,"*Supps B*",G4:G49)</f>
        <v>162.53673499999999</v>
      </c>
      <c r="H52" s="39"/>
      <c r="I52" s="39"/>
      <c r="J52" s="39"/>
      <c r="K52" s="39"/>
      <c r="L52" s="38"/>
    </row>
    <row r="53" spans="1:12" s="56" customFormat="1" ht="14.65" thickBot="1" x14ac:dyDescent="0.5">
      <c r="A53" s="41" t="s">
        <v>429</v>
      </c>
      <c r="B53" s="82"/>
      <c r="C53" s="39"/>
      <c r="D53" s="39"/>
      <c r="E53" s="39"/>
      <c r="F53" s="39"/>
      <c r="G53" s="40">
        <f>SUMIF(C5:C49,"*Supps C*",G5:G49)</f>
        <v>205.004705</v>
      </c>
      <c r="H53" s="39"/>
      <c r="I53" s="39"/>
      <c r="J53" s="39"/>
      <c r="K53" s="39"/>
      <c r="L53" s="38"/>
    </row>
    <row r="54" spans="1:12" x14ac:dyDescent="0.45">
      <c r="C54" s="36"/>
      <c r="G54" s="37"/>
    </row>
    <row r="55" spans="1:12" ht="15.75" x14ac:dyDescent="0.45">
      <c r="A55" s="90" t="s">
        <v>394</v>
      </c>
      <c r="C55" s="36"/>
    </row>
    <row r="56" spans="1:12" x14ac:dyDescent="0.45">
      <c r="G56" s="23"/>
    </row>
  </sheetData>
  <mergeCells count="71">
    <mergeCell ref="H20:H21"/>
    <mergeCell ref="I20:I21"/>
    <mergeCell ref="J20:J21"/>
    <mergeCell ref="K20:K21"/>
    <mergeCell ref="L20:L21"/>
    <mergeCell ref="B13:B14"/>
    <mergeCell ref="B15:B17"/>
    <mergeCell ref="B18:B19"/>
    <mergeCell ref="B20:B21"/>
    <mergeCell ref="B22:B23"/>
    <mergeCell ref="H18:H19"/>
    <mergeCell ref="I18:I19"/>
    <mergeCell ref="J18:J19"/>
    <mergeCell ref="K18:K19"/>
    <mergeCell ref="L18:L19"/>
    <mergeCell ref="A22:A23"/>
    <mergeCell ref="A13:A14"/>
    <mergeCell ref="A15:A17"/>
    <mergeCell ref="A20:A21"/>
    <mergeCell ref="A18:A19"/>
    <mergeCell ref="J4:J5"/>
    <mergeCell ref="K4:K5"/>
    <mergeCell ref="L4:L5"/>
    <mergeCell ref="L11:L12"/>
    <mergeCell ref="J11:J12"/>
    <mergeCell ref="K11:K12"/>
    <mergeCell ref="J9:J10"/>
    <mergeCell ref="K9:K10"/>
    <mergeCell ref="L9:L10"/>
    <mergeCell ref="A4:A5"/>
    <mergeCell ref="A11:A12"/>
    <mergeCell ref="A9:A10"/>
    <mergeCell ref="H4:H5"/>
    <mergeCell ref="I4:I5"/>
    <mergeCell ref="B4:B5"/>
    <mergeCell ref="B9:B10"/>
    <mergeCell ref="B11:B12"/>
    <mergeCell ref="H11:H12"/>
    <mergeCell ref="H9:H10"/>
    <mergeCell ref="I9:I10"/>
    <mergeCell ref="I11:I12"/>
    <mergeCell ref="K47:K48"/>
    <mergeCell ref="L47:L48"/>
    <mergeCell ref="A45:A46"/>
    <mergeCell ref="B45:B46"/>
    <mergeCell ref="H45:H46"/>
    <mergeCell ref="I45:I46"/>
    <mergeCell ref="J45:J46"/>
    <mergeCell ref="K45:K46"/>
    <mergeCell ref="L45:L46"/>
    <mergeCell ref="A47:A48"/>
    <mergeCell ref="B47:B48"/>
    <mergeCell ref="H47:H48"/>
    <mergeCell ref="I47:I48"/>
    <mergeCell ref="J47:J48"/>
    <mergeCell ref="I42:I44"/>
    <mergeCell ref="J42:J44"/>
    <mergeCell ref="K42:K44"/>
    <mergeCell ref="L42:L44"/>
    <mergeCell ref="A42:A44"/>
    <mergeCell ref="B42:B44"/>
    <mergeCell ref="H42:H44"/>
    <mergeCell ref="A34:A35"/>
    <mergeCell ref="B34:B35"/>
    <mergeCell ref="H31:H32"/>
    <mergeCell ref="K31:K32"/>
    <mergeCell ref="L31:L32"/>
    <mergeCell ref="A31:A32"/>
    <mergeCell ref="B31:B32"/>
    <mergeCell ref="I31:I32"/>
    <mergeCell ref="J31:J32"/>
  </mergeCells>
  <hyperlinks>
    <hyperlink ref="I7" r:id="rId1" xr:uid="{C7DDA9C8-47F3-486D-8596-2F472AF12DC6}"/>
    <hyperlink ref="I8" r:id="rId2" xr:uid="{B1B59685-0D57-4731-8F89-FF2A6F1AE57E}"/>
    <hyperlink ref="I23" r:id="rId3" display="https://www.pbo-dpb.gc.ca/web/default/files/Documents/Info%20Requests/2020/IR0526_NRCCan_COVID19_update_2_request_e.pdf" xr:uid="{C6DCDF1D-C3F6-4229-A3AA-408668ACF8F5}"/>
    <hyperlink ref="I22" r:id="rId4" xr:uid="{08202B5F-E1F1-428F-AEE8-CB880F0AFB8B}"/>
    <hyperlink ref="I17" r:id="rId5" xr:uid="{24E08BA2-17D1-4FF6-AADB-3F07B2F25798}"/>
    <hyperlink ref="I18" r:id="rId6" xr:uid="{3379C29F-3F86-402B-A5D9-42F58BC1A6E1}"/>
    <hyperlink ref="I20" r:id="rId7" xr:uid="{8C2C03CD-5CAA-4B36-8AA3-7095914BFF2F}"/>
    <hyperlink ref="I6" r:id="rId8" xr:uid="{739A8287-A0BD-4AC7-9F95-EDC0B05C29F6}"/>
    <hyperlink ref="I25" r:id="rId9" xr:uid="{D8E3577F-CE8A-469D-8531-8AD6C9A523CA}"/>
    <hyperlink ref="I14" r:id="rId10" xr:uid="{8651A629-7658-42DC-A505-72A0555C03A6}"/>
    <hyperlink ref="I15" r:id="rId11" xr:uid="{C7A8E8CE-E16F-4906-9378-30C0BD3873DF}"/>
    <hyperlink ref="I16" r:id="rId12" xr:uid="{4C4E0F10-62E0-4D52-98FF-6BE24A28EC6B}"/>
    <hyperlink ref="J26" r:id="rId13" display="New Horizons Seniors Grants data" xr:uid="{04BAC282-B83B-4E69-8B30-B4191DA89335}"/>
    <hyperlink ref="I27" r:id="rId14" xr:uid="{C6280C0B-F36C-4D4D-89E1-B76C0F3DA924}"/>
    <hyperlink ref="J27" r:id="rId15" xr:uid="{E44F612C-0D3F-4F2E-A5B7-1A868B94132D}"/>
    <hyperlink ref="I28" r:id="rId16" xr:uid="{39793C87-EC64-43B0-BB6D-6E844D4B6F6C}"/>
    <hyperlink ref="F27" r:id="rId17" xr:uid="{C1C1519A-B9CA-4E08-8674-9A47776B11FC}"/>
    <hyperlink ref="I29" r:id="rId18" xr:uid="{E7E1B426-F619-4BAC-99BA-F8E134274A9A}"/>
    <hyperlink ref="I30" r:id="rId19" xr:uid="{0C5860C0-08F6-4595-B23E-C9D9610835C7}"/>
    <hyperlink ref="I31" r:id="rId20" display="https://www.pbo-dpb.gc.ca/web/default/files/Documents/Info%20Requests/2020/IR0526_NRCCan_COVID19_update_2_request_e.pdf" xr:uid="{4C68C5C2-D3B1-4379-A493-4EEA7D3E15FF}"/>
    <hyperlink ref="I31:I32" r:id="rId21" display="IR0526" xr:uid="{86BEAA9D-26EE-4196-80E0-94DCF873F023}"/>
    <hyperlink ref="I33" r:id="rId22" xr:uid="{0F7BA51C-63D7-4991-8BB7-3A9C00A32277}"/>
    <hyperlink ref="I34" r:id="rId23" xr:uid="{EC6E3700-5CD3-4617-B2E6-06257ADC17AE}"/>
    <hyperlink ref="I36" r:id="rId24" xr:uid="{2947C40B-FDCE-4262-938E-2F6E74CDD50D}"/>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Measures not in FES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2021-03-30T15:01:36Z</dcterms:modified>
</cp:coreProperties>
</file>