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C:\Users\GiswoJ\AppData\Roaming\OpenText\OTEdit\pbodocs-otcs\c371853\"/>
    </mc:Choice>
  </mc:AlternateContent>
  <xr:revisionPtr revIDLastSave="0" documentId="13_ncr:1_{E4955C8E-ABE6-47ED-B536-BFFDE4960511}" xr6:coauthVersionLast="45" xr6:coauthVersionMax="45" xr10:uidLastSave="{00000000-0000-0000-0000-000000000000}"/>
  <bookViews>
    <workbookView xWindow="-98" yWindow="-98" windowWidth="20715" windowHeight="13276" xr2:uid="{E49D7F26-01B7-43A3-B980-6B1CB5D0A2BA}"/>
  </bookViews>
  <sheets>
    <sheet name="Legend" sheetId="2" r:id="rId1"/>
    <sheet name="Protecting Health and Safety" sheetId="1" r:id="rId2"/>
    <sheet name="Direct Support Measures" sheetId="3" r:id="rId3"/>
    <sheet name="Tax Liquidity Support" sheetId="6" r:id="rId4"/>
    <sheet name="Other Liquidity Support" sheetId="7" r:id="rId5"/>
    <sheet name="Measures not in FES 2020" sheetId="5" r:id="rId6"/>
  </sheets>
  <definedNames>
    <definedName name="_xlnm._FilterDatabase" localSheetId="2" hidden="1">'Direct Support Measures'!$A$3:$L$283</definedName>
    <definedName name="_xlnm._FilterDatabase" localSheetId="5" hidden="1">'Measures not in FES 2020'!$A$3:$L$52</definedName>
    <definedName name="_xlnm._FilterDatabase" localSheetId="1" hidden="1">'Protecting Health and Safety'!$A$3:$L$168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G21" i="7" l="1"/>
  <c r="B15" i="3" l="1"/>
  <c r="G142" i="1" l="1"/>
  <c r="G85" i="1" l="1"/>
  <c r="G114" i="1"/>
  <c r="G123" i="1"/>
  <c r="G75" i="1"/>
  <c r="B50" i="5" l="1"/>
  <c r="G12" i="1"/>
  <c r="G18" i="1"/>
  <c r="G31" i="1"/>
  <c r="G42" i="1"/>
  <c r="G51" i="5"/>
  <c r="G281" i="3"/>
  <c r="G34" i="5" l="1"/>
  <c r="G53" i="5" s="1"/>
  <c r="G138" i="1"/>
  <c r="G84" i="1"/>
  <c r="G41" i="5"/>
  <c r="G129" i="3"/>
  <c r="G131" i="1"/>
  <c r="G115" i="3"/>
  <c r="G60" i="1" l="1"/>
  <c r="G99" i="1"/>
  <c r="G73" i="1"/>
  <c r="G74" i="1"/>
  <c r="G82" i="1"/>
  <c r="G239" i="3" l="1"/>
  <c r="G180" i="3"/>
  <c r="G105" i="1" l="1"/>
  <c r="G168" i="1" l="1"/>
  <c r="G140" i="1"/>
  <c r="G221" i="3"/>
  <c r="G283" i="3" s="1"/>
  <c r="G265" i="3"/>
  <c r="B145" i="1" l="1"/>
  <c r="B7" i="3"/>
  <c r="B62" i="1" l="1"/>
  <c r="B268" i="3" l="1"/>
  <c r="B11" i="3" l="1"/>
  <c r="B10" i="3"/>
  <c r="B9" i="3"/>
  <c r="B249" i="3"/>
  <c r="B199" i="3"/>
  <c r="B108" i="3"/>
  <c r="B103" i="3"/>
  <c r="B100" i="3"/>
  <c r="B95" i="3"/>
  <c r="B92" i="3"/>
  <c r="B86" i="3"/>
  <c r="B69" i="3"/>
  <c r="B4" i="3"/>
  <c r="B141" i="1" l="1"/>
  <c r="B130" i="1"/>
  <c r="B124" i="1"/>
  <c r="B97" i="1" l="1"/>
  <c r="B95" i="1"/>
  <c r="B90" i="1"/>
  <c r="B27" i="1"/>
  <c r="B32" i="1"/>
  <c r="B4" i="1"/>
  <c r="B165" i="1" l="1"/>
  <c r="B20" i="7"/>
  <c r="B9" i="6"/>
  <c r="B200" i="3" l="1"/>
  <c r="B280" i="3" s="1"/>
  <c r="G20" i="7" l="1"/>
  <c r="G9" i="6"/>
  <c r="G70" i="1" l="1"/>
  <c r="G66" i="1"/>
  <c r="G62" i="1"/>
  <c r="G98" i="1" l="1"/>
  <c r="G97" i="1"/>
  <c r="G72" i="1"/>
  <c r="G71" i="1"/>
  <c r="G14" i="5" l="1"/>
  <c r="G264" i="3"/>
  <c r="G223" i="3"/>
  <c r="G128" i="3"/>
  <c r="G119" i="3"/>
  <c r="G117" i="3"/>
  <c r="G52" i="5" l="1"/>
  <c r="G50" i="5"/>
  <c r="G33" i="3"/>
  <c r="G30" i="3"/>
  <c r="G26" i="3"/>
  <c r="G148" i="1"/>
  <c r="G166" i="1" s="1"/>
  <c r="G117" i="1"/>
  <c r="G112" i="1"/>
  <c r="G110" i="1"/>
  <c r="G280" i="3" l="1"/>
  <c r="G282" i="3"/>
  <c r="G58" i="1"/>
  <c r="G167" i="1" l="1"/>
  <c r="G165" i="1"/>
</calcChain>
</file>

<file path=xl/sharedStrings.xml><?xml version="1.0" encoding="utf-8"?>
<sst xmlns="http://schemas.openxmlformats.org/spreadsheetml/2006/main" count="3143" uniqueCount="577">
  <si>
    <t>Protecting Health and Safety</t>
  </si>
  <si>
    <t>Organization</t>
  </si>
  <si>
    <t>Voted/Statutory in Supps</t>
  </si>
  <si>
    <t>Dollar Amount in Supps ($Millions)</t>
  </si>
  <si>
    <t>PBO IR Sent</t>
  </si>
  <si>
    <t>PBO IR Link</t>
  </si>
  <si>
    <t>Data Status</t>
  </si>
  <si>
    <t>Data</t>
  </si>
  <si>
    <t>As of Date</t>
  </si>
  <si>
    <t>Safe Restart Agreement, Federal Contribution (includes support for healthcare including mental health and problematic substance use, testing and contact tracing support for vulnerable populations, child care, sick leave, municipalities, and personal protective equipment procurement)</t>
  </si>
  <si>
    <t>Supps B</t>
  </si>
  <si>
    <t>Canadian Institutes of Health Research</t>
  </si>
  <si>
    <t>Statutory</t>
  </si>
  <si>
    <t>Yes</t>
  </si>
  <si>
    <t>IR0530</t>
  </si>
  <si>
    <t>Pending</t>
  </si>
  <si>
    <t>Department of Finance</t>
  </si>
  <si>
    <t>IR0550</t>
  </si>
  <si>
    <t>Voted</t>
  </si>
  <si>
    <t>Public Health Agency of Canada</t>
  </si>
  <si>
    <t>IR0528</t>
  </si>
  <si>
    <t>Provided</t>
  </si>
  <si>
    <t>Department of Health</t>
  </si>
  <si>
    <t>IR0551</t>
  </si>
  <si>
    <t>Department of Public Works and Government Services</t>
  </si>
  <si>
    <t>IR0559</t>
  </si>
  <si>
    <t>Safe Return to Class Fund</t>
  </si>
  <si>
    <t>Health and Social Support for Northern Communities (critical priorities, air carriers, food subsidy enhancement)</t>
  </si>
  <si>
    <t>Supps A</t>
  </si>
  <si>
    <t>Department of Crown-Indigenous Relations and Northern Affairs</t>
  </si>
  <si>
    <t>IR0462</t>
  </si>
  <si>
    <t>Data on Nutrition North food enhancement is outstanding</t>
  </si>
  <si>
    <t>$89.9M in grants</t>
  </si>
  <si>
    <t>Support for essential air access to remote communities</t>
  </si>
  <si>
    <t>Transport Canada</t>
  </si>
  <si>
    <t>IR0519</t>
  </si>
  <si>
    <t>Indigenous Community Support Fund</t>
  </si>
  <si>
    <t>Department of Indigenous Services</t>
  </si>
  <si>
    <t>IR0470</t>
  </si>
  <si>
    <t>$296.3 million accessed by 621 communities and 85 organizations</t>
  </si>
  <si>
    <t>Department of Employment and Social Development</t>
  </si>
  <si>
    <t>IR0549</t>
  </si>
  <si>
    <t>Indigenous Services Canada</t>
  </si>
  <si>
    <t>IR0523</t>
  </si>
  <si>
    <t>No activity to date</t>
  </si>
  <si>
    <t>Support for a Safe Restart in Indigenous Communities</t>
  </si>
  <si>
    <t>Offsetting declines in Indigenous own-source revenues</t>
  </si>
  <si>
    <t>Not included</t>
  </si>
  <si>
    <t>Purpose:</t>
  </si>
  <si>
    <t>The Parliamentary Budget Officer (PBO) has developed a monitoring framework to assist parliamentarians in tracking all the Government’s announcements and spending related to COVID-19.</t>
  </si>
  <si>
    <t>This tracking document enumerates the COVID-19 measures announced by the Government and includes high level implementation and spending data collected by the PBO from numerous federal departments and agencies through information requests.</t>
  </si>
  <si>
    <t>Notes:</t>
  </si>
  <si>
    <t xml:space="preserve">This tracking document does not include the PBO's cost estimates of COVID-19 measures. </t>
  </si>
  <si>
    <t>Tabs:</t>
  </si>
  <si>
    <t>Direct Support Measures</t>
  </si>
  <si>
    <t>Tax Liquidity Support</t>
  </si>
  <si>
    <t>Other Liquidity Support</t>
  </si>
  <si>
    <t>Data Status Column:</t>
  </si>
  <si>
    <t>Provided:</t>
  </si>
  <si>
    <t>The PBO has received data through an information request.</t>
  </si>
  <si>
    <t>Pending:</t>
  </si>
  <si>
    <t>Data has been requested through existing PBO information request, but funding or program is relatively new or additional follow-up was required. Data is expected to be provided in future updates.</t>
  </si>
  <si>
    <t>Outstanding:</t>
  </si>
  <si>
    <t>Confirming data with department:</t>
  </si>
  <si>
    <t>Data has been provided. The PBO is seeking clarification on the data.</t>
  </si>
  <si>
    <t>Response date not yet passed:</t>
  </si>
  <si>
    <t>Data has been recently requested through a PBO information request. Deadline for a response from the department has not passed.</t>
  </si>
  <si>
    <t>Sources:</t>
  </si>
  <si>
    <t>Treasury Board of Canada Secretariat, Supplementary Estimates (A), 2020-21</t>
  </si>
  <si>
    <t>Treasury Board of Canada Secretariat, Supplementary Estimates (B), 2020-21</t>
  </si>
  <si>
    <t>COVID-19 Medical Research and Vaccine Development (over two years)</t>
  </si>
  <si>
    <t>Department of Industry</t>
  </si>
  <si>
    <t>IR0490</t>
  </si>
  <si>
    <t>Department of Western Economic Diversification</t>
  </si>
  <si>
    <t>Contribution agreement signed for $23M ($8M in 2020-21 and $15M in 2021-22)</t>
  </si>
  <si>
    <t>National Research Council of Canada</t>
  </si>
  <si>
    <t>IR0491</t>
  </si>
  <si>
    <t>IR0478</t>
  </si>
  <si>
    <t>Confirming data with the department</t>
  </si>
  <si>
    <t>Increasing Biomanufacturing Capacity</t>
  </si>
  <si>
    <t>IR0526</t>
  </si>
  <si>
    <t>Innovative Research and Support for New Testing Approaches and Technologies</t>
  </si>
  <si>
    <t>Supporting and Sustaining the Public Health Agency of Canada's and Health Canada's Pandemic Operations</t>
  </si>
  <si>
    <t>Canadian Digital Service</t>
  </si>
  <si>
    <t>Funding for Personal Protective Equipment and Supplies (of which, $200 million in 2019-20)</t>
  </si>
  <si>
    <t>IR0468</t>
  </si>
  <si>
    <t>PPE and Related Equipment Support for Essential Workers (procurement fund and increased procurement support)</t>
  </si>
  <si>
    <t>Additional PPE Procurement and Support for the Storage and Warehousing of PPE</t>
  </si>
  <si>
    <t>GST/HST Relief on Face Masks and Face Shields</t>
  </si>
  <si>
    <t>Support for People experiencing Homelessness (through Reaching Home)</t>
  </si>
  <si>
    <t>No</t>
  </si>
  <si>
    <t>Reaching Home Contributions Data</t>
  </si>
  <si>
    <t>24 contribution agreements with a total value of $86,367,896</t>
  </si>
  <si>
    <t xml:space="preserve">Date unavailable </t>
  </si>
  <si>
    <t>Quarantine Facilities and COVID-19 Border Measures</t>
  </si>
  <si>
    <t>Support for Firms that Hire Temporary Foreign Workers</t>
  </si>
  <si>
    <t>Department of Agriculture and Agri-Food</t>
  </si>
  <si>
    <t>IR0456</t>
  </si>
  <si>
    <t>Shared Services Canada</t>
  </si>
  <si>
    <t>IR0561</t>
  </si>
  <si>
    <t>Extension of the Mandatory Isolation Support for Temporary Foreign Workers Program</t>
  </si>
  <si>
    <t>Addressing the Outbreak of COVID-19 among Temporary Foreign Workers on Farms</t>
  </si>
  <si>
    <t>Support for the Canadian Armed Forces' response to COVID-19 (Including Operation LASER)</t>
  </si>
  <si>
    <t>Department of National Defense</t>
  </si>
  <si>
    <t>Data has been informally shared by the department</t>
  </si>
  <si>
    <t>See Supplementary Data</t>
  </si>
  <si>
    <t>Personal Support Worker Training and Other Measures to Address Labour Shortages in Long-Term and Home Care</t>
  </si>
  <si>
    <t>Further Investments in Long-Term Care</t>
  </si>
  <si>
    <t>Virtual Care and Mental Health Tools for Canadians</t>
  </si>
  <si>
    <t>IR0486</t>
  </si>
  <si>
    <t>Supporting Distress Centres and the Wellness Together Canada Portal</t>
  </si>
  <si>
    <t>Supporting Canadians struggling with Substance Use Disorder</t>
  </si>
  <si>
    <t>Support for the Canadian Red Cross</t>
  </si>
  <si>
    <t>Department of Public Safety and Emergency Preparedness</t>
  </si>
  <si>
    <t>IR0529</t>
  </si>
  <si>
    <t>Contribution agreement valued at $40,680,000</t>
  </si>
  <si>
    <t>Civilian Humanitarian Workforce (Red Cross)</t>
  </si>
  <si>
    <t>Enhancing Public Health Measures in Indigenous Communities</t>
  </si>
  <si>
    <t>$102,595,241 to 330 communities and 8 other recipients</t>
  </si>
  <si>
    <t>Responding to Immediate Indigenous Mental Wellness Demands during the COVID-19 Pandemic</t>
  </si>
  <si>
    <t>Supportive Care in Indigenous Communities</t>
  </si>
  <si>
    <t>Department of Foreign Affairs, Trade and Development</t>
  </si>
  <si>
    <t>N/A</t>
  </si>
  <si>
    <t>IR0476</t>
  </si>
  <si>
    <t>Immediate Public Health Response (of which, $25M for PHAC in 2019-20)</t>
  </si>
  <si>
    <t>IR0471</t>
  </si>
  <si>
    <t>IR0472</t>
  </si>
  <si>
    <t>Reducing Import Costs to facilitate access to Critical Medical Goods</t>
  </si>
  <si>
    <t>Canada Border Services Agency</t>
  </si>
  <si>
    <t>IR0459</t>
  </si>
  <si>
    <t>Consular Assistance (of which $36M in 2019-20)</t>
  </si>
  <si>
    <t>IR0467</t>
  </si>
  <si>
    <t>Repatriation: 62,580 Canadians repatriated, total of $10.15M  
COVID-19 Emergency Loan Program for Canadians Abroad: 4,856 loans issued, total of $17.97M</t>
  </si>
  <si>
    <t>Total - Protecting Health and Safety</t>
  </si>
  <si>
    <t>Support for Workers in the Live Events and Arts Sector</t>
  </si>
  <si>
    <t>Support for the Broadcasting Industry</t>
  </si>
  <si>
    <t>Canadian Radio-television and Telecommunications Commission</t>
  </si>
  <si>
    <t>IR0464</t>
  </si>
  <si>
    <t>Confidential</t>
  </si>
  <si>
    <t>Support for the National Film Board</t>
  </si>
  <si>
    <t>Support for the Audiovisual Industry</t>
  </si>
  <si>
    <t>Telefilm Canada</t>
  </si>
  <si>
    <t>IR0558</t>
  </si>
  <si>
    <t>Regional Air Transportation Initiative</t>
  </si>
  <si>
    <t>Airports Capital Assistance Program</t>
  </si>
  <si>
    <t>Support for Critical Infrastructure at Large Airports</t>
  </si>
  <si>
    <t>Airport Rent Relief</t>
  </si>
  <si>
    <t>Support for Airport Authorities</t>
  </si>
  <si>
    <t>Support for the Air Transportation Sector</t>
  </si>
  <si>
    <t>IR0474</t>
  </si>
  <si>
    <t>Alternative Credit Support for Small Businesses - Industrial Research Assistance Program's Innovation Assistance Program</t>
  </si>
  <si>
    <t>Alternative Credit Support for Small Businesses - Futurpreneur Canada</t>
  </si>
  <si>
    <t>Canada Emergency Wage Subsidy (March 15 to December 19)</t>
  </si>
  <si>
    <t>Canada Revenue Agency</t>
  </si>
  <si>
    <t>IR0481</t>
  </si>
  <si>
    <t>CEWS Data</t>
  </si>
  <si>
    <t>Canada Emergency Wage Subsidy Extension</t>
  </si>
  <si>
    <t>Temporary Changes to EI to Improve Access</t>
  </si>
  <si>
    <t>Canada Recovery Benefit (CRB)</t>
  </si>
  <si>
    <t>CRB Data</t>
  </si>
  <si>
    <t>Canada Recovery Sickness Benefit (CRSB)</t>
  </si>
  <si>
    <t>CRCB Data</t>
  </si>
  <si>
    <t>CRSB Data</t>
  </si>
  <si>
    <t>Canada Recovery Caregiver Benefit (CRCB)</t>
  </si>
  <si>
    <t>Canada Emergency Rent Subsidy</t>
  </si>
  <si>
    <t xml:space="preserve">Canada Revenue Agency </t>
  </si>
  <si>
    <t>Canada Emergency Rent Subsidy and Lockdown Support Extension</t>
  </si>
  <si>
    <t>Canada Emergency Business Account – 25% incentive</t>
  </si>
  <si>
    <t>Atlantic Canada Opportunities Agency</t>
  </si>
  <si>
    <t>Canadian Northern Economic Development Agency</t>
  </si>
  <si>
    <t>$1,137,522 for 54 businesses*</t>
  </si>
  <si>
    <t>$7,262,958 for 400 businesses*</t>
  </si>
  <si>
    <t>$79,271,136 for 970 businesses*</t>
  </si>
  <si>
    <t>Economic Development Agency of Canada for the Regions of Quebec</t>
  </si>
  <si>
    <t>$15,786,894 for 116 businesses*</t>
  </si>
  <si>
    <t>Federal Economic Development Agency for Southern Ontario</t>
  </si>
  <si>
    <t>$26,398,902 for 127 businesses*</t>
  </si>
  <si>
    <t>IR0524</t>
  </si>
  <si>
    <t>$7,284,025 for 245 businesses*</t>
  </si>
  <si>
    <t>$4,751,494 for 126 businesses*</t>
  </si>
  <si>
    <t>$31,637,081 for 1,880 businesses*</t>
  </si>
  <si>
    <t>$5,956,971 for 211  businesses*</t>
  </si>
  <si>
    <t>$59,424,852 for 1,674 businesses*</t>
  </si>
  <si>
    <t>Support for the Economic Development in the North</t>
  </si>
  <si>
    <t>10% Temporary Business Wage Subsidy</t>
  </si>
  <si>
    <t>IR0547</t>
  </si>
  <si>
    <t>Essential Workers Wage Top-up</t>
  </si>
  <si>
    <t>Canada Emergency Response Benefit</t>
  </si>
  <si>
    <t>IR0517</t>
  </si>
  <si>
    <t>CERB Data</t>
  </si>
  <si>
    <t>Administration Costs related to the Canada Emergency Response Benefit</t>
  </si>
  <si>
    <t>Canada Emergency Student Benefit</t>
  </si>
  <si>
    <t>CESB Data</t>
  </si>
  <si>
    <t>2,140,230 approved applications, $2.94B in benefits paid</t>
  </si>
  <si>
    <t>Canada Emergency Commercial Rent Assistance</t>
  </si>
  <si>
    <t>Less: Provincial Contribution for CECRA</t>
  </si>
  <si>
    <t>Canada Mortgage and Housing Corporation</t>
  </si>
  <si>
    <t>IR0480</t>
  </si>
  <si>
    <t>Support for Local Indigenous Economies and the Indigenous Tourism Industry</t>
  </si>
  <si>
    <t>Tourism: $16 million allocated to the Indigenous Tourism Association of Canada, currently 172 businesses in three phases funded for a total of $3,439,000
Indigenous Community Business Fund: $43,271,308 allocated</t>
  </si>
  <si>
    <t>Interest Relief for First Nations through the First Nations Finance Authority</t>
  </si>
  <si>
    <t>IR0515</t>
  </si>
  <si>
    <t>$17.1M transferred to First Nations Finance Authority</t>
  </si>
  <si>
    <t>Support for Indigenous Businesses and Aboriginal Financial Institutions</t>
  </si>
  <si>
    <t>$137,975,000 allocated through 3,400 loans</t>
  </si>
  <si>
    <t>Outstanding</t>
  </si>
  <si>
    <t>Support for Main Street Businesses</t>
  </si>
  <si>
    <t xml:space="preserve">Women Entrepreneurship Strategy – Ecosystem Top-up </t>
  </si>
  <si>
    <t xml:space="preserve">Granville Island Emergency Relief Fund </t>
  </si>
  <si>
    <t>IR0516</t>
  </si>
  <si>
    <t>Advertising Campaign: Government of Canada’s COVID-19 Economic Response Plan</t>
  </si>
  <si>
    <t>IR0521</t>
  </si>
  <si>
    <t xml:space="preserve">COVID-19 Communications and Marketing </t>
  </si>
  <si>
    <t>Privy Council Office</t>
  </si>
  <si>
    <t>IR0540</t>
  </si>
  <si>
    <t>Information requests redirected to receiving departments for data</t>
  </si>
  <si>
    <t>Wage Subsidy for Staff of the Non-Public Funds, Canadian Forces</t>
  </si>
  <si>
    <t>Support for Food Inspection Services</t>
  </si>
  <si>
    <t>Canada Food Inspection Agency</t>
  </si>
  <si>
    <t>IR0461</t>
  </si>
  <si>
    <t>Support for Cultural, Heritage and Sport Organizations</t>
  </si>
  <si>
    <t>Canada Council for the Arts</t>
  </si>
  <si>
    <t>IR0469</t>
  </si>
  <si>
    <t>Department of Canadian Heritage</t>
  </si>
  <si>
    <t>Support for Canada’s National Museums</t>
  </si>
  <si>
    <t>Canadian Museum for Human Rights</t>
  </si>
  <si>
    <t>$2,206,586 received</t>
  </si>
  <si>
    <t>Canadian Museum of History</t>
  </si>
  <si>
    <t>$4,256,563 received</t>
  </si>
  <si>
    <t>Canadian Museum of Immigration at Pier 21</t>
  </si>
  <si>
    <t>$2,049,575 received</t>
  </si>
  <si>
    <t>Canadian Museum of Nature</t>
  </si>
  <si>
    <t>$5,927,263 received</t>
  </si>
  <si>
    <t xml:space="preserve">National Gallery of Canada </t>
  </si>
  <si>
    <t>$4,808,711 received</t>
  </si>
  <si>
    <t>National Museum of Science and Technology</t>
  </si>
  <si>
    <t>$5,338,974 received</t>
  </si>
  <si>
    <t>The National Battlefields Commission</t>
  </si>
  <si>
    <t>$1,112,328 received</t>
  </si>
  <si>
    <t>Supporting the National Arts Centre during COVID-19</t>
  </si>
  <si>
    <t>National Arts Centre</t>
  </si>
  <si>
    <t>Cleaning up Former Oil and Gas Wells</t>
  </si>
  <si>
    <t>Non-Budgetary Statutory</t>
  </si>
  <si>
    <t>IR0494</t>
  </si>
  <si>
    <t>Emissions Reduction Fund for the oil and gas sector (over two years)</t>
  </si>
  <si>
    <t>Department of Natural Resources Canada</t>
  </si>
  <si>
    <t>IR0473</t>
  </si>
  <si>
    <t>Support for Canada's Farmers, Food Businesses, and Food Supply</t>
  </si>
  <si>
    <t>Support for Canada's Fish Harvesters</t>
  </si>
  <si>
    <t>Support for Fish and Seafood Processors through the Canadian Seafood Stabilization Fund</t>
  </si>
  <si>
    <t>Department of Fisheries and Oceans</t>
  </si>
  <si>
    <t>IR0482</t>
  </si>
  <si>
    <t>Not available</t>
  </si>
  <si>
    <t>IR0539</t>
  </si>
  <si>
    <t xml:space="preserve">Support for Canada's Academic Research Community </t>
  </si>
  <si>
    <t>Social Sciences and Humanities Research Council</t>
  </si>
  <si>
    <t>IR0522</t>
  </si>
  <si>
    <t xml:space="preserve">Support for the Federal Bridge Corporation Limited </t>
  </si>
  <si>
    <t>The Federal Bridge Corporation Limited</t>
  </si>
  <si>
    <t>$565,837 allocated</t>
  </si>
  <si>
    <t>Support for Workers in the Newfoundland and Labrador Offshore Energy Sector</t>
  </si>
  <si>
    <t>Ensuring Access to Canada Revenue Agency Call Centres</t>
  </si>
  <si>
    <t>Canada Revenue Agency Funding for COVID-19 Economic Measures</t>
  </si>
  <si>
    <t>Temporary Enhanced GST Credit</t>
  </si>
  <si>
    <t>Temporary Enhanced Canada Child Benefit</t>
  </si>
  <si>
    <t>One-Time Payment to OAS and GIS recipients</t>
  </si>
  <si>
    <t>IR0518</t>
  </si>
  <si>
    <t>6,639,851 payments, total of $2,435,808,900</t>
  </si>
  <si>
    <t>Support for Persons with Disabilities ($1M in existing funding)</t>
  </si>
  <si>
    <t>Veterans Emergency Fund</t>
  </si>
  <si>
    <t xml:space="preserve">Youth Employment and Skills Development Programs </t>
  </si>
  <si>
    <t xml:space="preserve">Department of Agriculture and Agri-Food </t>
  </si>
  <si>
    <t xml:space="preserve">Department of Indigenous Services </t>
  </si>
  <si>
    <t>Department of Natural Resources</t>
  </si>
  <si>
    <t>IR0552</t>
  </si>
  <si>
    <t>Department of the Environment</t>
  </si>
  <si>
    <t>IR0557</t>
  </si>
  <si>
    <t>Natural Sciences and Engineering Research Council</t>
  </si>
  <si>
    <t>Canada Student Loans (over two years)</t>
  </si>
  <si>
    <t>Canada Student Service Grant</t>
  </si>
  <si>
    <t>Supporting the On Reserve Income Assistance Program</t>
  </si>
  <si>
    <t xml:space="preserve">$51,164,883 spent </t>
  </si>
  <si>
    <t>Support for Children and Youth (Kids Help Phone)</t>
  </si>
  <si>
    <t>New Horizons for Seniors Program expansion</t>
  </si>
  <si>
    <t>New Horizons Seniors Grants Data</t>
  </si>
  <si>
    <t>993 grant agreements, total value of $18,837,433</t>
  </si>
  <si>
    <t>Lower RRIF Minimum Withdrawal</t>
  </si>
  <si>
    <t>Support for Veterans' Organizations</t>
  </si>
  <si>
    <t>Department of Veterans Affairs</t>
  </si>
  <si>
    <t>IR0560</t>
  </si>
  <si>
    <t>Support for Charities and Non-Profits Serving Vulnerable People (Emergency Community Support Fund)</t>
  </si>
  <si>
    <t>Emergency Community Support Fund Data (Community Foundations Canada)</t>
  </si>
  <si>
    <t>Community Foundations Canada: $47,917,189 in grants to 169 organizations</t>
  </si>
  <si>
    <t>Emergency Community Support Fund Data (Canadian Red Cross)</t>
  </si>
  <si>
    <t>Grants for 923 organizations, total amount not provided</t>
  </si>
  <si>
    <t>Emergency Community Support Fund Data (United Way East Ontario)</t>
  </si>
  <si>
    <t>United Way East Ontario: $4,724,774 in grants with 85 organizations</t>
  </si>
  <si>
    <t>Support for Food Banks and Local Food Organizations (of which, $25M in 2019-20)</t>
  </si>
  <si>
    <t>Addressing Gender-Based Violence during COVID-19</t>
  </si>
  <si>
    <t>Department for Women and Gender Equality</t>
  </si>
  <si>
    <t>IR0475</t>
  </si>
  <si>
    <t>Support for women’s shelters and sexual assault centres, including for facilities in Indigenous communities</t>
  </si>
  <si>
    <t>Funding to start in 2021-22</t>
  </si>
  <si>
    <t>Protecting and Supporting Indigenous Women and Girls Fleeing Violence (first two years)</t>
  </si>
  <si>
    <t>Supporting Provincial and Territorial Job Training Efforts as Part of COVID-19 Economic Recovery</t>
  </si>
  <si>
    <t>Rapid Housing Initiative</t>
  </si>
  <si>
    <t>Emergency Funding for Safety Measures in Forest Operations</t>
  </si>
  <si>
    <t>Black Entrepreneurship Program</t>
  </si>
  <si>
    <t>Supporting Public Health Measures in Correctional Institutions</t>
  </si>
  <si>
    <t>Parks Canada Rent Relief and Revenue Replacement</t>
  </si>
  <si>
    <t>Parks Canada</t>
  </si>
  <si>
    <t>IR0492</t>
  </si>
  <si>
    <t>Support for the National Capital Commission</t>
  </si>
  <si>
    <t>Public Services and Procurement Canada Program Integrity</t>
  </si>
  <si>
    <t>Supporting the Ongoing Delivery of Key Benefits</t>
  </si>
  <si>
    <t>Improving Our Ability to Reach All Canadians</t>
  </si>
  <si>
    <t>Maintaining the Federal Government's Legal Services Capacity</t>
  </si>
  <si>
    <t>Supporting Court Operations and Access to Justice</t>
  </si>
  <si>
    <t xml:space="preserve">Support Canada Emergency Response Benefit Payment Integrity </t>
  </si>
  <si>
    <t>Funding for VIA Rail Canada Inc.</t>
  </si>
  <si>
    <t>Department of Justice</t>
  </si>
  <si>
    <t>Support for Northern Businesses - Northern Business Relief Fund (from existing resources)</t>
  </si>
  <si>
    <t>Waiving the Employment Insurance Waiting Period for People in Imposed Quarantine</t>
  </si>
  <si>
    <t>IR0548</t>
  </si>
  <si>
    <t>Destination Canada</t>
  </si>
  <si>
    <t>Supporting Domestic Travel through Destination Canada</t>
  </si>
  <si>
    <t>IR0562</t>
  </si>
  <si>
    <t>Canadian Centre for Occupational Health and Safety</t>
  </si>
  <si>
    <t>Critical Operating Requirements</t>
  </si>
  <si>
    <t>Creating Job Opportunities for Students</t>
  </si>
  <si>
    <t>Support for the CanCOVID Network</t>
  </si>
  <si>
    <t>Support to the Eureka Prorgram in Response to COVID-19</t>
  </si>
  <si>
    <t>IR0564</t>
  </si>
  <si>
    <t>Support for Business Resumption for Federally Regulated Employees</t>
  </si>
  <si>
    <t>Communications Security Establishment</t>
  </si>
  <si>
    <t>Information Technology Services, Infrastructure and Cyber Security</t>
  </si>
  <si>
    <t>Canadian Broadcasting Corporation</t>
  </si>
  <si>
    <t>Internal reallocation of resources for the COVID-19 impact to advertising revenues and operating costs</t>
  </si>
  <si>
    <t>Canadian Space Agency</t>
  </si>
  <si>
    <t>Internal reallocation of resources to support the space sector and stimulate the economy in response to COVID-19</t>
  </si>
  <si>
    <t>Establishing a multi-disciplinary network of data specialists in modelling emerging infectious diseases to support public health actions across Canada</t>
  </si>
  <si>
    <t>Securing domestic supply chain of N95 respirators</t>
  </si>
  <si>
    <t>Safe Return to Class Fund - First Nations Communities</t>
  </si>
  <si>
    <t>Department of Agriculture and Agri-food Canada</t>
  </si>
  <si>
    <t>Internal reallocation of resources for food processors to implement health measures that allow them to maintain domestic food production and processing capacity</t>
  </si>
  <si>
    <t>CRA/CBSA Liquidity Support to Businesses and Individuals</t>
  </si>
  <si>
    <t>Income Tax Payment Deferral to September</t>
  </si>
  <si>
    <t>Sales Tax Remittance and Customs Duty Payments Deferral</t>
  </si>
  <si>
    <t>Deferral of payment of GST and customs duties on imports: CBSA has yet to receive payments totaling $955,790,744</t>
  </si>
  <si>
    <t>Deferral of lease payment for duty-free shop operators and customs brokers:  total amount forgivable from receivable leases is approximately $49,076</t>
  </si>
  <si>
    <t>Supporting Jobs and Safe Operations of Junior Mining Companies</t>
  </si>
  <si>
    <t xml:space="preserve">Department of Finance </t>
  </si>
  <si>
    <t>Total - Tax Liquidity Support</t>
  </si>
  <si>
    <t>Business Credit Availability Program (BCAP) (through BDC and EDC)</t>
  </si>
  <si>
    <t>Small and Medium-sized Enterprise Co-Lending</t>
  </si>
  <si>
    <t>Business Development Bank of Canada</t>
  </si>
  <si>
    <t>IR0457</t>
  </si>
  <si>
    <t>Small and Medium-sized Enterprise Guarantee program</t>
  </si>
  <si>
    <t>Export Development Canada</t>
  </si>
  <si>
    <t>IR0465</t>
  </si>
  <si>
    <t>620 transactions for $744.5 million (EDC's portion of the guarantee)</t>
  </si>
  <si>
    <t>Canada Emergency Business Account</t>
  </si>
  <si>
    <t>CEBA Data</t>
  </si>
  <si>
    <t>Financing for Mid-size Companies through BCAP</t>
  </si>
  <si>
    <t>Credit and liquidity support for the Agriculture Sector</t>
  </si>
  <si>
    <t>Farm Credit Canada Additional Lending Capacity</t>
  </si>
  <si>
    <t>Farm Credit Canada</t>
  </si>
  <si>
    <t>IR0466</t>
  </si>
  <si>
    <t>Stay of Default on Advance Payments Program</t>
  </si>
  <si>
    <t>Large Employer Emergency Financing Facility</t>
  </si>
  <si>
    <t>Canada Development Investment Corporation</t>
  </si>
  <si>
    <t>IR0479</t>
  </si>
  <si>
    <t>LEEFF Data</t>
  </si>
  <si>
    <t>Credit and liquidity support through the Bank of Canada, CMHC and commercial lenders</t>
  </si>
  <si>
    <t>CMHC Insured Mortgage Purchase Program</t>
  </si>
  <si>
    <t>31,857 mortgage-backed securities purchased, for a total of 5.8 billion</t>
  </si>
  <si>
    <t>Capital Relief (OSFI Domestic Stability Buffer)</t>
  </si>
  <si>
    <t>Business Credit Availability Program and Other Liquidity Support</t>
  </si>
  <si>
    <t>Total - Other Liquidity Support</t>
  </si>
  <si>
    <t>Tax and Customs Duty Payment Liquitidy Support</t>
  </si>
  <si>
    <t>Contribution of $9 million through United Way for local organizations (in 2019-20)</t>
  </si>
  <si>
    <t>Grant agreement with United Way Centraide Canada valued at $9M</t>
  </si>
  <si>
    <t>Enhancements to the Work-Sharing Program</t>
  </si>
  <si>
    <t>IR0483</t>
  </si>
  <si>
    <t>Work-Sharing Data</t>
  </si>
  <si>
    <t>Highly Affected Sectors Credit Availability Program</t>
  </si>
  <si>
    <t>Canada Emergency Wage Subsidy and Canada Emergency Rent Subsidy for April to June 2021</t>
  </si>
  <si>
    <t>$1,100,000 used to date</t>
  </si>
  <si>
    <t>Legislation Providing Statutory Authority</t>
  </si>
  <si>
    <t>Measures in this tracking document are organized to align with the grouping of measures in the Fall Economic Statement (FES) 2020 COVID-19 Response Plan tables (at the end of Ch. 1 and 2). Those include the following tabs:</t>
  </si>
  <si>
    <t>The final tab in this tracking document includes COVID-19 measures announcement by the Government that were not included in the FES 2020:</t>
  </si>
  <si>
    <t>Measures not in FES 2020</t>
  </si>
  <si>
    <t>Measures not in the Fall Economic Statement (FES) 2020</t>
  </si>
  <si>
    <t>Measures not in the FES 2020</t>
  </si>
  <si>
    <t>Total - Measures not in the FES 2020</t>
  </si>
  <si>
    <t>Total Supps A - Measures not in the FES 2020</t>
  </si>
  <si>
    <t>Total Supps B - Measures not in the FES 2020</t>
  </si>
  <si>
    <t>Department of Finance Canada, Fall Economic Statement 2020: Supporting Canadians and Fighting COVID-19</t>
  </si>
  <si>
    <t>Total - Direct Support Measures</t>
  </si>
  <si>
    <t>$125,703,388 in grants</t>
  </si>
  <si>
    <t>$13,858,474 in grants</t>
  </si>
  <si>
    <t>$2.2M spent</t>
  </si>
  <si>
    <t>$27.3M spent</t>
  </si>
  <si>
    <t>Total Supps A - Protecting Health and Safety</t>
  </si>
  <si>
    <t>Total Supps B - Protecting Health and Safety</t>
  </si>
  <si>
    <t>Total Supps A - Direct Support Measures</t>
  </si>
  <si>
    <t>Total Supps B - Direct Support Measures</t>
  </si>
  <si>
    <t xml:space="preserve">Futher support for medical research, countermeasures, and vaccines </t>
  </si>
  <si>
    <t>National Capital Commission</t>
  </si>
  <si>
    <t>VIA Rail Canada Inc.</t>
  </si>
  <si>
    <t>Correctional Service Canada</t>
  </si>
  <si>
    <t>Total of $12,230,720,000 transferred to all 13 provinces and territories</t>
  </si>
  <si>
    <t>$10 million expended</t>
  </si>
  <si>
    <t>BILL C-13 (43rd Parliament, 1st Session) An Act respecting certain measures in response to COVID-19</t>
  </si>
  <si>
    <t xml:space="preserve">BILL C-13 (43rd Parliament, 1st Session) An Act respecting certain measures in response to COVID-19 </t>
  </si>
  <si>
    <t>BILL C-13 (43rd Parliament, 1st Session) An Act respecting certain measures in response to COVID-19 and BILL C-4 (43rd Parliament, 2nd Session) An Act relating to certain measures in response to COVID-19</t>
  </si>
  <si>
    <t>BILL C-13 (43rd Parliament, 1st Session) An Act respecting certain measures in response to COVID-19and BILL C-4 (43rd Parliament, 2nd Session) An Act relating to certain measures in response to COVID-19</t>
  </si>
  <si>
    <t>BILL C-4 (43rd Parliament, 2nd Session) An Act relating to certain measures in response to COVID-19</t>
  </si>
  <si>
    <t xml:space="preserve"> </t>
  </si>
  <si>
    <t>BILL C-13 (43rd Parliament, 1st Session) An Act respecting certain measures in response to COVID-19  and BILL C-4 (43rd Parliament, 2nd Session) An Act relating to certain measures in response to COVID-19</t>
  </si>
  <si>
    <t>BILL C-9 (43rd Parliament, 2nd Session) An Act to amend the Income Tax Act (Canada Emergency Rent Subsidy and Canada Emergency Wage Subsidy)</t>
  </si>
  <si>
    <t>BILL C-20 (43rd Parliament, 1st Session) An Act respecting further COVID-19 measures</t>
  </si>
  <si>
    <t>BILL C-14 (43rd Parliament, 1st Session) A second Act respecting certain measures in response to COVID-19, BILL C-20 (43rd Parliament, 1st Session) An Act respecting further COVID-19 measures, BILL C-9 (43rd Parliament, 2nd Session) An Act to amend the Income Tax Act (Canada Emergency Rent Subsidy and Canada Emergency Wage Subsidy), BILL C-17 (43rd Parliament, 1st Session)</t>
  </si>
  <si>
    <t>Support for International Partners (includes $322.9M of International Assistance Envelope Crisis Pool and other reallocated funding)</t>
  </si>
  <si>
    <t>Interim Order No. 10 Amending the Employment Insurance Act (Employment Insurance Emergency Response Benefit)</t>
  </si>
  <si>
    <t>Interim Order No. 7 Amending the Employment Insurance Act (Employment Insurance Emergency Response Benefit)</t>
  </si>
  <si>
    <t>Certain Medical Goods Remission Order (COVID-19)</t>
  </si>
  <si>
    <t>Agricultural Marketing Payments Act</t>
  </si>
  <si>
    <t xml:space="preserve">Airport Transfer (Miscellaneous Matters) Act </t>
  </si>
  <si>
    <t>Income Tax Act</t>
  </si>
  <si>
    <t>Excise Tax Act and Customs Act</t>
  </si>
  <si>
    <t>IMPP Data</t>
  </si>
  <si>
    <t xml:space="preserve">Data provided by departments represents actual spending data as of a given date, unless otherwise specified. </t>
  </si>
  <si>
    <t>Amounts identified in the Supplementary Estimates represent up to spending amounts  for the current fiscal year. These amounts are on a cash basis and therefore represent amounts that can enter the economy in 2020-21.</t>
  </si>
  <si>
    <t>Will be sent</t>
  </si>
  <si>
    <t>$11,060,000 spent in grants and contributions, 721 internships created</t>
  </si>
  <si>
    <t>Canada Student Loan Payments (Moratorium)</t>
  </si>
  <si>
    <t>CBSA has relieved $289,616,769 in duties and $14,062,640 in taxes for 11,821 importers</t>
  </si>
  <si>
    <t>$242,366 spent</t>
  </si>
  <si>
    <t>Strengthening Pandemic Prepardness in Long-Term Care and Retirement Homes</t>
  </si>
  <si>
    <t>$1,821,726 in grants</t>
  </si>
  <si>
    <r>
      <t xml:space="preserve">GoC Cash Estimate 2020-21 ($Millions) </t>
    </r>
    <r>
      <rPr>
        <vertAlign val="superscript"/>
        <sz val="11"/>
        <color theme="0"/>
        <rFont val="Calibri"/>
        <family val="2"/>
        <scheme val="minor"/>
      </rPr>
      <t>1</t>
    </r>
  </si>
  <si>
    <r>
      <rPr>
        <vertAlign val="superscript"/>
        <sz val="11"/>
        <color theme="1"/>
        <rFont val="Calibri"/>
        <family val="2"/>
        <scheme val="minor"/>
      </rPr>
      <t xml:space="preserve">1 </t>
    </r>
    <r>
      <rPr>
        <sz val="11"/>
        <color theme="1"/>
        <rFont val="Calibri"/>
        <family val="2"/>
        <scheme val="minor"/>
      </rPr>
      <t>The Government has included impact values for these measures in the Fall Economic Statement 2020.</t>
    </r>
  </si>
  <si>
    <t>Total of $763,671,800 paid to 1,642,304 clients</t>
  </si>
  <si>
    <t>$266,100,000 to support 40,000 placements</t>
  </si>
  <si>
    <t>$11.5M processed</t>
  </si>
  <si>
    <t>$48.1M allocated</t>
  </si>
  <si>
    <t>$1,122,530,743 transferred to provinces and territories</t>
  </si>
  <si>
    <r>
      <rPr>
        <vertAlign val="superscript"/>
        <sz val="11"/>
        <color theme="1"/>
        <rFont val="Calibri"/>
        <family val="2"/>
        <scheme val="minor"/>
      </rPr>
      <t xml:space="preserve">1 </t>
    </r>
    <r>
      <rPr>
        <sz val="11"/>
        <color theme="1"/>
        <rFont val="Calibri"/>
        <family val="2"/>
        <scheme val="minor"/>
      </rPr>
      <t>Estimates included in this column were provided by the department of Finance through the following information requests: IR0503, IR0534 and IR0566. These are cost estimates on a cash basis for the current fiscal year. Data provided is up until the Fall Economic Statement (November 30, 2020).</t>
    </r>
  </si>
  <si>
    <t>$4.2M transferred</t>
  </si>
  <si>
    <t>$405.5M disbursed through international assistance</t>
  </si>
  <si>
    <t>$246,838,490 disbursed to 2,238 recipients</t>
  </si>
  <si>
    <t>$497,462,089 expended to 9,820 recipients</t>
  </si>
  <si>
    <t>Confirming data with department</t>
  </si>
  <si>
    <t>Total of $687,127,607 to 9,948 businesses</t>
  </si>
  <si>
    <t>$20.1M spent, supporting over 3,200 small businesses</t>
  </si>
  <si>
    <t>Phase 1 and 2 of NRC's Human Health Therapeutics Research Centre reported together: $8,479,909 spent</t>
  </si>
  <si>
    <t xml:space="preserve">Strategic Innovation Fund: No activity to date
CanCOGeN: $1.5M disbursed </t>
  </si>
  <si>
    <t xml:space="preserve">$1,199,987 in a grant </t>
  </si>
  <si>
    <t>27.56M applications processed for 8.9M unique applicants, $81.64B in benefits paid</t>
  </si>
  <si>
    <t>$2.4 million used</t>
  </si>
  <si>
    <t xml:space="preserve">$16,000 used </t>
  </si>
  <si>
    <t>$9,964,000 used</t>
  </si>
  <si>
    <t xml:space="preserve">$462,528,938 used </t>
  </si>
  <si>
    <t>*Deferred rent is repayable to the department and these amounts will be recovered over the remaning terms of the leases in question.</t>
  </si>
  <si>
    <t>**This includes funding to some organizations who further distribute these funds to final recipients.</t>
  </si>
  <si>
    <t>Rent deferral: 32 tenants approved for rent deferral, representing a total of approximately $193,396 in rent*
Rent relief: 5 attestation forms approved, representing a $25,343 loss in rental revenue</t>
  </si>
  <si>
    <t>$15,000,000 expended to 11 recipients**</t>
  </si>
  <si>
    <t>Data has been requested through PBO information request. Deadline for a response has passed and information has not yet been provided.</t>
  </si>
  <si>
    <t>Department has indicated in their response to the PBO that the information on this measure is not yet available or cannot be provided.</t>
  </si>
  <si>
    <t>Not available:</t>
  </si>
  <si>
    <t>$155, 087 paid</t>
  </si>
  <si>
    <t>$18.2M received</t>
  </si>
  <si>
    <t>Not available***</t>
  </si>
  <si>
    <t xml:space="preserve">***Employment and Social Development Canada responded to the information request IR0549. Data was provided on total disbursement, but actual program cost was not available. </t>
  </si>
  <si>
    <t>$36.6M expended, representing 2,295 claims from employers</t>
  </si>
  <si>
    <t>Emergency Processing Fund: $65.6M disbursed</t>
  </si>
  <si>
    <t>Surplus Food Purchase Program: $49.4M in signed agreements with 9 applicants</t>
  </si>
  <si>
    <t>1,115 applications approved for a total of $10.6 million (expected to be expended by end of this fiscal year)</t>
  </si>
  <si>
    <t>$100M to regional delivery agents for 3,215 organizations</t>
  </si>
  <si>
    <t>Infrastructure Canada</t>
  </si>
  <si>
    <t>National Film Board</t>
  </si>
  <si>
    <t>Treasury Board of Canada Secretartiat</t>
  </si>
  <si>
    <t>Finance</t>
  </si>
  <si>
    <t>Response date not yet passed</t>
  </si>
  <si>
    <t>IR0579</t>
  </si>
  <si>
    <t>IR0578</t>
  </si>
  <si>
    <t>IR0583</t>
  </si>
  <si>
    <t>IR0580</t>
  </si>
  <si>
    <t>IR0585</t>
  </si>
  <si>
    <t>IR0582</t>
  </si>
  <si>
    <t>$0.1M spent</t>
  </si>
  <si>
    <t>$0.4M spent</t>
  </si>
  <si>
    <t>Support for Health Canada and the Public Health Agency of Canada</t>
  </si>
  <si>
    <t xml:space="preserve">COVID-19 Response Fund (including $500M for Provinces and Territories, completed in 2019-20 and $50M from existing resources) </t>
  </si>
  <si>
    <t xml:space="preserve">*Sum is greater than funds received in Supplementary Estimates (A) because CIHR made additional investments from it’s a-base funding. </t>
  </si>
  <si>
    <t>$26,757,432 in grants*</t>
  </si>
  <si>
    <t>$28,564,702 in grants*</t>
  </si>
  <si>
    <t>$56.5M spent</t>
  </si>
  <si>
    <t>$112.4M spent</t>
  </si>
  <si>
    <t>Improving Ventilation in Buildings</t>
  </si>
  <si>
    <t>IR0581</t>
  </si>
  <si>
    <t>$80.4M spent</t>
  </si>
  <si>
    <t>$29.4M spent</t>
  </si>
  <si>
    <t>$5.41M spent</t>
  </si>
  <si>
    <t>$5.23M spent</t>
  </si>
  <si>
    <t>$50M in 4 agreements</t>
  </si>
  <si>
    <t>$2.87M in two contracts</t>
  </si>
  <si>
    <t>$15.4M spent</t>
  </si>
  <si>
    <t>One agreement valued at $2,281,326</t>
  </si>
  <si>
    <t xml:space="preserve">$15,437,878 expended in 7 agreements </t>
  </si>
  <si>
    <t>One agreement valued at $3,448,047</t>
  </si>
  <si>
    <t>$19,999,420 alloted to 305,653 individuals through 30 organizations</t>
  </si>
  <si>
    <t>$1,136,808 expended, 259 internships</t>
  </si>
  <si>
    <t>66,003 loans for a total of $2,033,577,863</t>
  </si>
  <si>
    <t>Treasury Board of Canada Secretariat, Supplementary Estimates (C), 2020-21</t>
  </si>
  <si>
    <t>Total Supps C - Protecting Health and Safety</t>
  </si>
  <si>
    <t>Total Supps C - Direct Support Measures</t>
  </si>
  <si>
    <t>Included in Supplementary Estimates 2020-21</t>
  </si>
  <si>
    <t>Total Supps C - Measures not in the FES 2020</t>
  </si>
  <si>
    <t>Supps C</t>
  </si>
  <si>
    <t>Bill C-14 (43rd Parliament, 2nd Session) Economic Statement Implementation Act, 2020</t>
  </si>
  <si>
    <t>Canada Revenue Agency Act</t>
  </si>
  <si>
    <t>Internal reallocation of resources to fund meritorious grants for COVID-19 rapid response funding opportunities</t>
  </si>
  <si>
    <t>Internal reallocation of resources to support various operating requirements such as COVID-19 pressures and various transition  initiatives</t>
  </si>
  <si>
    <t>Library and Archives of Canada</t>
  </si>
  <si>
    <t>Internal reallocation of resources to support Canada’s initial response to COVID-19</t>
  </si>
  <si>
    <t>Courts Administration Service</t>
  </si>
  <si>
    <t>Registrar of the Supreme Court of Canada</t>
  </si>
  <si>
    <t>Administration of the Canada Emergency Business Account</t>
  </si>
  <si>
    <t>Administration of the Canada Emergency Rent Subsidy</t>
  </si>
  <si>
    <t>Administration of the 10% Temporary Wage Subsidy for  Employers</t>
  </si>
  <si>
    <t>Administration of the Canada Emergency Wage Subsidy</t>
  </si>
  <si>
    <t>Critical operating requirements of the Office of the Auditor General</t>
  </si>
  <si>
    <t>Office of the Auditor General</t>
  </si>
  <si>
    <t>Communication Services</t>
  </si>
  <si>
    <t>Funding for the Government of Nunavut for increased health care costs due to the pandemic</t>
  </si>
  <si>
    <t xml:space="preserve">Supps C </t>
  </si>
  <si>
    <t>Funding for the Canada Emergency Business Account Project</t>
  </si>
  <si>
    <t>Support for the COVID-19 challenge to  Canadian industry through the Innovative Solutions Canada Program</t>
  </si>
  <si>
    <t>Support for the Federal Bridge Corporation Limited's critical operating requirements</t>
  </si>
  <si>
    <t>Spending of revenues received through the conduct of its operations</t>
  </si>
  <si>
    <t xml:space="preserve">Alternative Credit Support for Small Businesses - Regional Development Agencies (Regional Relief and Recovery Fund, including through Community Futures Network) </t>
  </si>
  <si>
    <t>$3.796M spent</t>
  </si>
  <si>
    <t>$39,209,061 received</t>
  </si>
  <si>
    <t>$14,031,283 received</t>
  </si>
  <si>
    <t>112 tenants applications completed, totalling $3,379,650</t>
  </si>
  <si>
    <t>Number of outstanding advances: 475
Outstanding Amount: $50,710,198</t>
  </si>
  <si>
    <t>Total Supps C - Other Liquidity Support</t>
  </si>
  <si>
    <t>2,619,890 approved applications for 426,200 unique applicants, $65.56B in subsidies paid</t>
  </si>
  <si>
    <t>9,876,820 applications approved for 1,715,090 unique applicants, $9.88B</t>
  </si>
  <si>
    <t>676,310 applications approved for 392,280 unique applicants, $338,155,000</t>
  </si>
  <si>
    <t>2,844,590 applications approved for 333,760 unique applicants, $1.42 billion</t>
  </si>
  <si>
    <t>831,655 businesses approved for loans, 450,764 businesses approved for expansions, total of $42.85B approved in loans and expansions</t>
  </si>
  <si>
    <t>4 loans approved for a total approved amount of $1.005B, total of $274.2 million drawn</t>
  </si>
  <si>
    <t>4,250 agreements approved for an estimated 126,482 employees. Total estimated dollar value of $1,445,472,109</t>
  </si>
  <si>
    <t>$2.69M issued</t>
  </si>
  <si>
    <t>$122 million spent</t>
  </si>
  <si>
    <t>IR0584</t>
  </si>
  <si>
    <t>CERS and Lockdown Support Data</t>
  </si>
  <si>
    <t>380,240 applications approved for 124,220 unique applicants, $1.42B</t>
  </si>
  <si>
    <t>Strategic Innovation Fund</t>
  </si>
  <si>
    <t>BILL C-14 (43rd Parliament, 1st Session) A second Act respecting certain measures in response to COVID-19</t>
  </si>
  <si>
    <t>$2,211.7M spent</t>
  </si>
  <si>
    <t>$1814.4M spent</t>
  </si>
  <si>
    <t>$75.2M spent</t>
  </si>
  <si>
    <t>$9.6M spent</t>
  </si>
  <si>
    <t>$198.3M spent</t>
  </si>
  <si>
    <t>$14.8M spent</t>
  </si>
  <si>
    <t>$61.6M spent</t>
  </si>
  <si>
    <t>$1,977.5M spent</t>
  </si>
  <si>
    <t xml:space="preserve">Total of $2.0 billion transferred to all 13 provinces and territories </t>
  </si>
  <si>
    <t>Total of $2.566 billion transferred to all 13 provinces and territories</t>
  </si>
  <si>
    <t>$320 million provided</t>
  </si>
  <si>
    <t>Data available online</t>
  </si>
  <si>
    <t>Data received through the Government's Central Financial Management Reporting System</t>
  </si>
  <si>
    <t>Major Cities Stream: $388.7M disbursed for 1,483 units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</si>
</sst>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
    <numFmt numFmtId="6" formatCode="&quot;$&quot;#,##0_);[Red]\(&quot;$&quot;#,##0\)"/>
    <numFmt numFmtId="43" formatCode="_(* #,##0.00_);_(* \(#,##0.00\);_(* &quot;-&quot;??_);_(@_)"/>
    <numFmt numFmtId="164" formatCode="_-* #,##0.00_-;\-* #,##0.00_-;_-* &quot;-&quot;??_-;_-@_-"/>
    <numFmt numFmtId="165" formatCode="_-* #,##0_-;\-* #,##0_-;_-* &quot;-&quot;??_-;_-@_-"/>
    <numFmt numFmtId="166" formatCode="_(* #,##0_);_(* \(#,##0\);_(* &quot;-&quot;??_);_(@_)"/>
    <numFmt numFmtId="167" formatCode="_-* #,##0.000000000_-;\-* #,##0.000000000_-;_-* &quot;-&quot;??_-;_-@_-"/>
    <numFmt numFmtId="168" formatCode="_-* #,##0.000000_-;\-* #,##0.000000_-;_-* &quot;-&quot;??_-;_-@_-"/>
    <numFmt numFmtId="169" formatCode="_(* #,##0.0_);_(* \(#,##0.0\);_(* &quot;-&quot;??_);_(@_)"/>
  </numFmts>
  <fonts count="14" x14ac:knownFonts="1">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b/>
      <i/>
      <u/>
      <sz val="11"/>
      <color theme="1"/>
      <name val="Calibri"/>
      <family val="2"/>
      <scheme val="minor"/>
    </font>
    <font>
      <u/>
      <sz val="11"/>
      <color theme="10"/>
      <name val="Calibri"/>
      <family val="2"/>
      <scheme val="minor"/>
    </font>
    <font>
      <sz val="11"/>
      <name val="Calibri"/>
      <family val="2"/>
      <scheme val="minor"/>
    </font>
    <font>
      <b/>
      <sz val="14"/>
      <color theme="1"/>
      <name val="Calibri"/>
      <family val="2"/>
      <scheme val="minor"/>
    </font>
    <font>
      <b/>
      <sz val="12"/>
      <color theme="1"/>
      <name val="Calibri"/>
      <family val="2"/>
      <scheme val="minor"/>
    </font>
    <font>
      <i/>
      <sz val="11"/>
      <color theme="1"/>
      <name val="Calibri"/>
      <family val="2"/>
      <scheme val="minor"/>
    </font>
    <font>
      <i/>
      <sz val="11"/>
      <name val="Calibri"/>
      <family val="2"/>
      <scheme val="minor"/>
    </font>
    <font>
      <vertAlign val="superscript"/>
      <sz val="11"/>
      <color theme="0"/>
      <name val="Calibri"/>
      <family val="2"/>
      <scheme val="minor"/>
    </font>
    <font>
      <vertAlign val="superscript"/>
      <sz val="11"/>
      <color theme="1"/>
      <name val="Calibri"/>
      <family val="2"/>
      <scheme val="minor"/>
    </font>
  </fonts>
  <fills count="5">
    <fill>
      <patternFill patternType="none"/>
    </fill>
    <fill>
      <patternFill patternType="gray125"/>
    </fill>
    <fill>
      <patternFill patternType="solid">
        <fgColor theme="4"/>
        <bgColor indexed="64"/>
      </patternFill>
    </fill>
    <fill>
      <patternFill patternType="solid">
        <fgColor theme="0" tint="-0.499984740745262"/>
        <bgColor indexed="64"/>
      </patternFill>
    </fill>
    <fill>
      <patternFill patternType="solid">
        <fgColor theme="9"/>
        <bgColor indexed="64"/>
      </patternFill>
    </fill>
  </fills>
  <borders count="33">
    <border>
      <left/>
      <right/>
      <top/>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
      <left/>
      <right style="thin">
        <color indexed="64"/>
      </right>
      <top style="medium">
        <color indexed="64"/>
      </top>
      <bottom/>
      <diagonal/>
    </border>
    <border>
      <left/>
      <right style="thin">
        <color indexed="64"/>
      </right>
      <top style="medium">
        <color indexed="64"/>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s>
  <cellStyleXfs count="4">
    <xf numFmtId="0" fontId="0" fillId="0" borderId="0"/>
    <xf numFmtId="43" fontId="1" fillId="0" borderId="0" applyFont="0" applyFill="0" applyBorder="0" applyAlignment="0" applyProtection="0"/>
    <xf numFmtId="0" fontId="6" fillId="0" borderId="0" applyNumberFormat="0" applyFill="0" applyBorder="0" applyAlignment="0" applyProtection="0"/>
    <xf numFmtId="164" fontId="1" fillId="0" borderId="0" applyFont="0" applyFill="0" applyBorder="0" applyAlignment="0" applyProtection="0"/>
  </cellStyleXfs>
  <cellXfs count="377">
    <xf numFmtId="0" fontId="0" fillId="0" borderId="0" xfId="0"/>
    <xf numFmtId="0" fontId="0" fillId="0" borderId="0" xfId="0" applyAlignment="1">
      <alignment wrapText="1"/>
    </xf>
    <xf numFmtId="0" fontId="5" fillId="0" borderId="0" xfId="0" applyFont="1" applyAlignment="1"/>
    <xf numFmtId="0" fontId="4" fillId="2" borderId="1" xfId="0" applyFont="1" applyFill="1" applyBorder="1" applyAlignment="1"/>
    <xf numFmtId="0" fontId="4" fillId="2" borderId="2" xfId="0" applyFont="1" applyFill="1" applyBorder="1" applyAlignment="1"/>
    <xf numFmtId="0" fontId="4" fillId="3" borderId="2" xfId="0" applyFont="1" applyFill="1" applyBorder="1" applyAlignment="1"/>
    <xf numFmtId="0" fontId="4" fillId="3" borderId="3" xfId="0" applyFont="1" applyFill="1" applyBorder="1" applyAlignment="1"/>
    <xf numFmtId="0" fontId="0" fillId="0" borderId="5" xfId="0" applyBorder="1" applyAlignment="1">
      <alignment horizontal="center" vertical="center"/>
    </xf>
    <xf numFmtId="0" fontId="0" fillId="0" borderId="7" xfId="0" applyBorder="1" applyAlignment="1">
      <alignment horizontal="center" vertical="center"/>
    </xf>
    <xf numFmtId="0" fontId="0" fillId="0" borderId="7" xfId="0" applyBorder="1" applyAlignment="1">
      <alignment horizontal="center" vertical="center" wrapText="1"/>
    </xf>
    <xf numFmtId="0" fontId="0" fillId="0" borderId="6" xfId="0" applyBorder="1"/>
    <xf numFmtId="0" fontId="0" fillId="0" borderId="7" xfId="0" applyBorder="1" applyAlignment="1">
      <alignment horizontal="left" vertical="center" wrapText="1"/>
    </xf>
    <xf numFmtId="0" fontId="6" fillId="0" borderId="5" xfId="2" applyBorder="1" applyAlignment="1">
      <alignment horizontal="center" vertical="center"/>
    </xf>
    <xf numFmtId="0" fontId="6" fillId="0" borderId="7" xfId="2" applyFill="1" applyBorder="1" applyAlignment="1">
      <alignment horizontal="center" vertical="center"/>
    </xf>
    <xf numFmtId="0" fontId="8" fillId="0" borderId="0" xfId="0" applyFont="1"/>
    <xf numFmtId="0" fontId="9" fillId="0" borderId="0" xfId="0" applyFont="1"/>
    <xf numFmtId="0" fontId="2" fillId="2" borderId="0" xfId="0" applyFont="1" applyFill="1"/>
    <xf numFmtId="0" fontId="2" fillId="4" borderId="0" xfId="0" applyFont="1" applyFill="1"/>
    <xf numFmtId="0" fontId="3" fillId="0" borderId="0" xfId="0" applyFont="1" applyAlignment="1">
      <alignment horizontal="left"/>
    </xf>
    <xf numFmtId="0" fontId="9" fillId="0" borderId="0" xfId="0" applyFont="1" applyAlignment="1">
      <alignment horizontal="left"/>
    </xf>
    <xf numFmtId="0" fontId="0" fillId="0" borderId="5" xfId="0" applyBorder="1" applyAlignment="1">
      <alignment horizontal="left" vertical="center"/>
    </xf>
    <xf numFmtId="0" fontId="0" fillId="0" borderId="5" xfId="0" applyBorder="1" applyAlignment="1">
      <alignment horizontal="left" vertical="center" wrapText="1"/>
    </xf>
    <xf numFmtId="6" fontId="6" fillId="0" borderId="5" xfId="2" applyNumberFormat="1" applyFill="1" applyBorder="1" applyAlignment="1">
      <alignment horizontal="left" vertical="center" wrapText="1"/>
    </xf>
    <xf numFmtId="165" fontId="0" fillId="0" borderId="0" xfId="0" applyNumberFormat="1"/>
    <xf numFmtId="0" fontId="0" fillId="0" borderId="17" xfId="0" applyBorder="1"/>
    <xf numFmtId="0" fontId="0" fillId="0" borderId="18" xfId="0" applyBorder="1"/>
    <xf numFmtId="165" fontId="6" fillId="0" borderId="5" xfId="2" applyNumberFormat="1" applyFill="1" applyBorder="1" applyAlignment="1">
      <alignment horizontal="center" vertical="center" wrapText="1"/>
    </xf>
    <xf numFmtId="165" fontId="0" fillId="0" borderId="20" xfId="1" applyNumberFormat="1" applyFont="1" applyFill="1" applyBorder="1" applyAlignment="1">
      <alignment horizontal="center" vertical="center"/>
    </xf>
    <xf numFmtId="0" fontId="3" fillId="0" borderId="16" xfId="0" applyFont="1" applyBorder="1"/>
    <xf numFmtId="0" fontId="5" fillId="0" borderId="0" xfId="0" applyFont="1" applyAlignment="1">
      <alignment wrapText="1"/>
    </xf>
    <xf numFmtId="0" fontId="4" fillId="2" borderId="1" xfId="0" applyFont="1" applyFill="1" applyBorder="1" applyAlignment="1">
      <alignment wrapText="1"/>
    </xf>
    <xf numFmtId="0" fontId="4" fillId="2" borderId="2" xfId="0" applyFont="1" applyFill="1" applyBorder="1"/>
    <xf numFmtId="0" fontId="4" fillId="3" borderId="2" xfId="0" applyFont="1" applyFill="1" applyBorder="1"/>
    <xf numFmtId="0" fontId="4" fillId="3" borderId="3" xfId="0" applyFont="1" applyFill="1" applyBorder="1"/>
    <xf numFmtId="0" fontId="10" fillId="0" borderId="4" xfId="0" applyFont="1" applyBorder="1" applyAlignment="1">
      <alignment horizontal="left"/>
    </xf>
    <xf numFmtId="0" fontId="0" fillId="0" borderId="0" xfId="0" applyFill="1"/>
    <xf numFmtId="0" fontId="0" fillId="0" borderId="4" xfId="0" applyBorder="1" applyAlignment="1">
      <alignment horizontal="left" vertical="center" indent="3"/>
    </xf>
    <xf numFmtId="1" fontId="0" fillId="0" borderId="0" xfId="0" applyNumberFormat="1"/>
    <xf numFmtId="165" fontId="0" fillId="0" borderId="0" xfId="3" applyNumberFormat="1" applyFont="1"/>
    <xf numFmtId="0" fontId="3" fillId="0" borderId="18" xfId="0" applyFont="1" applyBorder="1"/>
    <xf numFmtId="0" fontId="3" fillId="0" borderId="17" xfId="0" applyFont="1" applyBorder="1"/>
    <xf numFmtId="165" fontId="3" fillId="0" borderId="17" xfId="0" applyNumberFormat="1" applyFont="1" applyBorder="1"/>
    <xf numFmtId="0" fontId="3" fillId="0" borderId="16" xfId="0" applyFont="1" applyBorder="1" applyAlignment="1">
      <alignment wrapText="1"/>
    </xf>
    <xf numFmtId="0" fontId="4" fillId="2" borderId="1" xfId="0" applyFont="1" applyFill="1" applyBorder="1"/>
    <xf numFmtId="0" fontId="5" fillId="0" borderId="0" xfId="0" applyFont="1"/>
    <xf numFmtId="0" fontId="11" fillId="0" borderId="14" xfId="0" applyFont="1" applyBorder="1"/>
    <xf numFmtId="0" fontId="4" fillId="0" borderId="9" xfId="0" applyFont="1" applyBorder="1"/>
    <xf numFmtId="0" fontId="4" fillId="0" borderId="10" xfId="0" applyFont="1" applyBorder="1"/>
    <xf numFmtId="0" fontId="0" fillId="0" borderId="4" xfId="0" applyBorder="1" applyAlignment="1">
      <alignment horizontal="left" indent="3"/>
    </xf>
    <xf numFmtId="15" fontId="0" fillId="0" borderId="6" xfId="3" applyNumberFormat="1" applyFont="1" applyFill="1" applyBorder="1" applyAlignment="1">
      <alignment horizontal="center" vertical="center"/>
    </xf>
    <xf numFmtId="17" fontId="0" fillId="0" borderId="6" xfId="3" applyNumberFormat="1" applyFont="1" applyFill="1" applyBorder="1" applyAlignment="1">
      <alignment horizontal="center" vertical="center"/>
    </xf>
    <xf numFmtId="0" fontId="0" fillId="0" borderId="13" xfId="0" applyBorder="1" applyAlignment="1">
      <alignment vertical="center"/>
    </xf>
    <xf numFmtId="0" fontId="0" fillId="0" borderId="8" xfId="0" applyBorder="1"/>
    <xf numFmtId="0" fontId="10" fillId="0" borderId="4" xfId="0" applyFont="1" applyBorder="1"/>
    <xf numFmtId="165" fontId="0" fillId="0" borderId="5" xfId="3" applyNumberFormat="1" applyFont="1" applyFill="1" applyBorder="1" applyAlignment="1">
      <alignment horizontal="center" vertical="center" wrapText="1"/>
    </xf>
    <xf numFmtId="0" fontId="0" fillId="0" borderId="7" xfId="0" applyBorder="1"/>
    <xf numFmtId="0" fontId="0" fillId="0" borderId="0" xfId="0" applyFill="1" applyBorder="1" applyAlignment="1"/>
    <xf numFmtId="0" fontId="0" fillId="0" borderId="0" xfId="0"/>
    <xf numFmtId="0" fontId="0" fillId="0" borderId="5" xfId="0" applyBorder="1"/>
    <xf numFmtId="0" fontId="0" fillId="0" borderId="0" xfId="0" applyAlignment="1"/>
    <xf numFmtId="0" fontId="0" fillId="0" borderId="5" xfId="0" applyFill="1" applyBorder="1" applyAlignment="1">
      <alignment horizontal="center" vertical="center"/>
    </xf>
    <xf numFmtId="17" fontId="0" fillId="0" borderId="6" xfId="1" applyNumberFormat="1" applyFont="1" applyFill="1" applyBorder="1" applyAlignment="1">
      <alignment horizontal="center" vertical="center"/>
    </xf>
    <xf numFmtId="15" fontId="0" fillId="0" borderId="6" xfId="0" applyNumberFormat="1"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7" fillId="0" borderId="4" xfId="0" applyFont="1" applyFill="1" applyBorder="1" applyAlignment="1">
      <alignment horizontal="left" vertical="center" wrapText="1"/>
    </xf>
    <xf numFmtId="0" fontId="3" fillId="0" borderId="16" xfId="0" applyFont="1" applyBorder="1" applyAlignment="1">
      <alignment horizontal="left"/>
    </xf>
    <xf numFmtId="0" fontId="3" fillId="0" borderId="21" xfId="0" applyFont="1" applyBorder="1"/>
    <xf numFmtId="0" fontId="0" fillId="0" borderId="22" xfId="0" applyBorder="1"/>
    <xf numFmtId="165" fontId="3" fillId="0" borderId="22" xfId="0" applyNumberFormat="1" applyFont="1" applyBorder="1"/>
    <xf numFmtId="0" fontId="0" fillId="0" borderId="23" xfId="0" applyBorder="1"/>
    <xf numFmtId="166" fontId="0" fillId="0" borderId="17" xfId="1" applyNumberFormat="1" applyFont="1" applyBorder="1"/>
    <xf numFmtId="165" fontId="3" fillId="0" borderId="17" xfId="3" applyNumberFormat="1" applyFont="1" applyFill="1" applyBorder="1"/>
    <xf numFmtId="0" fontId="0" fillId="0" borderId="5" xfId="0" applyBorder="1" applyAlignment="1">
      <alignment horizontal="center" vertical="center"/>
    </xf>
    <xf numFmtId="0" fontId="0" fillId="0" borderId="5" xfId="0" applyBorder="1" applyAlignment="1">
      <alignment horizontal="left" vertical="center" wrapText="1"/>
    </xf>
    <xf numFmtId="0" fontId="0" fillId="0" borderId="7" xfId="0" applyBorder="1" applyAlignment="1">
      <alignment horizontal="left" vertical="center"/>
    </xf>
    <xf numFmtId="0" fontId="0" fillId="0" borderId="0" xfId="0" applyBorder="1" applyAlignment="1">
      <alignment horizontal="left" vertical="center" wrapText="1"/>
    </xf>
    <xf numFmtId="0" fontId="0" fillId="0" borderId="11" xfId="0" applyBorder="1" applyAlignment="1">
      <alignment horizontal="center" vertical="center"/>
    </xf>
    <xf numFmtId="0" fontId="6" fillId="0" borderId="9" xfId="2" applyBorder="1" applyAlignment="1">
      <alignment horizontal="center" vertical="top"/>
    </xf>
    <xf numFmtId="0" fontId="4" fillId="2" borderId="26" xfId="0" applyFont="1" applyFill="1" applyBorder="1" applyAlignment="1"/>
    <xf numFmtId="0" fontId="3" fillId="0" borderId="30" xfId="0" applyFont="1" applyBorder="1"/>
    <xf numFmtId="0" fontId="11" fillId="0" borderId="28" xfId="0" applyFont="1" applyBorder="1"/>
    <xf numFmtId="0" fontId="10" fillId="0" borderId="25" xfId="0" applyFont="1" applyBorder="1"/>
    <xf numFmtId="0" fontId="10" fillId="0" borderId="25" xfId="0" applyFont="1" applyBorder="1" applyAlignment="1">
      <alignment horizontal="left"/>
    </xf>
    <xf numFmtId="0" fontId="3" fillId="0" borderId="30" xfId="0" applyFont="1" applyBorder="1" applyAlignment="1">
      <alignment wrapText="1"/>
    </xf>
    <xf numFmtId="0" fontId="0" fillId="0" borderId="25" xfId="0" applyFill="1" applyBorder="1" applyAlignment="1">
      <alignment horizontal="center" vertical="center" wrapText="1"/>
    </xf>
    <xf numFmtId="0" fontId="0" fillId="0" borderId="25" xfId="0" applyBorder="1" applyAlignment="1">
      <alignment horizontal="center" vertical="center"/>
    </xf>
    <xf numFmtId="3" fontId="7" fillId="0" borderId="25" xfId="0" applyNumberFormat="1" applyFont="1" applyFill="1" applyBorder="1" applyAlignment="1">
      <alignment horizontal="center" vertical="center" wrapText="1"/>
    </xf>
    <xf numFmtId="0" fontId="0" fillId="0" borderId="27" xfId="0" applyBorder="1" applyAlignment="1">
      <alignment horizontal="center" vertical="center"/>
    </xf>
    <xf numFmtId="3" fontId="0" fillId="0" borderId="25" xfId="0" applyNumberFormat="1" applyBorder="1" applyAlignment="1">
      <alignment horizontal="center" vertical="center"/>
    </xf>
    <xf numFmtId="3" fontId="3" fillId="0" borderId="29" xfId="0" applyNumberFormat="1" applyFont="1" applyBorder="1"/>
    <xf numFmtId="3" fontId="3" fillId="0" borderId="30" xfId="0" applyNumberFormat="1" applyFont="1" applyBorder="1"/>
    <xf numFmtId="0" fontId="0" fillId="0" borderId="0" xfId="0" applyFont="1" applyFill="1" applyBorder="1"/>
    <xf numFmtId="0" fontId="3" fillId="0" borderId="0" xfId="0" applyFont="1" applyBorder="1"/>
    <xf numFmtId="0" fontId="0" fillId="0" borderId="0" xfId="0" applyBorder="1"/>
    <xf numFmtId="165" fontId="3" fillId="0" borderId="0" xfId="0" applyNumberFormat="1" applyFont="1" applyBorder="1"/>
    <xf numFmtId="3" fontId="0" fillId="0" borderId="25" xfId="0" applyNumberFormat="1" applyFill="1" applyBorder="1" applyAlignment="1">
      <alignment horizontal="center" vertical="center" wrapText="1"/>
    </xf>
    <xf numFmtId="0" fontId="0" fillId="0" borderId="7" xfId="0" applyBorder="1" applyAlignment="1">
      <alignment horizontal="center" vertical="center"/>
    </xf>
    <xf numFmtId="167" fontId="0" fillId="0" borderId="0" xfId="0" applyNumberFormat="1"/>
    <xf numFmtId="165" fontId="0" fillId="0" borderId="6" xfId="1" applyNumberFormat="1" applyFont="1" applyFill="1" applyBorder="1" applyAlignment="1">
      <alignment horizontal="center" vertical="center"/>
    </xf>
    <xf numFmtId="0" fontId="0" fillId="0" borderId="5" xfId="0" applyFont="1" applyFill="1" applyBorder="1" applyAlignment="1">
      <alignment horizontal="center" vertical="center" wrapText="1"/>
    </xf>
    <xf numFmtId="0" fontId="0" fillId="0" borderId="5" xfId="0" applyFill="1" applyBorder="1"/>
    <xf numFmtId="0" fontId="0" fillId="0" borderId="27" xfId="0" applyFill="1" applyBorder="1" applyAlignment="1">
      <alignment horizontal="center" vertical="center" wrapText="1"/>
    </xf>
    <xf numFmtId="165" fontId="0" fillId="0" borderId="6" xfId="0" applyNumberFormat="1" applyFill="1" applyBorder="1" applyAlignment="1">
      <alignment horizontal="center" vertical="center"/>
    </xf>
    <xf numFmtId="0" fontId="0" fillId="0" borderId="20" xfId="0" applyFill="1" applyBorder="1" applyAlignment="1">
      <alignment horizontal="center" vertical="center"/>
    </xf>
    <xf numFmtId="0" fontId="7" fillId="0" borderId="5" xfId="0" applyFont="1" applyFill="1" applyBorder="1" applyAlignment="1">
      <alignment horizontal="center" vertical="center" wrapText="1"/>
    </xf>
    <xf numFmtId="0" fontId="7" fillId="0" borderId="5" xfId="0" applyFont="1" applyFill="1" applyBorder="1" applyAlignment="1">
      <alignment horizontal="left" vertical="center"/>
    </xf>
    <xf numFmtId="0" fontId="0" fillId="0" borderId="5" xfId="0" applyFill="1" applyBorder="1" applyAlignment="1">
      <alignment wrapText="1"/>
    </xf>
    <xf numFmtId="0" fontId="10" fillId="0" borderId="25" xfId="0" applyFont="1" applyFill="1" applyBorder="1" applyAlignment="1">
      <alignment horizontal="center" vertical="center" wrapText="1"/>
    </xf>
    <xf numFmtId="0" fontId="0" fillId="0" borderId="6" xfId="0" applyFill="1" applyBorder="1"/>
    <xf numFmtId="0" fontId="0" fillId="0" borderId="25" xfId="0" applyFill="1" applyBorder="1" applyAlignment="1">
      <alignment horizontal="center" vertical="center"/>
    </xf>
    <xf numFmtId="0" fontId="0" fillId="0" borderId="25" xfId="0" applyFill="1" applyBorder="1" applyAlignment="1">
      <alignment horizontal="left" vertical="center" wrapText="1"/>
    </xf>
    <xf numFmtId="0" fontId="0" fillId="0" borderId="25" xfId="0" applyFill="1" applyBorder="1" applyAlignment="1">
      <alignment horizontal="left" vertical="center"/>
    </xf>
    <xf numFmtId="6" fontId="0" fillId="0" borderId="5" xfId="0" applyNumberFormat="1" applyFill="1" applyBorder="1" applyAlignment="1">
      <alignment vertical="center"/>
    </xf>
    <xf numFmtId="0" fontId="7" fillId="0" borderId="5" xfId="2" applyFont="1" applyFill="1" applyBorder="1" applyAlignment="1">
      <alignment horizontal="center" vertical="center" wrapText="1"/>
    </xf>
    <xf numFmtId="165" fontId="0" fillId="0" borderId="7" xfId="1" applyNumberFormat="1" applyFont="1" applyFill="1" applyBorder="1" applyAlignment="1">
      <alignment horizontal="center" vertical="center"/>
    </xf>
    <xf numFmtId="0" fontId="0" fillId="0" borderId="13" xfId="0" applyFill="1" applyBorder="1" applyAlignment="1">
      <alignment horizontal="left" vertical="center" wrapText="1"/>
    </xf>
    <xf numFmtId="0" fontId="0" fillId="0" borderId="7" xfId="0" applyFill="1" applyBorder="1" applyAlignment="1">
      <alignment horizontal="center" vertical="center" wrapText="1"/>
    </xf>
    <xf numFmtId="0" fontId="0" fillId="0" borderId="11" xfId="0" applyFill="1" applyBorder="1" applyAlignment="1">
      <alignment horizontal="center" vertical="center" wrapText="1"/>
    </xf>
    <xf numFmtId="0" fontId="0" fillId="0" borderId="9" xfId="0" applyFill="1" applyBorder="1" applyAlignment="1">
      <alignment horizontal="center" vertical="center" wrapText="1"/>
    </xf>
    <xf numFmtId="0" fontId="0" fillId="0" borderId="4" xfId="0" applyFill="1" applyBorder="1" applyAlignment="1">
      <alignment horizontal="left" vertical="center" wrapText="1"/>
    </xf>
    <xf numFmtId="0" fontId="0" fillId="0" borderId="7" xfId="0" applyFill="1" applyBorder="1" applyAlignment="1">
      <alignment horizontal="center" vertical="center"/>
    </xf>
    <xf numFmtId="0" fontId="0" fillId="0" borderId="9" xfId="0" applyFill="1" applyBorder="1" applyAlignment="1">
      <alignment horizontal="center" vertical="center"/>
    </xf>
    <xf numFmtId="15" fontId="0" fillId="0" borderId="6" xfId="0" applyNumberFormat="1" applyFill="1" applyBorder="1" applyAlignment="1">
      <alignment horizontal="center" vertical="center"/>
    </xf>
    <xf numFmtId="0" fontId="0" fillId="0" borderId="5" xfId="0" applyFill="1" applyBorder="1" applyAlignment="1">
      <alignment horizontal="center" vertical="center"/>
    </xf>
    <xf numFmtId="0" fontId="6" fillId="0" borderId="5" xfId="2" applyFill="1" applyBorder="1" applyAlignment="1">
      <alignment horizontal="center" vertical="center"/>
    </xf>
    <xf numFmtId="0" fontId="0" fillId="0" borderId="5" xfId="0" applyFill="1" applyBorder="1" applyAlignment="1">
      <alignment horizontal="center" vertical="center" wrapText="1"/>
    </xf>
    <xf numFmtId="0" fontId="0" fillId="0" borderId="5" xfId="0" applyFill="1" applyBorder="1" applyAlignment="1">
      <alignment horizontal="left" vertical="center"/>
    </xf>
    <xf numFmtId="17" fontId="0" fillId="0" borderId="6" xfId="0" applyNumberFormat="1" applyFill="1" applyBorder="1" applyAlignment="1">
      <alignment horizontal="center" vertical="center"/>
    </xf>
    <xf numFmtId="0" fontId="0" fillId="0" borderId="6" xfId="0" applyFill="1" applyBorder="1" applyAlignment="1">
      <alignment horizontal="center" vertical="center"/>
    </xf>
    <xf numFmtId="165" fontId="0" fillId="0" borderId="5" xfId="0" applyNumberFormat="1" applyFill="1" applyBorder="1" applyAlignment="1">
      <alignment horizontal="center" vertical="center"/>
    </xf>
    <xf numFmtId="165" fontId="6" fillId="0" borderId="5" xfId="2" applyNumberFormat="1" applyFill="1" applyBorder="1" applyAlignment="1">
      <alignment horizontal="center" vertical="center"/>
    </xf>
    <xf numFmtId="165" fontId="0" fillId="0" borderId="5" xfId="0" applyNumberFormat="1" applyFill="1" applyBorder="1" applyAlignment="1">
      <alignment horizontal="center" vertical="center" wrapText="1"/>
    </xf>
    <xf numFmtId="165" fontId="0" fillId="0" borderId="5" xfId="0" applyNumberFormat="1" applyFill="1" applyBorder="1" applyAlignment="1">
      <alignment horizontal="left" vertical="center" wrapText="1"/>
    </xf>
    <xf numFmtId="0" fontId="0" fillId="0" borderId="7" xfId="0" applyFill="1" applyBorder="1" applyAlignment="1">
      <alignment horizontal="left" vertical="center"/>
    </xf>
    <xf numFmtId="0" fontId="0" fillId="0" borderId="9" xfId="0" applyFill="1" applyBorder="1" applyAlignment="1">
      <alignment horizontal="left" vertical="center"/>
    </xf>
    <xf numFmtId="165" fontId="0" fillId="0" borderId="5" xfId="1" applyNumberFormat="1" applyFont="1" applyFill="1" applyBorder="1" applyAlignment="1">
      <alignment horizontal="center" vertical="center"/>
    </xf>
    <xf numFmtId="0" fontId="6" fillId="0" borderId="5" xfId="2" applyFill="1" applyBorder="1" applyAlignment="1">
      <alignment horizontal="center" vertical="center" wrapText="1"/>
    </xf>
    <xf numFmtId="0" fontId="0" fillId="0" borderId="5" xfId="0" applyFill="1" applyBorder="1" applyAlignment="1">
      <alignment horizontal="left" vertical="center" wrapText="1"/>
    </xf>
    <xf numFmtId="0" fontId="0" fillId="0" borderId="11" xfId="0" applyFill="1" applyBorder="1" applyAlignment="1">
      <alignment horizontal="center" vertical="center"/>
    </xf>
    <xf numFmtId="0" fontId="6" fillId="0" borderId="7" xfId="2" applyFill="1" applyBorder="1" applyAlignment="1">
      <alignment horizontal="center" vertical="center"/>
    </xf>
    <xf numFmtId="0" fontId="6" fillId="0" borderId="9" xfId="2" applyFill="1" applyBorder="1" applyAlignment="1">
      <alignment horizontal="center" vertical="center"/>
    </xf>
    <xf numFmtId="165" fontId="0" fillId="0" borderId="5" xfId="1" applyNumberFormat="1" applyFont="1" applyFill="1" applyBorder="1" applyAlignment="1">
      <alignment horizontal="left" vertical="center"/>
    </xf>
    <xf numFmtId="15" fontId="0" fillId="0" borderId="6" xfId="1" applyNumberFormat="1" applyFont="1" applyFill="1" applyBorder="1" applyAlignment="1">
      <alignment horizontal="center" vertical="center"/>
    </xf>
    <xf numFmtId="165" fontId="0" fillId="0" borderId="5" xfId="1" applyNumberFormat="1" applyFont="1" applyFill="1" applyBorder="1" applyAlignment="1">
      <alignment horizontal="center" vertical="center" wrapText="1"/>
    </xf>
    <xf numFmtId="165" fontId="0" fillId="0" borderId="11" xfId="1" applyNumberFormat="1" applyFont="1" applyFill="1" applyBorder="1" applyAlignment="1">
      <alignment horizontal="center" vertical="center"/>
    </xf>
    <xf numFmtId="165" fontId="6" fillId="0" borderId="7" xfId="2" applyNumberFormat="1" applyFill="1" applyBorder="1" applyAlignment="1">
      <alignment horizontal="center" vertical="center"/>
    </xf>
    <xf numFmtId="17" fontId="0" fillId="0" borderId="8" xfId="0" applyNumberFormat="1" applyFill="1" applyBorder="1" applyAlignment="1">
      <alignment horizontal="center" vertical="center"/>
    </xf>
    <xf numFmtId="165" fontId="0" fillId="0" borderId="5" xfId="1" applyNumberFormat="1" applyFont="1" applyFill="1" applyBorder="1" applyAlignment="1">
      <alignment horizontal="left" vertical="center" wrapText="1"/>
    </xf>
    <xf numFmtId="0" fontId="0" fillId="0" borderId="6" xfId="1" applyNumberFormat="1" applyFont="1" applyFill="1" applyBorder="1" applyAlignment="1">
      <alignment horizontal="center" vertical="center"/>
    </xf>
    <xf numFmtId="165" fontId="0" fillId="0" borderId="7" xfId="0" applyNumberFormat="1" applyFill="1" applyBorder="1" applyAlignment="1">
      <alignment horizontal="left" vertical="center" wrapText="1"/>
    </xf>
    <xf numFmtId="165" fontId="0" fillId="0" borderId="5" xfId="0" applyNumberFormat="1" applyFill="1" applyBorder="1" applyAlignment="1">
      <alignment horizontal="left" vertical="center"/>
    </xf>
    <xf numFmtId="0" fontId="0" fillId="0" borderId="8" xfId="0" applyFill="1" applyBorder="1" applyAlignment="1">
      <alignment horizontal="center" vertical="center"/>
    </xf>
    <xf numFmtId="165" fontId="0" fillId="0" borderId="20" xfId="1" applyNumberFormat="1" applyFont="1" applyFill="1" applyBorder="1" applyAlignment="1">
      <alignment horizontal="center" vertical="center" wrapText="1"/>
    </xf>
    <xf numFmtId="165" fontId="0" fillId="0" borderId="7" xfId="0" applyNumberFormat="1" applyFill="1" applyBorder="1" applyAlignment="1">
      <alignment horizontal="center" vertical="center"/>
    </xf>
    <xf numFmtId="15" fontId="0" fillId="0" borderId="10" xfId="0" applyNumberFormat="1" applyFill="1" applyBorder="1" applyAlignment="1">
      <alignment horizontal="center" vertical="center"/>
    </xf>
    <xf numFmtId="0" fontId="7" fillId="0" borderId="9" xfId="0" applyFont="1" applyFill="1" applyBorder="1" applyAlignment="1">
      <alignment horizontal="center" vertical="center" wrapText="1"/>
    </xf>
    <xf numFmtId="0" fontId="0" fillId="0" borderId="7" xfId="0" applyFill="1" applyBorder="1" applyAlignment="1">
      <alignment horizontal="left" vertical="center" wrapText="1"/>
    </xf>
    <xf numFmtId="0" fontId="0" fillId="0" borderId="7" xfId="0" applyBorder="1" applyAlignment="1">
      <alignment horizontal="center" vertical="center"/>
    </xf>
    <xf numFmtId="0" fontId="0" fillId="0" borderId="4" xfId="0" applyFill="1" applyBorder="1" applyAlignment="1">
      <alignment horizontal="left" vertical="center"/>
    </xf>
    <xf numFmtId="0" fontId="7" fillId="0" borderId="5" xfId="0" applyFont="1" applyFill="1" applyBorder="1" applyAlignment="1">
      <alignment horizontal="center" vertical="center"/>
    </xf>
    <xf numFmtId="0" fontId="7" fillId="0" borderId="6" xfId="0" applyFont="1" applyFill="1" applyBorder="1" applyAlignment="1">
      <alignment horizontal="center" vertical="center"/>
    </xf>
    <xf numFmtId="166" fontId="0" fillId="0" borderId="0" xfId="1" applyNumberFormat="1" applyFont="1"/>
    <xf numFmtId="166" fontId="0" fillId="0" borderId="0" xfId="0" applyNumberFormat="1"/>
    <xf numFmtId="168" fontId="0" fillId="0" borderId="0" xfId="0" applyNumberFormat="1"/>
    <xf numFmtId="0" fontId="0" fillId="0" borderId="7" xfId="0" applyFill="1" applyBorder="1" applyAlignment="1">
      <alignment horizontal="center" vertical="center"/>
    </xf>
    <xf numFmtId="0" fontId="6" fillId="0" borderId="5" xfId="2" applyFill="1" applyBorder="1" applyAlignment="1">
      <alignment horizontal="center" vertical="center"/>
    </xf>
    <xf numFmtId="0" fontId="0" fillId="0" borderId="5" xfId="0" applyFill="1" applyBorder="1" applyAlignment="1">
      <alignment horizontal="center" vertical="center" wrapText="1"/>
    </xf>
    <xf numFmtId="0" fontId="0" fillId="0" borderId="5" xfId="0" applyFill="1" applyBorder="1" applyAlignment="1">
      <alignment horizontal="center" vertical="center"/>
    </xf>
    <xf numFmtId="15" fontId="0" fillId="0" borderId="6" xfId="0" applyNumberFormat="1" applyFill="1" applyBorder="1" applyAlignment="1">
      <alignment horizontal="center" vertical="center"/>
    </xf>
    <xf numFmtId="0" fontId="0" fillId="0" borderId="5" xfId="0" applyFill="1" applyBorder="1" applyAlignment="1">
      <alignment horizontal="left" vertical="center" wrapText="1"/>
    </xf>
    <xf numFmtId="0" fontId="0" fillId="0" borderId="7" xfId="0" applyBorder="1" applyAlignment="1">
      <alignment horizontal="center" vertical="center"/>
    </xf>
    <xf numFmtId="15" fontId="0" fillId="0" borderId="8" xfId="0" applyNumberFormat="1" applyBorder="1" applyAlignment="1">
      <alignment horizontal="center" vertical="center"/>
    </xf>
    <xf numFmtId="0" fontId="6" fillId="0" borderId="5" xfId="2" applyBorder="1" applyAlignment="1">
      <alignment horizontal="center" vertical="center"/>
    </xf>
    <xf numFmtId="0" fontId="0" fillId="0" borderId="0" xfId="0" applyFill="1" applyBorder="1" applyAlignment="1">
      <alignment horizontal="center" vertical="center" wrapText="1"/>
    </xf>
    <xf numFmtId="0" fontId="0" fillId="0" borderId="0" xfId="0" applyBorder="1" applyAlignment="1">
      <alignment horizontal="center" vertical="center"/>
    </xf>
    <xf numFmtId="166" fontId="0" fillId="0" borderId="5" xfId="1" applyNumberFormat="1" applyFont="1" applyFill="1" applyBorder="1" applyAlignment="1">
      <alignment horizontal="right" vertical="center"/>
    </xf>
    <xf numFmtId="166" fontId="0" fillId="0" borderId="5" xfId="1" applyNumberFormat="1" applyFont="1" applyBorder="1" applyAlignment="1">
      <alignment horizontal="right" vertical="center"/>
    </xf>
    <xf numFmtId="166" fontId="0" fillId="0" borderId="11" xfId="1" applyNumberFormat="1" applyFont="1" applyFill="1" applyBorder="1" applyAlignment="1">
      <alignment horizontal="right" vertical="center"/>
    </xf>
    <xf numFmtId="0" fontId="10" fillId="0" borderId="4" xfId="0" applyFont="1" applyFill="1" applyBorder="1" applyAlignment="1">
      <alignment horizontal="left" vertical="center" wrapText="1"/>
    </xf>
    <xf numFmtId="0" fontId="0" fillId="0" borderId="0" xfId="0" applyFill="1" applyBorder="1" applyAlignment="1">
      <alignment horizontal="center" vertical="center"/>
    </xf>
    <xf numFmtId="166" fontId="0" fillId="0" borderId="5" xfId="1" applyNumberFormat="1" applyFont="1" applyBorder="1"/>
    <xf numFmtId="166" fontId="0" fillId="0" borderId="5" xfId="1" applyNumberFormat="1" applyFont="1" applyFill="1" applyBorder="1"/>
    <xf numFmtId="166" fontId="0" fillId="0" borderId="5" xfId="1" applyNumberFormat="1" applyFont="1" applyFill="1" applyBorder="1" applyAlignment="1">
      <alignment vertical="center"/>
    </xf>
    <xf numFmtId="166" fontId="1" fillId="0" borderId="5" xfId="1" applyNumberFormat="1" applyFill="1" applyBorder="1" applyAlignment="1">
      <alignment horizontal="right" vertical="center"/>
    </xf>
    <xf numFmtId="166" fontId="0" fillId="0" borderId="0" xfId="1" applyNumberFormat="1" applyFont="1" applyBorder="1"/>
    <xf numFmtId="166" fontId="0" fillId="0" borderId="7" xfId="1" applyNumberFormat="1" applyFont="1" applyFill="1" applyBorder="1" applyAlignment="1">
      <alignment horizontal="right" vertical="center"/>
    </xf>
    <xf numFmtId="0" fontId="3" fillId="0" borderId="16" xfId="0" applyFont="1" applyBorder="1" applyAlignment="1">
      <alignment horizontal="left" wrapText="1"/>
    </xf>
    <xf numFmtId="165" fontId="3" fillId="0" borderId="17" xfId="3" applyNumberFormat="1" applyFont="1" applyBorder="1" applyAlignment="1">
      <alignment horizontal="right" vertical="center"/>
    </xf>
    <xf numFmtId="165" fontId="3" fillId="0" borderId="17" xfId="3" applyNumberFormat="1" applyFont="1" applyBorder="1" applyAlignment="1">
      <alignment horizontal="center" vertical="center"/>
    </xf>
    <xf numFmtId="165" fontId="3" fillId="0" borderId="18" xfId="3" applyNumberFormat="1" applyFont="1" applyBorder="1" applyAlignment="1">
      <alignment horizontal="center" vertical="center"/>
    </xf>
    <xf numFmtId="166" fontId="0" fillId="0" borderId="7" xfId="1" applyNumberFormat="1" applyFont="1" applyBorder="1" applyAlignment="1">
      <alignment horizontal="right" vertical="center"/>
    </xf>
    <xf numFmtId="15" fontId="0" fillId="0" borderId="6" xfId="0" applyNumberFormat="1" applyFill="1" applyBorder="1" applyAlignment="1">
      <alignment horizontal="center" vertical="center"/>
    </xf>
    <xf numFmtId="0" fontId="0" fillId="0" borderId="7" xfId="0" applyFill="1" applyBorder="1" applyAlignment="1">
      <alignment horizontal="center" vertical="center"/>
    </xf>
    <xf numFmtId="17" fontId="0" fillId="0" borderId="6" xfId="0" applyNumberFormat="1" applyFill="1" applyBorder="1" applyAlignment="1">
      <alignment horizontal="center" vertical="center"/>
    </xf>
    <xf numFmtId="0" fontId="0" fillId="0" borderId="5" xfId="0" applyFill="1" applyBorder="1" applyAlignment="1">
      <alignment horizontal="center" vertical="center"/>
    </xf>
    <xf numFmtId="0" fontId="0" fillId="0" borderId="5" xfId="0" applyFill="1" applyBorder="1" applyAlignment="1">
      <alignment horizontal="center" vertical="center" wrapText="1"/>
    </xf>
    <xf numFmtId="165" fontId="1" fillId="0" borderId="5" xfId="1" applyNumberFormat="1" applyFont="1" applyFill="1" applyBorder="1" applyAlignment="1">
      <alignment horizontal="center" vertical="center"/>
    </xf>
    <xf numFmtId="0" fontId="6" fillId="0" borderId="5" xfId="2" applyFont="1" applyFill="1" applyBorder="1" applyAlignment="1">
      <alignment horizontal="center" vertical="center"/>
    </xf>
    <xf numFmtId="0" fontId="0" fillId="0" borderId="5" xfId="0" applyBorder="1" applyAlignment="1">
      <alignment horizontal="right" vertical="center"/>
    </xf>
    <xf numFmtId="0" fontId="7" fillId="0" borderId="5" xfId="2" applyFont="1" applyFill="1" applyBorder="1" applyAlignment="1">
      <alignment horizontal="center" vertical="center"/>
    </xf>
    <xf numFmtId="165" fontId="0" fillId="0" borderId="7" xfId="1" applyNumberFormat="1" applyFont="1" applyFill="1" applyBorder="1" applyAlignment="1">
      <alignment horizontal="center" vertical="center"/>
    </xf>
    <xf numFmtId="0" fontId="0" fillId="0" borderId="13" xfId="0" applyFill="1" applyBorder="1" applyAlignment="1">
      <alignment horizontal="left" vertical="center" wrapText="1"/>
    </xf>
    <xf numFmtId="0" fontId="0" fillId="0" borderId="7" xfId="0" applyFill="1" applyBorder="1" applyAlignment="1">
      <alignment horizontal="center" vertical="center" wrapText="1"/>
    </xf>
    <xf numFmtId="0" fontId="0" fillId="0" borderId="5" xfId="0" applyFill="1" applyBorder="1" applyAlignment="1">
      <alignment horizontal="center" vertical="center" wrapText="1"/>
    </xf>
    <xf numFmtId="0" fontId="0" fillId="0" borderId="7" xfId="0" applyFill="1" applyBorder="1" applyAlignment="1">
      <alignment horizontal="center" vertical="center"/>
    </xf>
    <xf numFmtId="0" fontId="0" fillId="0" borderId="5" xfId="0" applyFill="1" applyBorder="1" applyAlignment="1">
      <alignment horizontal="center" vertical="center"/>
    </xf>
    <xf numFmtId="0" fontId="6" fillId="0" borderId="5" xfId="2" applyFill="1" applyBorder="1" applyAlignment="1">
      <alignment horizontal="center" vertical="center"/>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4" xfId="0" applyFill="1" applyBorder="1" applyAlignment="1">
      <alignment horizontal="left" vertical="center" wrapText="1"/>
    </xf>
    <xf numFmtId="17" fontId="0" fillId="0" borderId="8" xfId="0" applyNumberFormat="1" applyFill="1" applyBorder="1" applyAlignment="1">
      <alignment horizontal="center" vertical="center"/>
    </xf>
    <xf numFmtId="0" fontId="0" fillId="0" borderId="7" xfId="0" applyFill="1" applyBorder="1" applyAlignment="1">
      <alignment horizontal="left" vertical="center" wrapText="1"/>
    </xf>
    <xf numFmtId="169" fontId="0" fillId="0" borderId="5" xfId="1" applyNumberFormat="1" applyFont="1" applyFill="1" applyBorder="1" applyAlignment="1">
      <alignment horizontal="right" vertical="center"/>
    </xf>
    <xf numFmtId="169" fontId="0" fillId="0" borderId="11" xfId="1" applyNumberFormat="1" applyFont="1" applyFill="1" applyBorder="1" applyAlignment="1">
      <alignment horizontal="right" vertical="center"/>
    </xf>
    <xf numFmtId="43" fontId="0" fillId="0" borderId="5" xfId="1" applyNumberFormat="1" applyFont="1" applyFill="1" applyBorder="1" applyAlignment="1">
      <alignment horizontal="right" vertical="center"/>
    </xf>
    <xf numFmtId="0" fontId="0" fillId="0" borderId="5" xfId="0" applyFill="1" applyBorder="1" applyAlignment="1">
      <alignment horizontal="center" vertical="center" wrapText="1"/>
    </xf>
    <xf numFmtId="0" fontId="0" fillId="0" borderId="7" xfId="0" applyFill="1" applyBorder="1" applyAlignment="1">
      <alignment horizontal="center" vertical="center" wrapText="1"/>
    </xf>
    <xf numFmtId="0" fontId="0" fillId="0" borderId="7" xfId="0" applyBorder="1" applyAlignment="1">
      <alignment horizontal="center" vertical="center"/>
    </xf>
    <xf numFmtId="0" fontId="0" fillId="0" borderId="13" xfId="0" applyBorder="1" applyAlignment="1">
      <alignment horizontal="left" vertical="center"/>
    </xf>
    <xf numFmtId="17" fontId="0" fillId="0" borderId="6" xfId="0" applyNumberFormat="1" applyFill="1" applyBorder="1" applyAlignment="1">
      <alignment horizontal="center" vertical="center"/>
    </xf>
    <xf numFmtId="0" fontId="0" fillId="0" borderId="5" xfId="0" applyFill="1" applyBorder="1" applyAlignment="1">
      <alignment horizontal="center" vertical="center" wrapText="1"/>
    </xf>
    <xf numFmtId="15" fontId="0" fillId="0" borderId="6" xfId="0" applyNumberFormat="1" applyFill="1" applyBorder="1" applyAlignment="1">
      <alignment horizontal="center" vertical="center"/>
    </xf>
    <xf numFmtId="0" fontId="0" fillId="0" borderId="5" xfId="0" applyFill="1" applyBorder="1" applyAlignment="1">
      <alignment horizontal="center" vertical="center" wrapText="1"/>
    </xf>
    <xf numFmtId="0" fontId="0" fillId="0" borderId="5" xfId="0" applyFill="1" applyBorder="1" applyAlignment="1">
      <alignment horizontal="center" vertical="center"/>
    </xf>
    <xf numFmtId="0" fontId="0" fillId="0" borderId="0" xfId="0" applyAlignment="1">
      <alignment horizontal="center" vertical="center"/>
    </xf>
    <xf numFmtId="15" fontId="0" fillId="0" borderId="8" xfId="0" applyNumberFormat="1" applyFill="1" applyBorder="1" applyAlignment="1">
      <alignment horizontal="center" vertical="center"/>
    </xf>
    <xf numFmtId="15" fontId="0" fillId="0" borderId="12" xfId="0" applyNumberFormat="1" applyFill="1" applyBorder="1" applyAlignment="1">
      <alignment horizontal="center" vertical="center"/>
    </xf>
    <xf numFmtId="15" fontId="0" fillId="0" borderId="10" xfId="0" applyNumberFormat="1" applyFill="1" applyBorder="1" applyAlignment="1">
      <alignment horizontal="center" vertical="center"/>
    </xf>
    <xf numFmtId="0" fontId="0" fillId="0" borderId="7" xfId="0" applyFill="1" applyBorder="1" applyAlignment="1">
      <alignment horizontal="center" vertical="center"/>
    </xf>
    <xf numFmtId="0" fontId="0" fillId="0" borderId="9" xfId="0" applyFill="1" applyBorder="1" applyAlignment="1">
      <alignment horizontal="center" vertical="center"/>
    </xf>
    <xf numFmtId="0" fontId="6" fillId="0" borderId="7" xfId="2" applyFill="1" applyBorder="1" applyAlignment="1">
      <alignment horizontal="center" vertical="center"/>
    </xf>
    <xf numFmtId="0" fontId="6" fillId="0" borderId="9" xfId="2" applyFill="1" applyBorder="1" applyAlignment="1">
      <alignment horizontal="center" vertical="center"/>
    </xf>
    <xf numFmtId="0" fontId="0" fillId="0" borderId="7" xfId="0" applyFill="1" applyBorder="1" applyAlignment="1">
      <alignment horizontal="center" vertical="center" wrapText="1"/>
    </xf>
    <xf numFmtId="0" fontId="0" fillId="0" borderId="9" xfId="0" applyFill="1" applyBorder="1" applyAlignment="1">
      <alignment horizontal="center" vertical="center" wrapText="1"/>
    </xf>
    <xf numFmtId="0" fontId="0" fillId="0" borderId="7" xfId="0" applyFill="1" applyBorder="1" applyAlignment="1">
      <alignment horizontal="left" vertical="center"/>
    </xf>
    <xf numFmtId="0" fontId="0" fillId="0" borderId="9" xfId="0" applyFill="1" applyBorder="1" applyAlignment="1">
      <alignment horizontal="left" vertical="center"/>
    </xf>
    <xf numFmtId="17" fontId="0" fillId="0" borderId="8" xfId="0" applyNumberFormat="1" applyFill="1" applyBorder="1" applyAlignment="1">
      <alignment horizontal="center" vertical="center"/>
    </xf>
    <xf numFmtId="17" fontId="0" fillId="0" borderId="10" xfId="0" applyNumberFormat="1" applyFill="1" applyBorder="1" applyAlignment="1">
      <alignment horizontal="center" vertical="center"/>
    </xf>
    <xf numFmtId="165" fontId="0" fillId="0" borderId="5" xfId="0" applyNumberFormat="1" applyFill="1" applyBorder="1" applyAlignment="1">
      <alignment horizontal="center" vertical="center"/>
    </xf>
    <xf numFmtId="165" fontId="6" fillId="0" borderId="5" xfId="2" applyNumberFormat="1" applyFill="1" applyBorder="1" applyAlignment="1">
      <alignment horizontal="center" vertical="center"/>
    </xf>
    <xf numFmtId="0" fontId="6" fillId="0" borderId="5" xfId="2" applyFill="1" applyBorder="1" applyAlignment="1">
      <alignment horizontal="center" vertical="center" wrapText="1"/>
    </xf>
    <xf numFmtId="0" fontId="0" fillId="0" borderId="5" xfId="0" applyFill="1" applyBorder="1" applyAlignment="1">
      <alignment horizontal="left" vertical="center" wrapText="1"/>
    </xf>
    <xf numFmtId="0" fontId="0" fillId="0" borderId="13" xfId="0" applyFill="1" applyBorder="1" applyAlignment="1">
      <alignment horizontal="left" vertical="center" wrapText="1"/>
    </xf>
    <xf numFmtId="0" fontId="0" fillId="0" borderId="15" xfId="0" applyFill="1" applyBorder="1" applyAlignment="1">
      <alignment horizontal="left" vertical="center" wrapText="1"/>
    </xf>
    <xf numFmtId="0" fontId="0" fillId="0" borderId="14" xfId="0" applyFill="1" applyBorder="1" applyAlignment="1">
      <alignment horizontal="left" vertical="center" wrapText="1"/>
    </xf>
    <xf numFmtId="0" fontId="0" fillId="0" borderId="11" xfId="0" applyFill="1" applyBorder="1" applyAlignment="1">
      <alignment horizontal="center" vertical="center" wrapText="1"/>
    </xf>
    <xf numFmtId="0" fontId="0" fillId="0" borderId="11" xfId="0" applyFill="1" applyBorder="1" applyAlignment="1">
      <alignment horizontal="center" vertical="center"/>
    </xf>
    <xf numFmtId="0" fontId="6" fillId="0" borderId="11" xfId="2" applyFill="1" applyBorder="1" applyAlignment="1">
      <alignment horizontal="center" vertical="center"/>
    </xf>
    <xf numFmtId="0" fontId="0" fillId="0" borderId="7" xfId="0" applyFill="1" applyBorder="1" applyAlignment="1">
      <alignment horizontal="left" vertical="center" wrapText="1"/>
    </xf>
    <xf numFmtId="0" fontId="0" fillId="0" borderId="11" xfId="0" applyFill="1" applyBorder="1" applyAlignment="1">
      <alignment horizontal="left" vertical="center" wrapText="1"/>
    </xf>
    <xf numFmtId="0" fontId="0" fillId="0" borderId="9" xfId="0" applyFill="1" applyBorder="1" applyAlignment="1">
      <alignment horizontal="left" vertical="center" wrapText="1"/>
    </xf>
    <xf numFmtId="3" fontId="0" fillId="0" borderId="7" xfId="0" applyNumberFormat="1" applyFill="1" applyBorder="1" applyAlignment="1">
      <alignment horizontal="center" vertical="center" wrapText="1"/>
    </xf>
    <xf numFmtId="3" fontId="0" fillId="0" borderId="11" xfId="0" applyNumberFormat="1" applyFill="1" applyBorder="1" applyAlignment="1">
      <alignment horizontal="center" vertical="center" wrapText="1"/>
    </xf>
    <xf numFmtId="3" fontId="0" fillId="0" borderId="9" xfId="0" applyNumberFormat="1" applyFill="1" applyBorder="1" applyAlignment="1">
      <alignment horizontal="center" vertical="center" wrapText="1"/>
    </xf>
    <xf numFmtId="0" fontId="6" fillId="0" borderId="5" xfId="2" applyFill="1" applyBorder="1" applyAlignment="1">
      <alignment horizontal="center" vertical="center"/>
    </xf>
    <xf numFmtId="0" fontId="0" fillId="0" borderId="11" xfId="0" applyFill="1" applyBorder="1" applyAlignment="1">
      <alignment horizontal="left" vertical="center"/>
    </xf>
    <xf numFmtId="0" fontId="0" fillId="0" borderId="8" xfId="0" applyFill="1" applyBorder="1" applyAlignment="1">
      <alignment horizontal="center" vertical="center"/>
    </xf>
    <xf numFmtId="0" fontId="0" fillId="0" borderId="12" xfId="0" applyFill="1" applyBorder="1" applyAlignment="1">
      <alignment horizontal="center" vertical="center"/>
    </xf>
    <xf numFmtId="0" fontId="0" fillId="0" borderId="10" xfId="0" applyFill="1" applyBorder="1" applyAlignment="1">
      <alignment horizontal="center" vertical="center"/>
    </xf>
    <xf numFmtId="165" fontId="0" fillId="0" borderId="5" xfId="0" applyNumberFormat="1" applyFill="1" applyBorder="1" applyAlignment="1">
      <alignment horizontal="center" vertical="center" wrapText="1"/>
    </xf>
    <xf numFmtId="17" fontId="0" fillId="0" borderId="12" xfId="0" applyNumberFormat="1" applyFill="1" applyBorder="1" applyAlignment="1">
      <alignment horizontal="center" vertical="center"/>
    </xf>
    <xf numFmtId="17" fontId="0" fillId="0" borderId="6" xfId="0" applyNumberFormat="1" applyFill="1" applyBorder="1" applyAlignment="1">
      <alignment horizontal="center" vertical="center"/>
    </xf>
    <xf numFmtId="0" fontId="0" fillId="0" borderId="6" xfId="0" applyNumberFormat="1" applyFill="1" applyBorder="1" applyAlignment="1">
      <alignment horizontal="center" vertical="center"/>
    </xf>
    <xf numFmtId="0" fontId="0" fillId="0" borderId="4" xfId="0" applyFill="1" applyBorder="1" applyAlignment="1">
      <alignment horizontal="left" vertical="center" wrapText="1"/>
    </xf>
    <xf numFmtId="165" fontId="0" fillId="0" borderId="7" xfId="1" applyNumberFormat="1" applyFont="1" applyFill="1" applyBorder="1" applyAlignment="1">
      <alignment horizontal="center" vertical="center"/>
    </xf>
    <xf numFmtId="165" fontId="0" fillId="0" borderId="11" xfId="1" applyNumberFormat="1" applyFont="1" applyFill="1" applyBorder="1" applyAlignment="1">
      <alignment horizontal="center" vertical="center"/>
    </xf>
    <xf numFmtId="165" fontId="0" fillId="0" borderId="9" xfId="1" applyNumberFormat="1" applyFont="1" applyFill="1" applyBorder="1" applyAlignment="1">
      <alignment horizontal="center" vertical="center"/>
    </xf>
    <xf numFmtId="165" fontId="0" fillId="0" borderId="7" xfId="0" applyNumberFormat="1" applyFill="1" applyBorder="1" applyAlignment="1">
      <alignment horizontal="left" vertical="center"/>
    </xf>
    <xf numFmtId="165" fontId="0" fillId="0" borderId="11" xfId="0" applyNumberFormat="1" applyFill="1" applyBorder="1" applyAlignment="1">
      <alignment horizontal="left" vertical="center"/>
    </xf>
    <xf numFmtId="165" fontId="0" fillId="0" borderId="9" xfId="0" applyNumberFormat="1" applyFill="1" applyBorder="1" applyAlignment="1">
      <alignment horizontal="left" vertical="center"/>
    </xf>
    <xf numFmtId="165" fontId="0" fillId="0" borderId="8" xfId="0" applyNumberFormat="1" applyFill="1" applyBorder="1" applyAlignment="1">
      <alignment horizontal="center" vertical="center"/>
    </xf>
    <xf numFmtId="165" fontId="0" fillId="0" borderId="12" xfId="0" applyNumberFormat="1" applyFill="1" applyBorder="1" applyAlignment="1">
      <alignment horizontal="center" vertical="center"/>
    </xf>
    <xf numFmtId="165" fontId="0" fillId="0" borderId="10" xfId="0" applyNumberFormat="1" applyFill="1" applyBorder="1" applyAlignment="1">
      <alignment horizontal="center" vertical="center"/>
    </xf>
    <xf numFmtId="165" fontId="6" fillId="0" borderId="7" xfId="2" applyNumberFormat="1" applyFill="1" applyBorder="1" applyAlignment="1">
      <alignment horizontal="center" vertical="center"/>
    </xf>
    <xf numFmtId="165" fontId="6" fillId="0" borderId="11" xfId="2" applyNumberFormat="1" applyFill="1" applyBorder="1" applyAlignment="1">
      <alignment horizontal="center" vertical="center"/>
    </xf>
    <xf numFmtId="165" fontId="6" fillId="0" borderId="9" xfId="2" applyNumberFormat="1" applyFill="1" applyBorder="1" applyAlignment="1">
      <alignment horizontal="center" vertical="center"/>
    </xf>
    <xf numFmtId="165" fontId="0" fillId="0" borderId="7" xfId="1" applyNumberFormat="1" applyFont="1" applyFill="1" applyBorder="1" applyAlignment="1">
      <alignment horizontal="left" vertical="center" wrapText="1"/>
    </xf>
    <xf numFmtId="165" fontId="0" fillId="0" borderId="11" xfId="1" applyNumberFormat="1" applyFont="1" applyFill="1" applyBorder="1" applyAlignment="1">
      <alignment horizontal="left" vertical="center" wrapText="1"/>
    </xf>
    <xf numFmtId="165" fontId="0" fillId="0" borderId="9" xfId="1" applyNumberFormat="1" applyFont="1" applyFill="1" applyBorder="1" applyAlignment="1">
      <alignment horizontal="left" vertical="center" wrapText="1"/>
    </xf>
    <xf numFmtId="15" fontId="0" fillId="0" borderId="8" xfId="1" applyNumberFormat="1" applyFont="1" applyFill="1" applyBorder="1" applyAlignment="1">
      <alignment horizontal="center" vertical="center"/>
    </xf>
    <xf numFmtId="15" fontId="0" fillId="0" borderId="12" xfId="1" applyNumberFormat="1" applyFont="1" applyFill="1" applyBorder="1" applyAlignment="1">
      <alignment horizontal="center" vertical="center"/>
    </xf>
    <xf numFmtId="15" fontId="0" fillId="0" borderId="10" xfId="1" applyNumberFormat="1" applyFont="1" applyFill="1" applyBorder="1" applyAlignment="1">
      <alignment horizontal="center" vertical="center"/>
    </xf>
    <xf numFmtId="0" fontId="0" fillId="0" borderId="5" xfId="0" applyFill="1" applyBorder="1" applyAlignment="1">
      <alignment horizontal="center" vertical="center" wrapText="1"/>
    </xf>
    <xf numFmtId="0" fontId="0" fillId="0" borderId="5" xfId="0" applyFill="1" applyBorder="1" applyAlignment="1">
      <alignment horizontal="left" vertical="center"/>
    </xf>
    <xf numFmtId="0" fontId="0" fillId="0" borderId="6" xfId="0" applyFill="1" applyBorder="1" applyAlignment="1">
      <alignment horizontal="center" vertical="center"/>
    </xf>
    <xf numFmtId="15" fontId="0" fillId="0" borderId="6" xfId="0" applyNumberFormat="1" applyFill="1" applyBorder="1" applyAlignment="1">
      <alignment horizontal="center" vertical="center"/>
    </xf>
    <xf numFmtId="0" fontId="0" fillId="0" borderId="5" xfId="0" applyFill="1" applyBorder="1" applyAlignment="1">
      <alignment horizontal="center" vertical="center"/>
    </xf>
    <xf numFmtId="165" fontId="0" fillId="0" borderId="5" xfId="1" applyNumberFormat="1" applyFont="1" applyFill="1" applyBorder="1" applyAlignment="1">
      <alignment horizontal="center" vertical="center"/>
    </xf>
    <xf numFmtId="165" fontId="0" fillId="0" borderId="5" xfId="1" applyNumberFormat="1" applyFont="1" applyFill="1" applyBorder="1" applyAlignment="1">
      <alignment horizontal="left" vertical="center"/>
    </xf>
    <xf numFmtId="15" fontId="0" fillId="0" borderId="6" xfId="1" applyNumberFormat="1" applyFont="1" applyFill="1" applyBorder="1" applyAlignment="1">
      <alignment horizontal="center" vertical="center"/>
    </xf>
    <xf numFmtId="0" fontId="0" fillId="0" borderId="6" xfId="1" applyNumberFormat="1" applyFont="1" applyFill="1" applyBorder="1" applyAlignment="1">
      <alignment horizontal="center" vertical="center"/>
    </xf>
    <xf numFmtId="165" fontId="0" fillId="0" borderId="5" xfId="0" applyNumberFormat="1" applyFill="1" applyBorder="1" applyAlignment="1">
      <alignment horizontal="left" vertical="center" wrapText="1"/>
    </xf>
    <xf numFmtId="165" fontId="0" fillId="0" borderId="7" xfId="1" applyNumberFormat="1" applyFont="1" applyFill="1" applyBorder="1" applyAlignment="1">
      <alignment horizontal="center" vertical="center" wrapText="1"/>
    </xf>
    <xf numFmtId="165" fontId="0" fillId="0" borderId="9" xfId="1" applyNumberFormat="1" applyFont="1" applyFill="1" applyBorder="1" applyAlignment="1">
      <alignment horizontal="center" vertical="center" wrapText="1"/>
    </xf>
    <xf numFmtId="165" fontId="0" fillId="0" borderId="7" xfId="1" applyNumberFormat="1" applyFont="1" applyFill="1" applyBorder="1" applyAlignment="1">
      <alignment horizontal="left" vertical="center"/>
    </xf>
    <xf numFmtId="165" fontId="0" fillId="0" borderId="9" xfId="1" applyNumberFormat="1" applyFont="1" applyFill="1" applyBorder="1" applyAlignment="1">
      <alignment horizontal="left" vertical="center"/>
    </xf>
    <xf numFmtId="165" fontId="0" fillId="0" borderId="5" xfId="1" applyNumberFormat="1" applyFont="1" applyFill="1" applyBorder="1" applyAlignment="1">
      <alignment horizontal="left" vertical="center" wrapText="1"/>
    </xf>
    <xf numFmtId="165" fontId="0" fillId="0" borderId="20" xfId="1" applyNumberFormat="1" applyFont="1" applyFill="1" applyBorder="1" applyAlignment="1">
      <alignment horizontal="left" vertical="center" wrapText="1"/>
    </xf>
    <xf numFmtId="17" fontId="0" fillId="0" borderId="8" xfId="1" applyNumberFormat="1" applyFont="1" applyFill="1" applyBorder="1" applyAlignment="1">
      <alignment horizontal="center" vertical="center" wrapText="1"/>
    </xf>
    <xf numFmtId="17" fontId="0" fillId="0" borderId="12" xfId="1" applyNumberFormat="1" applyFont="1" applyFill="1" applyBorder="1" applyAlignment="1">
      <alignment horizontal="center" vertical="center" wrapText="1"/>
    </xf>
    <xf numFmtId="17" fontId="0" fillId="0" borderId="32" xfId="1" applyNumberFormat="1" applyFont="1" applyFill="1" applyBorder="1" applyAlignment="1">
      <alignment horizontal="center" vertical="center" wrapText="1"/>
    </xf>
    <xf numFmtId="0" fontId="0" fillId="0" borderId="19" xfId="0" applyFill="1" applyBorder="1" applyAlignment="1">
      <alignment horizontal="left" vertical="center" wrapText="1"/>
    </xf>
    <xf numFmtId="165" fontId="0" fillId="0" borderId="5" xfId="1" applyNumberFormat="1" applyFont="1" applyFill="1" applyBorder="1" applyAlignment="1">
      <alignment horizontal="center" vertical="center" wrapText="1"/>
    </xf>
    <xf numFmtId="165" fontId="0" fillId="0" borderId="20" xfId="1" applyNumberFormat="1" applyFont="1" applyFill="1" applyBorder="1" applyAlignment="1">
      <alignment horizontal="center" vertical="center" wrapText="1"/>
    </xf>
    <xf numFmtId="165" fontId="6" fillId="0" borderId="20" xfId="2" applyNumberFormat="1" applyFill="1" applyBorder="1" applyAlignment="1">
      <alignment horizontal="center" vertical="center"/>
    </xf>
    <xf numFmtId="165" fontId="0" fillId="0" borderId="11" xfId="1" applyNumberFormat="1" applyFont="1" applyFill="1" applyBorder="1" applyAlignment="1">
      <alignment horizontal="center" vertical="center" wrapText="1"/>
    </xf>
    <xf numFmtId="165" fontId="0" fillId="0" borderId="31" xfId="1" applyNumberFormat="1" applyFont="1" applyFill="1" applyBorder="1" applyAlignment="1">
      <alignment horizontal="center" vertical="center" wrapText="1"/>
    </xf>
    <xf numFmtId="165" fontId="0" fillId="0" borderId="5" xfId="0" applyNumberFormat="1" applyFill="1" applyBorder="1" applyAlignment="1">
      <alignment horizontal="left" vertical="center"/>
    </xf>
    <xf numFmtId="165" fontId="0" fillId="0" borderId="7" xfId="0" applyNumberFormat="1" applyFill="1" applyBorder="1" applyAlignment="1">
      <alignment horizontal="center" vertical="center"/>
    </xf>
    <xf numFmtId="165" fontId="0" fillId="0" borderId="9" xfId="0" applyNumberFormat="1" applyFill="1" applyBorder="1" applyAlignment="1">
      <alignment horizontal="center" vertical="center"/>
    </xf>
    <xf numFmtId="165" fontId="0" fillId="0" borderId="7" xfId="0" applyNumberFormat="1" applyFill="1" applyBorder="1" applyAlignment="1">
      <alignment horizontal="center" vertical="center" wrapText="1"/>
    </xf>
    <xf numFmtId="165" fontId="0" fillId="0" borderId="9" xfId="0" applyNumberFormat="1" applyFill="1" applyBorder="1" applyAlignment="1">
      <alignment horizontal="center" vertical="center" wrapText="1"/>
    </xf>
    <xf numFmtId="0" fontId="7" fillId="0" borderId="13" xfId="0" applyFont="1" applyFill="1" applyBorder="1" applyAlignment="1">
      <alignment horizontal="left" vertical="center" wrapText="1"/>
    </xf>
    <xf numFmtId="0" fontId="7" fillId="0" borderId="15" xfId="0" applyFont="1" applyFill="1" applyBorder="1" applyAlignment="1">
      <alignment horizontal="left" vertical="center" wrapText="1"/>
    </xf>
    <xf numFmtId="0" fontId="7" fillId="0" borderId="14" xfId="0" applyFont="1" applyFill="1" applyBorder="1" applyAlignment="1">
      <alignment horizontal="left" vertical="center" wrapText="1"/>
    </xf>
    <xf numFmtId="0" fontId="7" fillId="0" borderId="7" xfId="0" applyFont="1" applyFill="1" applyBorder="1" applyAlignment="1">
      <alignment horizontal="center" vertical="center" wrapText="1"/>
    </xf>
    <xf numFmtId="0" fontId="7" fillId="0" borderId="11" xfId="0" applyFont="1" applyFill="1" applyBorder="1" applyAlignment="1">
      <alignment horizontal="center" vertical="center" wrapText="1"/>
    </xf>
    <xf numFmtId="0" fontId="7" fillId="0" borderId="9" xfId="0" applyFont="1" applyFill="1" applyBorder="1" applyAlignment="1">
      <alignment horizontal="center" vertical="center" wrapText="1"/>
    </xf>
    <xf numFmtId="165" fontId="0" fillId="0" borderId="7" xfId="0" applyNumberFormat="1" applyFill="1" applyBorder="1" applyAlignment="1">
      <alignment horizontal="left" vertical="center" wrapText="1"/>
    </xf>
    <xf numFmtId="165" fontId="0" fillId="0" borderId="11" xfId="0" applyNumberFormat="1" applyFill="1" applyBorder="1" applyAlignment="1">
      <alignment horizontal="left" vertical="center" wrapText="1"/>
    </xf>
    <xf numFmtId="165" fontId="0" fillId="0" borderId="9" xfId="0" applyNumberFormat="1" applyFill="1" applyBorder="1" applyAlignment="1">
      <alignment horizontal="left" vertical="center" wrapText="1"/>
    </xf>
    <xf numFmtId="165" fontId="0" fillId="0" borderId="11" xfId="1" applyNumberFormat="1" applyFont="1" applyFill="1" applyBorder="1" applyAlignment="1">
      <alignment horizontal="left" vertical="center"/>
    </xf>
    <xf numFmtId="0" fontId="0" fillId="0" borderId="31" xfId="0" applyFill="1" applyBorder="1" applyAlignment="1">
      <alignment horizontal="center" vertical="center" wrapText="1"/>
    </xf>
    <xf numFmtId="0" fontId="0" fillId="0" borderId="8" xfId="0" applyFill="1" applyBorder="1" applyAlignment="1">
      <alignment horizontal="center" vertical="center" wrapText="1"/>
    </xf>
    <xf numFmtId="0" fontId="0" fillId="0" borderId="10" xfId="0" applyFill="1" applyBorder="1" applyAlignment="1">
      <alignment horizontal="center" vertical="center" wrapText="1"/>
    </xf>
    <xf numFmtId="0" fontId="6" fillId="0" borderId="7" xfId="2" applyFill="1" applyBorder="1" applyAlignment="1">
      <alignment horizontal="center" vertical="center" wrapText="1"/>
    </xf>
    <xf numFmtId="0" fontId="6" fillId="0" borderId="11" xfId="2" applyFill="1" applyBorder="1" applyAlignment="1">
      <alignment horizontal="center" vertical="center" wrapText="1"/>
    </xf>
    <xf numFmtId="0" fontId="6" fillId="0" borderId="9" xfId="2" applyFill="1" applyBorder="1" applyAlignment="1">
      <alignment horizontal="center" vertical="center" wrapText="1"/>
    </xf>
    <xf numFmtId="0" fontId="7" fillId="0" borderId="7" xfId="2" applyFont="1" applyFill="1" applyBorder="1" applyAlignment="1">
      <alignment horizontal="center" vertical="center" wrapText="1"/>
    </xf>
    <xf numFmtId="0" fontId="7" fillId="0" borderId="11" xfId="2" applyFont="1" applyFill="1" applyBorder="1" applyAlignment="1">
      <alignment horizontal="center" vertical="center" wrapText="1"/>
    </xf>
    <xf numFmtId="0" fontId="7" fillId="0" borderId="9" xfId="2" applyFont="1" applyFill="1" applyBorder="1" applyAlignment="1">
      <alignment horizontal="center" vertical="center" wrapText="1"/>
    </xf>
    <xf numFmtId="6" fontId="0" fillId="0" borderId="5" xfId="0" applyNumberFormat="1" applyFill="1" applyBorder="1" applyAlignment="1">
      <alignment horizontal="left" vertical="center"/>
    </xf>
    <xf numFmtId="0" fontId="7" fillId="0" borderId="5" xfId="2" applyFont="1" applyFill="1" applyBorder="1" applyAlignment="1">
      <alignment horizontal="center" vertical="center"/>
    </xf>
    <xf numFmtId="165" fontId="0" fillId="0" borderId="13" xfId="1" applyNumberFormat="1" applyFont="1" applyFill="1" applyBorder="1" applyAlignment="1">
      <alignment horizontal="left" vertical="center" wrapText="1"/>
    </xf>
    <xf numFmtId="165" fontId="0" fillId="0" borderId="15" xfId="1" applyNumberFormat="1" applyFont="1" applyFill="1" applyBorder="1" applyAlignment="1">
      <alignment horizontal="left" vertical="center" wrapText="1"/>
    </xf>
    <xf numFmtId="165" fontId="0" fillId="0" borderId="14" xfId="1" applyNumberFormat="1" applyFont="1" applyFill="1" applyBorder="1" applyAlignment="1">
      <alignment horizontal="left" vertical="center" wrapText="1"/>
    </xf>
    <xf numFmtId="166" fontId="0" fillId="0" borderId="5" xfId="1" applyNumberFormat="1" applyFont="1" applyFill="1" applyBorder="1" applyAlignment="1">
      <alignment horizontal="center" vertical="center"/>
    </xf>
    <xf numFmtId="15" fontId="0" fillId="0" borderId="6" xfId="0" applyNumberFormat="1" applyFill="1" applyBorder="1" applyAlignment="1">
      <alignment horizontal="center" vertical="center" wrapText="1"/>
    </xf>
    <xf numFmtId="0" fontId="0" fillId="0" borderId="6" xfId="0" applyFill="1" applyBorder="1" applyAlignment="1">
      <alignment horizontal="center" vertical="center" wrapText="1"/>
    </xf>
    <xf numFmtId="0" fontId="0" fillId="0" borderId="12" xfId="0" applyFill="1" applyBorder="1" applyAlignment="1">
      <alignment horizontal="center" vertical="center" wrapText="1"/>
    </xf>
    <xf numFmtId="0" fontId="7" fillId="0" borderId="7" xfId="2" applyFont="1" applyFill="1" applyBorder="1" applyAlignment="1">
      <alignment horizontal="left" vertical="center" wrapText="1"/>
    </xf>
    <xf numFmtId="0" fontId="7" fillId="0" borderId="11" xfId="2" applyFont="1" applyFill="1" applyBorder="1" applyAlignment="1">
      <alignment horizontal="left" vertical="center" wrapText="1"/>
    </xf>
    <xf numFmtId="0" fontId="7" fillId="0" borderId="9" xfId="2" applyFont="1" applyFill="1" applyBorder="1" applyAlignment="1">
      <alignment horizontal="left" vertical="center" wrapText="1"/>
    </xf>
    <xf numFmtId="15" fontId="7" fillId="0" borderId="8" xfId="2" applyNumberFormat="1" applyFont="1" applyFill="1" applyBorder="1" applyAlignment="1">
      <alignment horizontal="center" vertical="center"/>
    </xf>
    <xf numFmtId="15" fontId="7" fillId="0" borderId="12" xfId="2" applyNumberFormat="1" applyFont="1" applyFill="1" applyBorder="1" applyAlignment="1">
      <alignment horizontal="center" vertical="center"/>
    </xf>
    <xf numFmtId="15" fontId="7" fillId="0" borderId="10" xfId="2" applyNumberFormat="1" applyFont="1" applyFill="1" applyBorder="1" applyAlignment="1">
      <alignment horizontal="center" vertical="center"/>
    </xf>
    <xf numFmtId="0" fontId="7" fillId="0" borderId="7" xfId="2" applyFont="1" applyFill="1" applyBorder="1" applyAlignment="1">
      <alignment horizontal="center" vertical="center"/>
    </xf>
    <xf numFmtId="0" fontId="7" fillId="0" borderId="9" xfId="2" applyFont="1" applyFill="1" applyBorder="1" applyAlignment="1">
      <alignment horizontal="center" vertical="center"/>
    </xf>
    <xf numFmtId="15" fontId="0" fillId="0" borderId="8" xfId="0" applyNumberFormat="1" applyFill="1" applyBorder="1" applyAlignment="1">
      <alignment horizontal="center" vertical="center" wrapText="1"/>
    </xf>
    <xf numFmtId="15" fontId="0" fillId="0" borderId="12" xfId="0" applyNumberFormat="1" applyFill="1" applyBorder="1" applyAlignment="1">
      <alignment horizontal="center" vertical="center" wrapText="1"/>
    </xf>
    <xf numFmtId="15" fontId="0" fillId="0" borderId="10" xfId="0" applyNumberFormat="1" applyFill="1" applyBorder="1" applyAlignment="1">
      <alignment horizontal="center" vertical="center" wrapText="1"/>
    </xf>
    <xf numFmtId="0" fontId="6" fillId="0" borderId="7" xfId="2" applyBorder="1" applyAlignment="1">
      <alignment horizontal="center" vertical="center"/>
    </xf>
    <xf numFmtId="0" fontId="6" fillId="0" borderId="9" xfId="2" applyBorder="1" applyAlignment="1">
      <alignment horizontal="center" vertical="center"/>
    </xf>
    <xf numFmtId="0" fontId="0" fillId="0" borderId="7" xfId="0" applyBorder="1" applyAlignment="1">
      <alignment horizontal="center" vertical="center"/>
    </xf>
    <xf numFmtId="0" fontId="0" fillId="0" borderId="9" xfId="0" applyBorder="1" applyAlignment="1">
      <alignment horizontal="center" vertical="center"/>
    </xf>
    <xf numFmtId="0" fontId="0" fillId="0" borderId="13" xfId="0" applyBorder="1" applyAlignment="1">
      <alignment horizontal="left" vertical="center" indent="3"/>
    </xf>
    <xf numFmtId="0" fontId="0" fillId="0" borderId="14" xfId="0" applyBorder="1" applyAlignment="1">
      <alignment horizontal="left" vertical="center" indent="3"/>
    </xf>
    <xf numFmtId="15" fontId="0" fillId="0" borderId="8" xfId="0" applyNumberFormat="1" applyBorder="1" applyAlignment="1">
      <alignment horizontal="center" vertical="center"/>
    </xf>
    <xf numFmtId="15" fontId="0" fillId="0" borderId="10" xfId="0" applyNumberFormat="1" applyBorder="1" applyAlignment="1">
      <alignment horizontal="center" vertical="center"/>
    </xf>
    <xf numFmtId="0" fontId="0" fillId="0" borderId="7" xfId="0" applyBorder="1" applyAlignment="1">
      <alignment horizontal="right" vertical="center"/>
    </xf>
    <xf numFmtId="0" fontId="0" fillId="0" borderId="9" xfId="0" applyBorder="1" applyAlignment="1">
      <alignment horizontal="right" vertical="center"/>
    </xf>
    <xf numFmtId="0" fontId="6" fillId="0" borderId="5" xfId="2" applyBorder="1" applyAlignment="1">
      <alignment horizontal="center" vertical="center"/>
    </xf>
    <xf numFmtId="0" fontId="6" fillId="0" borderId="24" xfId="2" applyBorder="1" applyAlignment="1">
      <alignment horizontal="center" vertical="center"/>
    </xf>
    <xf numFmtId="3" fontId="0" fillId="0" borderId="5" xfId="0" applyNumberFormat="1" applyBorder="1" applyAlignment="1">
      <alignment horizontal="left" vertical="center" wrapText="1"/>
    </xf>
    <xf numFmtId="3" fontId="0" fillId="0" borderId="25" xfId="0" applyNumberFormat="1" applyBorder="1" applyAlignment="1">
      <alignment horizontal="left" vertical="center" wrapText="1"/>
    </xf>
    <xf numFmtId="0" fontId="0" fillId="0" borderId="13" xfId="0" applyBorder="1" applyAlignment="1">
      <alignment horizontal="left" vertical="center"/>
    </xf>
    <xf numFmtId="0" fontId="0" fillId="0" borderId="14" xfId="0" applyBorder="1" applyAlignment="1">
      <alignment horizontal="left" vertical="center"/>
    </xf>
    <xf numFmtId="0" fontId="0" fillId="0" borderId="7" xfId="0" applyBorder="1" applyAlignment="1">
      <alignment horizontal="center" vertical="center" wrapText="1"/>
    </xf>
    <xf numFmtId="0" fontId="0" fillId="0" borderId="9" xfId="0" applyBorder="1" applyAlignment="1">
      <alignment horizontal="center" vertical="center" wrapText="1"/>
    </xf>
    <xf numFmtId="165" fontId="6" fillId="0" borderId="8" xfId="2" applyNumberFormat="1" applyFill="1" applyBorder="1" applyAlignment="1">
      <alignment horizontal="center" vertical="center"/>
    </xf>
    <xf numFmtId="165" fontId="6" fillId="0" borderId="10" xfId="2" applyNumberFormat="1" applyFill="1" applyBorder="1" applyAlignment="1">
      <alignment horizontal="center" vertical="center"/>
    </xf>
    <xf numFmtId="0" fontId="7" fillId="0" borderId="5" xfId="0" applyFont="1" applyFill="1" applyBorder="1" applyAlignment="1">
      <alignment horizontal="center" vertical="center"/>
    </xf>
    <xf numFmtId="0" fontId="7" fillId="0" borderId="6" xfId="0" applyFont="1" applyFill="1" applyBorder="1" applyAlignment="1">
      <alignment horizontal="center" vertical="center"/>
    </xf>
    <xf numFmtId="0" fontId="0" fillId="0" borderId="6" xfId="0" applyFill="1" applyBorder="1" applyAlignment="1">
      <alignment horizontal="center"/>
    </xf>
    <xf numFmtId="0" fontId="0" fillId="0" borderId="5" xfId="0" applyFill="1" applyBorder="1" applyAlignment="1">
      <alignment horizontal="center"/>
    </xf>
    <xf numFmtId="0" fontId="0" fillId="0" borderId="4" xfId="0" applyFill="1" applyBorder="1" applyAlignment="1">
      <alignment horizontal="left" vertical="center"/>
    </xf>
  </cellXfs>
  <cellStyles count="4">
    <cellStyle name="Comma" xfId="1" builtinId="3"/>
    <cellStyle name="Comma 2" xfId="3" xr:uid="{FC6503B0-409E-42E7-B3F9-3A05CAFBA5A7}"/>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3" Type="http://schemas.openxmlformats.org/officeDocument/2006/relationships/hyperlink" Target="https://www.pbo-dpb.gc.ca/web/default/files/Documents/Info%20Requests/2020/IR0523_ISC_COVID19_update_2_request_e.pdf" TargetMode="External"/><Relationship Id="rId18" Type="http://schemas.openxmlformats.org/officeDocument/2006/relationships/hyperlink" Target="https://www.pbo-dpb.gc.ca/web/default/files/Documents/Info%20Requests/2020/IR0478_CIHR_COVID-19_ltr_e.pdf" TargetMode="External"/><Relationship Id="rId26" Type="http://schemas.openxmlformats.org/officeDocument/2006/relationships/hyperlink" Target="https://search.open.canada.ca/en/gc/?sort=score%20desc&amp;page=1&amp;search_text=reaching%20home&amp;gc-search-orgs=Employment%20and%20Social%20Development%20Canada" TargetMode="External"/><Relationship Id="rId39" Type="http://schemas.openxmlformats.org/officeDocument/2006/relationships/hyperlink" Target="https://www.pbo-dpb.gc.ca/web/default/files/Documents/Info%20Requests/2020/IR0523_ISC_COVID19_update_2_request_e.pdf" TargetMode="External"/><Relationship Id="rId21" Type="http://schemas.openxmlformats.org/officeDocument/2006/relationships/hyperlink" Target="https://www.pbo-dpb.gc.ca/web/default/files/Documents/Info%20Requests/2020/IR0528_PHAC_COVID19_update_request_e.pdf" TargetMode="External"/><Relationship Id="rId34" Type="http://schemas.openxmlformats.org/officeDocument/2006/relationships/hyperlink" Target="https://www.pbo-dpb.gc.ca/web/default/files/Documents/Info%20Requests/2020/IR0486_HC_COVID-19_ltr_e.pdf" TargetMode="External"/><Relationship Id="rId42" Type="http://schemas.openxmlformats.org/officeDocument/2006/relationships/hyperlink" Target="https://www.pbo-dpb.gc.ca/web/default/files/Documents/Info%20Requests/2020/IR0468_HC_COVID-19_Measures_request_e_signed.pdf" TargetMode="External"/><Relationship Id="rId47" Type="http://schemas.openxmlformats.org/officeDocument/2006/relationships/hyperlink" Target="https://www.pbo-dpb.gc.ca/web/default/files/Documents/Info%20Requests/2020/IR0490_ISED_COVID-19_Measures_request_e.pdf" TargetMode="External"/><Relationship Id="rId50" Type="http://schemas.openxmlformats.org/officeDocument/2006/relationships/hyperlink" Target="https://www.pbo-dpb.gc.ca/web/default/files/Documents/Info%20Requests/2020/IR0477_GAC_Foreign_Affairs_data_repatriation_Canadians_ltr_e.pdf" TargetMode="External"/><Relationship Id="rId55" Type="http://schemas.openxmlformats.org/officeDocument/2006/relationships/hyperlink" Target="https://www.pbo-dpb.gc.ca/web/default/files/Documents/Info%20Requests/2020/IR0530_CIHR_granting_COVID-19_request_e.pdf" TargetMode="External"/><Relationship Id="rId63" Type="http://schemas.openxmlformats.org/officeDocument/2006/relationships/hyperlink" Target="https://www.pbo-dpb.gc.ca/web/default/files/Documents/Info%20Requests/2021/IR0584_TBS_DigGov_COVID_Measures_request_e.pdf" TargetMode="External"/><Relationship Id="rId68" Type="http://schemas.openxmlformats.org/officeDocument/2006/relationships/hyperlink" Target="https://www.pbo-dpb.gc.ca/web/default/files/Documents/Info%20Requests/2020/IR0528_PHAC_COVID19_update_request_e.pdf" TargetMode="External"/><Relationship Id="rId7" Type="http://schemas.openxmlformats.org/officeDocument/2006/relationships/hyperlink" Target="https://www.pbo-dpb.gc.ca/web/default/files/Documents/Info%20Requests/2020/IR0550_FIN_COVID-19_Support_request_e.pdf" TargetMode="External"/><Relationship Id="rId71" Type="http://schemas.openxmlformats.org/officeDocument/2006/relationships/hyperlink" Target="https://www.pbo-dpb.gc.ca/web/default/files/Documents/Info%20Requests/2020/IR0528_PHAC_COVID19_update_request_e.pdf" TargetMode="External"/><Relationship Id="rId2" Type="http://schemas.openxmlformats.org/officeDocument/2006/relationships/hyperlink" Target="https://www.pbo-dpb.gc.ca/web/default/files/Documents/Info%20Requests/2020/IR0528_PHAC_COVID19_update_request_e.pdf" TargetMode="External"/><Relationship Id="rId16" Type="http://schemas.openxmlformats.org/officeDocument/2006/relationships/hyperlink" Target="https://www.pbo-dpb.gc.ca/web/default/files/Documents/Info%20Requests/2020/IR0491_ISED_COVID-19_Measures_request_e.pdf" TargetMode="External"/><Relationship Id="rId29" Type="http://schemas.openxmlformats.org/officeDocument/2006/relationships/hyperlink" Target="https://www.pbo-dpb.gc.ca/web/default/files/Documents/Info%20Requests/2020/IR0456_AAFC_COVID-19_Allocations_request_e_signed.pdf" TargetMode="External"/><Relationship Id="rId1" Type="http://schemas.openxmlformats.org/officeDocument/2006/relationships/hyperlink" Target="https://www.pbo-dpb.gc.ca/web/default/files/Documents/Info%20Requests/2020/IR0528_PHAC_COVID19_update_request_e.pdf" TargetMode="External"/><Relationship Id="rId6" Type="http://schemas.openxmlformats.org/officeDocument/2006/relationships/hyperlink" Target="https://www.pbo-dpb.gc.ca/web/default/files/Documents/Info%20Requests/2020/IR0559_PSPC_COVID-19_Safety_request_e.pdf" TargetMode="External"/><Relationship Id="rId11" Type="http://schemas.openxmlformats.org/officeDocument/2006/relationships/hyperlink" Target="https://www.pbo-dpb.gc.ca/web/default/files/Documents/Info%20Requests/2020/IR0470_ISC_COVID-19_Measures_request_e_signed.pdf" TargetMode="External"/><Relationship Id="rId24" Type="http://schemas.openxmlformats.org/officeDocument/2006/relationships/hyperlink" Target="https://www.pbo-dpb.gc.ca/web/default/files/Documents/Info%20Requests/2020/IR0468_HC_COVID-19_Measures_request_e_signed.pdf" TargetMode="External"/><Relationship Id="rId32" Type="http://schemas.openxmlformats.org/officeDocument/2006/relationships/hyperlink" Target="https://pbo-dpb.gc.ca/en/blog/legislative-costing-notes--notes-evaluation-cout-mesure-legislative/LEG-2021-015-S--incremental-cost-employing-10-000-reservists-as-part-caf-readiness-efforts-in-response-to-covid-19--cout-supplementaire-lie-emploi-10-000-reservistes-dans-cadre-activites-preparation-forces-armees-canadiennes-face-covid-19" TargetMode="External"/><Relationship Id="rId37" Type="http://schemas.openxmlformats.org/officeDocument/2006/relationships/hyperlink" Target="https://www.pbo-dpb.gc.ca/web/default/files/Documents/Info%20Requests/2020/IR0523_ISC_COVID19_update_2_request_e.pdf" TargetMode="External"/><Relationship Id="rId40" Type="http://schemas.openxmlformats.org/officeDocument/2006/relationships/hyperlink" Target="https://www.pbo-dpb.gc.ca/web/default/files/Documents/Info%20Requests/2020/IR0476_GAC_ID_COVID-19_Measures_request_e_signed.pdf" TargetMode="External"/><Relationship Id="rId45" Type="http://schemas.openxmlformats.org/officeDocument/2006/relationships/hyperlink" Target="https://www.pbo-dpb.gc.ca/web/default/files/Documents/Info%20Requests/2020/IR0530_CIHR_granting_COVID-19_request_e.pdf" TargetMode="External"/><Relationship Id="rId53" Type="http://schemas.openxmlformats.org/officeDocument/2006/relationships/hyperlink" Target="https://www.pbo-dpb.gc.ca/web/default/files/Documents/Info%20Requests/2020/IR0528_PHAC_COVID19_update_request_e.pdf" TargetMode="External"/><Relationship Id="rId58" Type="http://schemas.openxmlformats.org/officeDocument/2006/relationships/hyperlink" Target="https://www.pbo-dpb.gc.ca/web/default/files/Documents/Info%20Requests/2020/IR0528_PHAC_COVID19_update_request_e.pdf" TargetMode="External"/><Relationship Id="rId66" Type="http://schemas.openxmlformats.org/officeDocument/2006/relationships/hyperlink" Target="https://www.pbo-dpb.gc.ca/web/default/files/Documents/Info%20Requests/2020/IR0549_ESDC_COVID-19_Measures_Q_request_e.pdf" TargetMode="External"/><Relationship Id="rId5" Type="http://schemas.openxmlformats.org/officeDocument/2006/relationships/hyperlink" Target="https://www.pbo-dpb.gc.ca/web/default/files/Documents/Info%20Requests/2020/IR0550_FIN_COVID-19_Support_request_e.pdf" TargetMode="External"/><Relationship Id="rId15" Type="http://schemas.openxmlformats.org/officeDocument/2006/relationships/hyperlink" Target="https://www.pbo-dpb.gc.ca/web/default/files/Documents/Info%20Requests/2020/IR0549_ESDC_COVID-19_Measures_Q_request_e.pdf" TargetMode="External"/><Relationship Id="rId23" Type="http://schemas.openxmlformats.org/officeDocument/2006/relationships/hyperlink" Target="https://www.pbo-dpb.gc.ca/web/default/files/Documents/Info%20Requests/2020/IR0526_NRCCan_COVID19_update_2_request_e.pdf" TargetMode="External"/><Relationship Id="rId28" Type="http://schemas.openxmlformats.org/officeDocument/2006/relationships/hyperlink" Target="https://www.pbo-dpb.gc.ca/web/default/files/Documents/Info%20Requests/2020/IR0456_AAFC_COVID-19_Allocations_request_e_signed.pdf" TargetMode="External"/><Relationship Id="rId36" Type="http://schemas.openxmlformats.org/officeDocument/2006/relationships/hyperlink" Target="https://www.pbo-dpb.gc.ca/web/default/files/Documents/Info%20Requests/2020/IR0529_PSEP_COVID19_update_request_e.pdf" TargetMode="External"/><Relationship Id="rId49" Type="http://schemas.openxmlformats.org/officeDocument/2006/relationships/hyperlink" Target="https://www.pbo-dpb.gc.ca/web/default/files/Documents/Info%20Requests/2020/IR0467_GAC_FA_COVID-19_Measures_request_e_signed.pdf" TargetMode="External"/><Relationship Id="rId57" Type="http://schemas.openxmlformats.org/officeDocument/2006/relationships/hyperlink" Target="http://gazette.gc.ca/rp-pr/p2/2020/2020-05-27/html/sor-dors101-eng.html" TargetMode="External"/><Relationship Id="rId61" Type="http://schemas.openxmlformats.org/officeDocument/2006/relationships/hyperlink" Target="https://www.pbo-dpb.gc.ca/web/default/files/Documents/Info%20Requests/2020/IR0523_ISC_COVID19_update_2_request_e.pdf" TargetMode="External"/><Relationship Id="rId10" Type="http://schemas.openxmlformats.org/officeDocument/2006/relationships/hyperlink" Target="https://www.pbo-dpb.gc.ca/web/default/files/Documents/Info%20Requests/2020/IR0519_TC_Fed-Bridge-corp_COVID-19_request_e.pdf" TargetMode="External"/><Relationship Id="rId19" Type="http://schemas.openxmlformats.org/officeDocument/2006/relationships/hyperlink" Target="https://www.pbo-dpb.gc.ca/web/default/files/Documents/Info%20Requests/2020/IR0528_PHAC_COVID19_update_request_e.pdf" TargetMode="External"/><Relationship Id="rId31" Type="http://schemas.openxmlformats.org/officeDocument/2006/relationships/hyperlink" Target="https://www.pbo-dpb.gc.ca/web/default/files/Documents/Info%20Requests/2020/IR0549_ESDC_COVID-19_Measures_Q_request_e.pdf" TargetMode="External"/><Relationship Id="rId44" Type="http://schemas.openxmlformats.org/officeDocument/2006/relationships/hyperlink" Target="https://www.pbo-dpb.gc.ca/web/default/files/Documents/Info%20Requests/2020/IR0471_ISED_COVID-19_Measures_request_e_signed.pdf" TargetMode="External"/><Relationship Id="rId52" Type="http://schemas.openxmlformats.org/officeDocument/2006/relationships/hyperlink" Target="https://www.pbo-dpb.gc.ca/web/default/files/Documents/Info%20Requests/2020/IR0528_PHAC_COVID19_update_request_e.pdf" TargetMode="External"/><Relationship Id="rId60" Type="http://schemas.openxmlformats.org/officeDocument/2006/relationships/hyperlink" Target="https://www.pbo-dpb.gc.ca/web/default/files/Documents/Info%20Requests/2020/IR0456_AAFC_COVID-19_Allocations_request_e_signed.pdf" TargetMode="External"/><Relationship Id="rId65" Type="http://schemas.openxmlformats.org/officeDocument/2006/relationships/hyperlink" Target="https://www.pbo-dpb.gc.ca/web/default/files/Documents/Info%20Requests/2020/IR0528_PHAC_COVID19_update_request_e.pdf" TargetMode="External"/><Relationship Id="rId4" Type="http://schemas.openxmlformats.org/officeDocument/2006/relationships/hyperlink" Target="https://www.pbo-dpb.gc.ca/web/default/files/Documents/Info%20Requests/2020/IR0551_HC_COVID-19_Measures_request_e.pdf" TargetMode="External"/><Relationship Id="rId9" Type="http://schemas.openxmlformats.org/officeDocument/2006/relationships/hyperlink" Target="https://www.pbo-dpb.gc.ca/web/default/files/Documents/Info%20Requests/2020/IR0462_CIRNAC_COVID-19_Measures_request_e_signed.pdf" TargetMode="External"/><Relationship Id="rId14" Type="http://schemas.openxmlformats.org/officeDocument/2006/relationships/hyperlink" Target="https://www.pbo-dpb.gc.ca/web/default/files/Documents/Info%20Requests/2020/IR0528_PHAC_COVID19_update_request_e.pdf" TargetMode="External"/><Relationship Id="rId22" Type="http://schemas.openxmlformats.org/officeDocument/2006/relationships/hyperlink" Target="https://www.pbo-dpb.gc.ca/web/default/files/Documents/Info%20Requests/2020/IR0490_ISED_COVID-19_Measures_request_e.pdf" TargetMode="External"/><Relationship Id="rId27" Type="http://schemas.openxmlformats.org/officeDocument/2006/relationships/hyperlink" Target="https://www.pbo-dpb.gc.ca/web/default/files/Documents/Info%20Requests/2020/IR0475_WAGE_COVID-19_Measures_request_e_signed.pdf" TargetMode="External"/><Relationship Id="rId30" Type="http://schemas.openxmlformats.org/officeDocument/2006/relationships/hyperlink" Target="https://www.pbo-dpb.gc.ca/web/default/files/Documents/Info%20Requests/2020/IR0456_AAFC_COVID-19_Allocations_request_e_signed.pdf" TargetMode="External"/><Relationship Id="rId35" Type="http://schemas.openxmlformats.org/officeDocument/2006/relationships/hyperlink" Target="https://www.pbo-dpb.gc.ca/web/default/files/Documents/Info%20Requests/2020/IR0529_PSEP_COVID19_update_request_e.pdf" TargetMode="External"/><Relationship Id="rId43" Type="http://schemas.openxmlformats.org/officeDocument/2006/relationships/hyperlink" Target="https://www.pbo-dpb.gc.ca/web/default/files/Documents/Info%20Requests/2020/IR0472_NRC_COVID-19_Measures_request_e_signed.pdf" TargetMode="External"/><Relationship Id="rId48" Type="http://schemas.openxmlformats.org/officeDocument/2006/relationships/hyperlink" Target="https://www.pbo-dpb.gc.ca/web/default/files/Documents/Info%20Requests/2020/IR0459_CBSA_COVID-19_Measures_request_e_signed.pdf" TargetMode="External"/><Relationship Id="rId56" Type="http://schemas.openxmlformats.org/officeDocument/2006/relationships/hyperlink" Target="https://www.pbo-dpb.gc.ca/web/default/files/Documents/Info%20Requests/2020/IR0524_ISED_COVID19_update_2_request_e.pdf" TargetMode="External"/><Relationship Id="rId64" Type="http://schemas.openxmlformats.org/officeDocument/2006/relationships/hyperlink" Target="https://www.pbo-dpb.gc.ca/web/default/files/Documents/Info%20Requests/2020/IR0550_FIN_COVID-19_Support_request_e.pdf" TargetMode="External"/><Relationship Id="rId69" Type="http://schemas.openxmlformats.org/officeDocument/2006/relationships/hyperlink" Target="https://www.pbo-dpb.gc.ca/web/default/files/Documents/Info%20Requests/2021/IR0581_IFC_COVID_Measures_request_e.pdf" TargetMode="External"/><Relationship Id="rId8" Type="http://schemas.openxmlformats.org/officeDocument/2006/relationships/hyperlink" Target="https://www.pbo-dpb.gc.ca/web/default/files/Documents/Info%20Requests/2020/IR0462_CIRNAC_COVID-19_Measures_request_e_signed.pdf" TargetMode="External"/><Relationship Id="rId51" Type="http://schemas.openxmlformats.org/officeDocument/2006/relationships/hyperlink" Target="https://www.pbo-dpb.gc.ca/web/default/files/Documents/Info%20Requests/2020/IR0528_PHAC_COVID19_update_request_e.pdf" TargetMode="External"/><Relationship Id="rId72" Type="http://schemas.openxmlformats.org/officeDocument/2006/relationships/printerSettings" Target="../printerSettings/printerSettings2.bin"/><Relationship Id="rId3" Type="http://schemas.openxmlformats.org/officeDocument/2006/relationships/hyperlink" Target="https://www.pbo-dpb.gc.ca/web/default/files/Documents/Info%20Requests/2020/IR0530_CIHR_granting_COVID-19_request_e.pdf" TargetMode="External"/><Relationship Id="rId12" Type="http://schemas.openxmlformats.org/officeDocument/2006/relationships/hyperlink" Target="https://www.pbo-dpb.gc.ca/web/default/files/Documents/Info%20Requests/2020/IR0470_ISC_COVID-19_Measures_request_e_signed.pdf" TargetMode="External"/><Relationship Id="rId17" Type="http://schemas.openxmlformats.org/officeDocument/2006/relationships/hyperlink" Target="https://www.pbo-dpb.gc.ca/web/default/files/Documents/Info%20Requests/2020/IR0478_CIHR_COVID-19_ltr_e.pdf" TargetMode="External"/><Relationship Id="rId25" Type="http://schemas.openxmlformats.org/officeDocument/2006/relationships/hyperlink" Target="https://www.pbo-dpb.gc.ca/web/default/files/Documents/Info%20Requests/2020/IR0559_PSPC_COVID-19_Safety_request_e.pdf" TargetMode="External"/><Relationship Id="rId33" Type="http://schemas.openxmlformats.org/officeDocument/2006/relationships/hyperlink" Target="https://www.pbo-dpb.gc.ca/web/default/files/Documents/Info%20Requests/2020/IR0549_ESDC_COVID-19_Measures_Q_request_e.pdf" TargetMode="External"/><Relationship Id="rId38" Type="http://schemas.openxmlformats.org/officeDocument/2006/relationships/hyperlink" Target="https://www.pbo-dpb.gc.ca/web/default/files/Documents/Info%20Requests/2020/IR0561_SSC_COVID-19_Measures_request_e.pdf" TargetMode="External"/><Relationship Id="rId46" Type="http://schemas.openxmlformats.org/officeDocument/2006/relationships/hyperlink" Target="https://www.pbo-dpb.gc.ca/web/default/files/Documents/Info%20Requests/2020/IR0523_ISC_COVID19_update_2_request_e.pdf" TargetMode="External"/><Relationship Id="rId59" Type="http://schemas.openxmlformats.org/officeDocument/2006/relationships/hyperlink" Target="https://www.pbo-dpb.gc.ca/web/default/files/Documents/Info%20Requests/2020/IR0551_HC_COVID-19_Measures_request_e.pdf" TargetMode="External"/><Relationship Id="rId67" Type="http://schemas.openxmlformats.org/officeDocument/2006/relationships/hyperlink" Target="https://www.pbo-dpb.gc.ca/web/default/files/Documents/Info%20Requests/2020/IR0468_HC_COVID-19_Measures_request_e_signed.pdf" TargetMode="External"/><Relationship Id="rId20" Type="http://schemas.openxmlformats.org/officeDocument/2006/relationships/hyperlink" Target="https://www.pbo-dpb.gc.ca/web/default/files/Documents/Info%20Requests/2020/IR0490_ISED_COVID-19_Measures_request_e.pdf" TargetMode="External"/><Relationship Id="rId41" Type="http://schemas.openxmlformats.org/officeDocument/2006/relationships/hyperlink" Target="https://www.pbo-dpb.gc.ca/web/default/files/Documents/Info%20Requests/2020/IR0530_CIHR_granting_COVID-19_request_e.pdf" TargetMode="External"/><Relationship Id="rId54" Type="http://schemas.openxmlformats.org/officeDocument/2006/relationships/hyperlink" Target="https://www.pbo-dpb.gc.ca/web/default/files/Documents/Info%20Requests/2020/IR0528_PHAC_COVID19_update_request_e.pdf" TargetMode="External"/><Relationship Id="rId62" Type="http://schemas.openxmlformats.org/officeDocument/2006/relationships/hyperlink" Target="https://www.pbo-dpb.gc.ca/web/default/files/Documents/Info%20Requests/2020/IR0528_PHAC_COVID19_update_request_e.pdf" TargetMode="External"/><Relationship Id="rId70" Type="http://schemas.openxmlformats.org/officeDocument/2006/relationships/hyperlink" Target="https://www.pbo-dpb.gc.ca/web/default/files/Documents/Info%20Requests/2020/IR0526_NRCCan_COVID19_update_2_request_e.pdf" TargetMode="External"/></Relationships>
</file>

<file path=xl/worksheets/_rels/sheet3.xml.rels><?xml version="1.0" encoding="UTF-8" standalone="yes"?>
<Relationships xmlns="http://schemas.openxmlformats.org/package/2006/relationships"><Relationship Id="rId26" Type="http://schemas.openxmlformats.org/officeDocument/2006/relationships/hyperlink" Target="https://www.pbo-dpb.gc.ca/web/default/files/Documents/Info%20Requests/2020/IR0521_Finance_Canada_COVID19_update_request_e.pdf" TargetMode="External"/><Relationship Id="rId21" Type="http://schemas.openxmlformats.org/officeDocument/2006/relationships/hyperlink" Target="https://www.pbo-dpb.gc.ca/web/default/files/Documents/Info%20Requests/2020/IR0523_ISC_COVID19_update_2_request_e.pdf" TargetMode="External"/><Relationship Id="rId42" Type="http://schemas.openxmlformats.org/officeDocument/2006/relationships/hyperlink" Target="https://www.pbo-dpb.gc.ca/web/default/files/Documents/Info%20Requests/2020/IR0539_ISED_COVID-19_Funding_request_e.pdf" TargetMode="External"/><Relationship Id="rId47" Type="http://schemas.openxmlformats.org/officeDocument/2006/relationships/hyperlink" Target="https://www.pbo-dpb.gc.ca/web/default/files/Documents/Info%20Requests/2020/IR0519_TC_Fed-Bridge-corp_COVID-19_request_e.pdf" TargetMode="External"/><Relationship Id="rId63" Type="http://schemas.openxmlformats.org/officeDocument/2006/relationships/hyperlink" Target="https://www.pbo-dpb.gc.ca/web/default/files/Documents/Info%20Requests/2020/IR0526_NRCCan_COVID19_update_2_request_e.pdf" TargetMode="External"/><Relationship Id="rId68" Type="http://schemas.openxmlformats.org/officeDocument/2006/relationships/hyperlink" Target="https://www.pbo-dpb.gc.ca/web/default/files/Documents/Info%20Requests/2020/IR0552_NRcan_COVID-19_Measures_request_e.pdf" TargetMode="External"/><Relationship Id="rId84" Type="http://schemas.openxmlformats.org/officeDocument/2006/relationships/hyperlink" Target="https://www.pbo-dpb.gc.ca/web/default/files/Documents/Info%20Requests/2020/IR0475_WAGE_COVID-19_Measures_request_e_signed.pdf" TargetMode="External"/><Relationship Id="rId89" Type="http://schemas.openxmlformats.org/officeDocument/2006/relationships/hyperlink" Target="https://www.pbo-dpb.gc.ca/web/default/files/Documents/Info%20Requests/2020/IR0549_ESDC_COVID-19_Measures_Q_request_e.pdf" TargetMode="External"/><Relationship Id="rId112" Type="http://schemas.openxmlformats.org/officeDocument/2006/relationships/hyperlink" Target="https://www.pbo-dpb.gc.ca/web/default/files/Documents/Info%20Requests/2020/IR0559_PSPC_COVID-19_Safety_request_e.pdf" TargetMode="External"/><Relationship Id="rId16" Type="http://schemas.openxmlformats.org/officeDocument/2006/relationships/hyperlink" Target="https://www.canada.ca/en/services/benefits/ei/claims-report.html" TargetMode="External"/><Relationship Id="rId107" Type="http://schemas.openxmlformats.org/officeDocument/2006/relationships/hyperlink" Target="https://www.pbo-dpb.gc.ca/web/default/files/Documents/Info%20Requests/2021/IR0580_ESDC_Fam_COVID_Benefits_request_e.pdf" TargetMode="External"/><Relationship Id="rId11" Type="http://schemas.openxmlformats.org/officeDocument/2006/relationships/hyperlink" Target="https://www.pbo-dpb.gc.ca/web/default/files/Documents/Info%20Requests/2020/IR0471_ISED_COVID-19_Measures_request_e_signed.pdf" TargetMode="External"/><Relationship Id="rId24" Type="http://schemas.openxmlformats.org/officeDocument/2006/relationships/hyperlink" Target="https://www.pbo-dpb.gc.ca/web/default/files/Documents/Info%20Requests/2020/IR0524_ISED_COVID19_update_2_request_e.pdf" TargetMode="External"/><Relationship Id="rId32" Type="http://schemas.openxmlformats.org/officeDocument/2006/relationships/hyperlink" Target="https://www.pbo-dpb.gc.ca/web/default/files/Documents/Info%20Requests/2020/IR0549_ESDC_COVID-19_Measures_Q_request_e.pdf" TargetMode="External"/><Relationship Id="rId37" Type="http://schemas.openxmlformats.org/officeDocument/2006/relationships/hyperlink" Target="https://www.pbo-dpb.gc.ca/web/default/files/Documents/Info%20Requests/2020/IR0494_FIN_COVID-19_Measures_request_e.pdf" TargetMode="External"/><Relationship Id="rId40" Type="http://schemas.openxmlformats.org/officeDocument/2006/relationships/hyperlink" Target="https://www.pbo-dpb.gc.ca/web/default/files/Documents/Info%20Requests/2020/IR0456_AAFC_COVID-19_Allocations_request_e_signed.pdf" TargetMode="External"/><Relationship Id="rId45" Type="http://schemas.openxmlformats.org/officeDocument/2006/relationships/hyperlink" Target="https://www.pbo-dpb.gc.ca/web/default/files/Documents/Info%20Requests/2020/IR0482_FOC_COVID-19_ltr_e.pdf" TargetMode="External"/><Relationship Id="rId53" Type="http://schemas.openxmlformats.org/officeDocument/2006/relationships/hyperlink" Target="https://www.pbo-dpb.gc.ca/web/default/files/Documents/Info%20Requests/2020/IR0518_ESDC_COVIID19_update_request_e.pdf" TargetMode="External"/><Relationship Id="rId58" Type="http://schemas.openxmlformats.org/officeDocument/2006/relationships/hyperlink" Target="https://www.pbo-dpb.gc.ca/web/default/files/Documents/Info%20Requests/2020/IR0516_CMHC_COVID19_update_2_request_e.pdf" TargetMode="External"/><Relationship Id="rId66" Type="http://schemas.openxmlformats.org/officeDocument/2006/relationships/hyperlink" Target="https://www.pbo-dpb.gc.ca/web/default/files/Documents/Info%20Requests/2020/IR0522_ISEDC_Granting_Councils_COVID19_request_e.pdf" TargetMode="External"/><Relationship Id="rId74" Type="http://schemas.openxmlformats.org/officeDocument/2006/relationships/hyperlink" Target="https://www.pbo-dpb.gc.ca/web/default/files/Documents/Info%20Requests/2020/IR0549_ESDC_COVID-19_Measures_Q_request_e.pdf" TargetMode="External"/><Relationship Id="rId79" Type="http://schemas.openxmlformats.org/officeDocument/2006/relationships/hyperlink" Target="https://www.pbo-dpb.gc.ca/web/default/files/Documents/Info%20Requests/2020/IR0560_VA_COVID-19_Measures_request_e.pdf" TargetMode="External"/><Relationship Id="rId87" Type="http://schemas.openxmlformats.org/officeDocument/2006/relationships/hyperlink" Target="https://www.pbo-dpb.gc.ca/web/default/files/Documents/Info%20Requests/2020/IR0523_ISC_COVID19_update_2_request_e.pdf" TargetMode="External"/><Relationship Id="rId102" Type="http://schemas.openxmlformats.org/officeDocument/2006/relationships/hyperlink" Target="https://www.pbo-dpb.gc.ca/web/default/files/Documents/Info%20Requests/2020/IR0524_ISED_COVID19_update_2_request_e.pdf" TargetMode="External"/><Relationship Id="rId110" Type="http://schemas.openxmlformats.org/officeDocument/2006/relationships/hyperlink" Target="https://www.pbo-dpb.gc.ca/web/default/files/Documents/Info%20Requests/2021/IR0582_Justice_COVID_Measures_request_e.pdf" TargetMode="External"/><Relationship Id="rId115" Type="http://schemas.openxmlformats.org/officeDocument/2006/relationships/hyperlink" Target="https://www.pbo-dpb.gc.ca/web/default/files/Documents/Info%20Requests/2020/IR0524_ISED_COVID19_update_2_request_e.pdf" TargetMode="External"/><Relationship Id="rId5" Type="http://schemas.openxmlformats.org/officeDocument/2006/relationships/hyperlink" Target="https://www.pbo-dpb.gc.ca/web/default/files/Documents/Info%20Requests/2020/IR0490_ISED_COVID-19_Measures_request_e.pdf" TargetMode="External"/><Relationship Id="rId61" Type="http://schemas.openxmlformats.org/officeDocument/2006/relationships/hyperlink" Target="https://www.pbo-dpb.gc.ca/web/default/files/Documents/Info%20Requests/2020/IR0524_ISED_COVID19_update_2_request_e.pdf" TargetMode="External"/><Relationship Id="rId82" Type="http://schemas.openxmlformats.org/officeDocument/2006/relationships/hyperlink" Target="https://communityfoundations.ca/covid-19-granting-results-data-the-emergency-community-support-fund-ecsf/?_thumbnail_id=25767" TargetMode="External"/><Relationship Id="rId90" Type="http://schemas.openxmlformats.org/officeDocument/2006/relationships/hyperlink" Target="https://www.pbo-dpb.gc.ca/web/default/files/Documents/Info%20Requests/2020/IR0516_CMHC_COVID19_update_2_request_e.pdf" TargetMode="External"/><Relationship Id="rId95" Type="http://schemas.openxmlformats.org/officeDocument/2006/relationships/hyperlink" Target="https://www.pbo-dpb.gc.ca/web/default/files/Documents/Info%20Requests/2020/IR0465_EDC_COVID-19%20Measures_request_e_signed.pdf" TargetMode="External"/><Relationship Id="rId19" Type="http://schemas.openxmlformats.org/officeDocument/2006/relationships/hyperlink" Target="https://www.canada.ca/en/revenue-agency/services/benefits/emergency-student-benefit/cesb-statistics.html" TargetMode="External"/><Relationship Id="rId14" Type="http://schemas.openxmlformats.org/officeDocument/2006/relationships/hyperlink" Target="https://www.pbo-dpb.gc.ca/web/default/files/Documents/Info%20Requests/2020/IR0550_FIN_COVID-19_Support_request_e.pdf" TargetMode="External"/><Relationship Id="rId22" Type="http://schemas.openxmlformats.org/officeDocument/2006/relationships/hyperlink" Target="https://www.pbo-dpb.gc.ca/web/default/files/Documents/Info%20Requests/2020/IR0515_CIRNAC_COVID-19_update_request_e.pdf" TargetMode="External"/><Relationship Id="rId27" Type="http://schemas.openxmlformats.org/officeDocument/2006/relationships/hyperlink" Target="https://www.pbo-dpb.gc.ca/web/default/files/Documents/Info%20Requests/2020/IR0540_PCO_COVID-19_Communications_request_e.pdf" TargetMode="External"/><Relationship Id="rId30" Type="http://schemas.openxmlformats.org/officeDocument/2006/relationships/hyperlink" Target="https://www.pbo-dpb.gc.ca/web/default/files/Documents/Info%20Requests/2020/IR0550_FIN_COVID-19_Support_request_e.pdf" TargetMode="External"/><Relationship Id="rId35" Type="http://schemas.openxmlformats.org/officeDocument/2006/relationships/hyperlink" Target="https://www.pbo-dpb.gc.ca/web/default/files/Documents/Info%20Requests/2020/IR0469_Heritage_COVID-19_Measures_request_e_signed.pdf" TargetMode="External"/><Relationship Id="rId43" Type="http://schemas.openxmlformats.org/officeDocument/2006/relationships/hyperlink" Target="https://www.pbo-dpb.gc.ca/web/default/files/Documents/Info%20Requests/2020/IR0482_FOC_COVID-19_ltr_e.pdf" TargetMode="External"/><Relationship Id="rId48" Type="http://schemas.openxmlformats.org/officeDocument/2006/relationships/hyperlink" Target="https://www.pbo-dpb.gc.ca/web/default/files/Documents/Info%20Requests/2020/IR0547_CRA_RRIF_request_e.pdf" TargetMode="External"/><Relationship Id="rId56" Type="http://schemas.openxmlformats.org/officeDocument/2006/relationships/hyperlink" Target="https://www.pbo-dpb.gc.ca/web/default/files/Documents/Info%20Requests/2020/IR0456_AAFC_COVID-19_Allocations_request_e_signed.pdf" TargetMode="External"/><Relationship Id="rId64" Type="http://schemas.openxmlformats.org/officeDocument/2006/relationships/hyperlink" Target="https://www.pbo-dpb.gc.ca/web/default/files/Documents/Info%20Requests/2020/IR0526_NRCCan_COVID19_update_2_request_e.pdf" TargetMode="External"/><Relationship Id="rId69" Type="http://schemas.openxmlformats.org/officeDocument/2006/relationships/hyperlink" Target="https://www.pbo-dpb.gc.ca/web/default/files/Documents/Info%20Requests/2020/IR0549_ESDC_COVID-19_Measures_Q_request_e.pdf" TargetMode="External"/><Relationship Id="rId77" Type="http://schemas.openxmlformats.org/officeDocument/2006/relationships/hyperlink" Target="https://search.open.canada.ca/en/gc/?sort=score%20desc&amp;page=1&amp;search_text=new%20horizons%20seniors&amp;gc-search-orgs=Employment%20and%20Social%20Development%20Canada" TargetMode="External"/><Relationship Id="rId100" Type="http://schemas.openxmlformats.org/officeDocument/2006/relationships/hyperlink" Target="https://www.pbo-dpb.gc.ca/web/default/files/Documents/Info%20Requests/2020/IR0519_TC_Fed-Bridge-corp_COVID-19_request_e.pdf" TargetMode="External"/><Relationship Id="rId105" Type="http://schemas.openxmlformats.org/officeDocument/2006/relationships/hyperlink" Target="https://www.pbo-dpb.gc.ca/web/default/files/Documents/Info%20Requests/2021/IR0578_Corr-Serv_COVID_Measures_request_e.pdf" TargetMode="External"/><Relationship Id="rId113" Type="http://schemas.openxmlformats.org/officeDocument/2006/relationships/hyperlink" Target="https://www.pbo-dpb.gc.ca/web/default/files/Documents/Info%20Requests/2020/IR0523_ISC_COVID19_update_2_request_e.pdf" TargetMode="External"/><Relationship Id="rId8" Type="http://schemas.openxmlformats.org/officeDocument/2006/relationships/hyperlink" Target="https://www.canada.ca/en/revenue-agency/services/benefits/recovery-benefit/crb-statistics.html" TargetMode="External"/><Relationship Id="rId51" Type="http://schemas.openxmlformats.org/officeDocument/2006/relationships/hyperlink" Target="https://www.pbo-dpb.gc.ca/web/default/files/Documents/Info%20Requests/2020/IR0517_CRA_COVID19_followup_request_e.pdf" TargetMode="External"/><Relationship Id="rId72" Type="http://schemas.openxmlformats.org/officeDocument/2006/relationships/hyperlink" Target="https://www.pbo-dpb.gc.ca/web/default/files/Documents/Info%20Requests/2020/IR0561_SSC_COVID-19_Measures_request_e.pdf" TargetMode="External"/><Relationship Id="rId80" Type="http://schemas.openxmlformats.org/officeDocument/2006/relationships/hyperlink" Target="https://www.unitedwayeo.ca/our-impact/community-investments/" TargetMode="External"/><Relationship Id="rId85" Type="http://schemas.openxmlformats.org/officeDocument/2006/relationships/hyperlink" Target="https://www.pbo-dpb.gc.ca/web/default/files/Documents/Info%20Requests/2020/IR0475_WAGE_COVID-19_Measures_request_e_signed.pdf" TargetMode="External"/><Relationship Id="rId93" Type="http://schemas.openxmlformats.org/officeDocument/2006/relationships/hyperlink" Target="https://www.pbo-dpb.gc.ca/web/default/files/Documents/Info%20Requests/2020/IR0492_ECC_COVID-19_Measures_request_e.pdf" TargetMode="External"/><Relationship Id="rId98" Type="http://schemas.openxmlformats.org/officeDocument/2006/relationships/hyperlink" Target="https://www.pbo-dpb.gc.ca/web/default/files/Documents/Info%20Requests/2020/IR0524_ISED_COVID19_update_2_request_e.pdf" TargetMode="External"/><Relationship Id="rId3" Type="http://schemas.openxmlformats.org/officeDocument/2006/relationships/hyperlink" Target="https://www.pbo-dpb.gc.ca/web/default/files/Documents/Info%20Requests/2020/IR0474_TC_COVID-19_Measures_request_e_signed.pdf" TargetMode="External"/><Relationship Id="rId12" Type="http://schemas.openxmlformats.org/officeDocument/2006/relationships/hyperlink" Target="https://www.pbo-dpb.gc.ca/web/default/files/Documents/Info%20Requests/2020/IR0471_ISED_COVID-19_Measures_request_e_signed.pdf" TargetMode="External"/><Relationship Id="rId17" Type="http://schemas.openxmlformats.org/officeDocument/2006/relationships/hyperlink" Target="https://www.canada.ca/en/services/benefits/ei/claims-report.html" TargetMode="External"/><Relationship Id="rId25" Type="http://schemas.openxmlformats.org/officeDocument/2006/relationships/hyperlink" Target="https://www.pbo-dpb.gc.ca/web/default/files/Documents/Info%20Requests/2020/IR0516_CMHC_COVID19_update_2_request_e.pdf" TargetMode="External"/><Relationship Id="rId33" Type="http://schemas.openxmlformats.org/officeDocument/2006/relationships/hyperlink" Target="https://www.pbo-dpb.gc.ca/web/default/files/Documents/Info%20Requests/2020/IR0461_CFIA_COVID-19_Allocations_request_e_signed.pdf" TargetMode="External"/><Relationship Id="rId38" Type="http://schemas.openxmlformats.org/officeDocument/2006/relationships/hyperlink" Target="https://www.pbo-dpb.gc.ca/web/default/files/Documents/Info%20Requests/2020/IR0473_NRCan_COVID-19_Measures_request_e_signed.pdf" TargetMode="External"/><Relationship Id="rId46" Type="http://schemas.openxmlformats.org/officeDocument/2006/relationships/hyperlink" Target="https://www.pbo-dpb.gc.ca/web/default/files/Documents/Info%20Requests/2020/IR0522_ISEDC_Granting_Councils_COVID19_request_e.pdf" TargetMode="External"/><Relationship Id="rId59" Type="http://schemas.openxmlformats.org/officeDocument/2006/relationships/hyperlink" Target="https://www.pbo-dpb.gc.ca/web/default/files/Documents/Info%20Requests/2020/IR0523_ISC_COVID19_update_2_request_e.pdf" TargetMode="External"/><Relationship Id="rId67" Type="http://schemas.openxmlformats.org/officeDocument/2006/relationships/hyperlink" Target="https://www.pbo-dpb.gc.ca/web/default/files/Documents/Info%20Requests/2020/IR0530_CIHR_granting_COVID-19_request_e.pdf" TargetMode="External"/><Relationship Id="rId103" Type="http://schemas.openxmlformats.org/officeDocument/2006/relationships/hyperlink" Target="https://www.pbo-dpb.gc.ca/web/default/files/Documents/Info%20Requests/2020/IR0550_FIN_COVID-19_Support_request_e.pdf" TargetMode="External"/><Relationship Id="rId108" Type="http://schemas.openxmlformats.org/officeDocument/2006/relationships/hyperlink" Target="https://www.pbo-dpb.gc.ca/web/default/files/Documents/Info%20Requests/2021/IR0580_ESDC_Fam_COVID_Benefits_request_e.pdf" TargetMode="External"/><Relationship Id="rId116" Type="http://schemas.openxmlformats.org/officeDocument/2006/relationships/printerSettings" Target="../printerSettings/printerSettings3.bin"/><Relationship Id="rId20" Type="http://schemas.openxmlformats.org/officeDocument/2006/relationships/hyperlink" Target="https://www.pbo-dpb.gc.ca/web/default/files/Documents/Info%20Requests/2020/IR0480_CMHC_COVID-19_ltr_e.pdf" TargetMode="External"/><Relationship Id="rId41" Type="http://schemas.openxmlformats.org/officeDocument/2006/relationships/hyperlink" Target="https://www.pbo-dpb.gc.ca/web/default/files/Documents/Info%20Requests/2020/IR0539_ISED_COVID-19_Funding_request_e.pdf" TargetMode="External"/><Relationship Id="rId54" Type="http://schemas.openxmlformats.org/officeDocument/2006/relationships/hyperlink" Target="https://www.pbo-dpb.gc.ca/web/default/files/Documents/Info%20Requests/2020/IR0549_ESDC_COVID-19_Measures_Q_request_e.pdf" TargetMode="External"/><Relationship Id="rId62" Type="http://schemas.openxmlformats.org/officeDocument/2006/relationships/hyperlink" Target="https://www.pbo-dpb.gc.ca/web/default/files/Documents/Info%20Requests/2020/IR0524_ISED_COVID19_update_2_request_e.pdf" TargetMode="External"/><Relationship Id="rId70" Type="http://schemas.openxmlformats.org/officeDocument/2006/relationships/hyperlink" Target="https://www.pbo-dpb.gc.ca/web/default/files/Documents/Info%20Requests/2020/IR0557_ECCC_COVID-19_Measures_request_e.pdf" TargetMode="External"/><Relationship Id="rId75" Type="http://schemas.openxmlformats.org/officeDocument/2006/relationships/hyperlink" Target="https://www.pbo-dpb.gc.ca/web/default/files/Documents/Info%20Requests/2020/IR0523_ISC_COVID19_update_2_request_e.pdf" TargetMode="External"/><Relationship Id="rId83" Type="http://schemas.openxmlformats.org/officeDocument/2006/relationships/hyperlink" Target="https://www.pbo-dpb.gc.ca/web/default/files/Documents/Info%20Requests/2020/IR0456_AAFC_COVID-19_Allocations_request_e_signed.pdf" TargetMode="External"/><Relationship Id="rId88" Type="http://schemas.openxmlformats.org/officeDocument/2006/relationships/hyperlink" Target="https://www.pbo-dpb.gc.ca/web/default/files/Documents/Info%20Requests/2020/IR0523_ISC_COVID19_update_2_request_e.pdf" TargetMode="External"/><Relationship Id="rId91" Type="http://schemas.openxmlformats.org/officeDocument/2006/relationships/hyperlink" Target="https://www.pbo-dpb.gc.ca/web/default/files/Documents/Info%20Requests/2020/IR0552_NRcan_COVID-19_Measures_request_e.pdf" TargetMode="External"/><Relationship Id="rId96" Type="http://schemas.openxmlformats.org/officeDocument/2006/relationships/hyperlink" Target="https://ceba-cuec.ca/" TargetMode="External"/><Relationship Id="rId111" Type="http://schemas.openxmlformats.org/officeDocument/2006/relationships/hyperlink" Target="https://www.pbo-dpb.gc.ca/web/default/files/Documents/Info%20Requests/2021/IR0582_Justice_COVID_Measures_request_e.pdf" TargetMode="External"/><Relationship Id="rId1" Type="http://schemas.openxmlformats.org/officeDocument/2006/relationships/hyperlink" Target="https://www.pbo-dpb.gc.ca/web/default/files/Documents/Info%20Requests/2020/IR0464_CRTC_COVID-19_Measures_request_e_signed.pdf" TargetMode="External"/><Relationship Id="rId6" Type="http://schemas.openxmlformats.org/officeDocument/2006/relationships/hyperlink" Target="https://www.canada.ca/en/revenue-agency/services/subsidy/emergency-wage-subsidy/cews-statistics.html" TargetMode="External"/><Relationship Id="rId15" Type="http://schemas.openxmlformats.org/officeDocument/2006/relationships/hyperlink" Target="https://www.pbo-dpb.gc.ca/web/default/files/Documents/Info%20Requests/2020/IR0517_CRA_COVID19_followup_request_e.pdf" TargetMode="External"/><Relationship Id="rId23" Type="http://schemas.openxmlformats.org/officeDocument/2006/relationships/hyperlink" Target="https://www.pbo-dpb.gc.ca/web/default/files/Documents/Info%20Requests/2020/IR0523_ISC_COVID19_update_2_request_e.pdf" TargetMode="External"/><Relationship Id="rId28" Type="http://schemas.openxmlformats.org/officeDocument/2006/relationships/hyperlink" Target="https://www.pbo-dpb.gc.ca/web/default/files/Documents/Info%20Requests/2020/IR0540_PCO_COVID-19_Communications_request_e.pdf" TargetMode="External"/><Relationship Id="rId36" Type="http://schemas.openxmlformats.org/officeDocument/2006/relationships/hyperlink" Target="https://www.pbo-dpb.gc.ca/web/default/files/Documents/Info%20Requests/2020/IR0494_FIN_COVID-19_Measures_request_e.pdf" TargetMode="External"/><Relationship Id="rId49" Type="http://schemas.openxmlformats.org/officeDocument/2006/relationships/hyperlink" Target="https://www.pbo-dpb.gc.ca/web/default/files/Documents/Info%20Requests/2020/IR0561_SSC_COVID-19_Measures_request_e.pdf" TargetMode="External"/><Relationship Id="rId57" Type="http://schemas.openxmlformats.org/officeDocument/2006/relationships/hyperlink" Target="https://www.pbo-dpb.gc.ca/web/default/files/Documents/Info%20Requests/2020/IR0516_CMHC_COVID19_update_2_request_e.pdf" TargetMode="External"/><Relationship Id="rId106" Type="http://schemas.openxmlformats.org/officeDocument/2006/relationships/hyperlink" Target="https://www.pbo-dpb.gc.ca/web/default/files/Documents/Info%20Requests/2021/IR0583_NCC_COVID_Measures_request_e.pdf" TargetMode="External"/><Relationship Id="rId114" Type="http://schemas.openxmlformats.org/officeDocument/2006/relationships/hyperlink" Target="https://www.canada.ca/en/revenue-agency/services/subsidy/emergency-rent-subsidy/cers-statistics.html" TargetMode="External"/><Relationship Id="rId10" Type="http://schemas.openxmlformats.org/officeDocument/2006/relationships/hyperlink" Target="https://www.canada.ca/en/revenue-agency/services/benefits/recovery-caregiving-benefit/crcb-statistics.html" TargetMode="External"/><Relationship Id="rId31" Type="http://schemas.openxmlformats.org/officeDocument/2006/relationships/hyperlink" Target="https://www.pbo-dpb.gc.ca/web/default/files/Documents/Info%20Requests/2020/IR0551_HC_COVID-19_Measures_request_e.pdf" TargetMode="External"/><Relationship Id="rId44" Type="http://schemas.openxmlformats.org/officeDocument/2006/relationships/hyperlink" Target="https://www.pbo-dpb.gc.ca/web/default/files/Documents/Info%20Requests/2020/IR0482_FOC_COVID-19_ltr_e.pdf" TargetMode="External"/><Relationship Id="rId52" Type="http://schemas.openxmlformats.org/officeDocument/2006/relationships/hyperlink" Target="https://www.pbo-dpb.gc.ca/web/default/files/Documents/Info%20Requests/2020/IR0517_CRA_COVID19_followup_request_e.pdf" TargetMode="External"/><Relationship Id="rId60" Type="http://schemas.openxmlformats.org/officeDocument/2006/relationships/hyperlink" Target="https://www.pbo-dpb.gc.ca/web/default/files/Documents/Info%20Requests/2020/IR0523_ISC_COVID19_update_2_request_e.pdf" TargetMode="External"/><Relationship Id="rId65" Type="http://schemas.openxmlformats.org/officeDocument/2006/relationships/hyperlink" Target="https://www.pbo-dpb.gc.ca/web/default/files/Documents/Info%20Requests/2020/IR0522_ISEDC_Granting_Councils_COVID19_request_e.pdf" TargetMode="External"/><Relationship Id="rId73" Type="http://schemas.openxmlformats.org/officeDocument/2006/relationships/hyperlink" Target="https://www.pbo-dpb.gc.ca/web/default/files/Documents/Info%20Requests/2020/IR0549_ESDC_COVID-19_Measures_Q_request_e.pdf" TargetMode="External"/><Relationship Id="rId78" Type="http://schemas.openxmlformats.org/officeDocument/2006/relationships/hyperlink" Target="https://www.pbo-dpb.gc.ca/web/default/files/Documents/Info%20Requests/2020/IR0547_CRA_RRIF_request_e.pdf" TargetMode="External"/><Relationship Id="rId81" Type="http://schemas.openxmlformats.org/officeDocument/2006/relationships/hyperlink" Target="https://www.redcross.ca/how-we-help/current-emergency-responses/covid-19-%E2%80%93-novel-coronavirus/information-for-community-organizations-affected-by-covid-19/granting-program/emergency-community-support-fund" TargetMode="External"/><Relationship Id="rId86" Type="http://schemas.openxmlformats.org/officeDocument/2006/relationships/hyperlink" Target="https://www.pbo-dpb.gc.ca/web/default/files/Documents/Info%20Requests/2020/IR0475_WAGE_COVID-19_Measures_request_e_signed.pdf" TargetMode="External"/><Relationship Id="rId94" Type="http://schemas.openxmlformats.org/officeDocument/2006/relationships/hyperlink" Target="https://www.pbo-dpb.gc.ca/web/default/files/Documents/Info%20Requests/2020/IR0549_ESDC_COVID-19_Measures_Q_request_e.pdf" TargetMode="External"/><Relationship Id="rId99" Type="http://schemas.openxmlformats.org/officeDocument/2006/relationships/hyperlink" Target="https://www.pbo-dpb.gc.ca/web/default/files/Documents/Info%20Requests/2020/IR0524_ISED_COVID19_update_2_request_e.pdf" TargetMode="External"/><Relationship Id="rId101" Type="http://schemas.openxmlformats.org/officeDocument/2006/relationships/hyperlink" Target="https://www.pbo-dpb.gc.ca/web/default/files/Documents/Info%20Requests/2021/IR0579_ESDC_COVID_Temp-EI_request_e.pdf" TargetMode="External"/><Relationship Id="rId4" Type="http://schemas.openxmlformats.org/officeDocument/2006/relationships/hyperlink" Target="https://www.pbo-dpb.gc.ca/web/default/files/Documents/Info%20Requests/2020/IR0471_ISED_COVID-19_Measures_request_e_signed.pdf" TargetMode="External"/><Relationship Id="rId9" Type="http://schemas.openxmlformats.org/officeDocument/2006/relationships/hyperlink" Target="https://www.canada.ca/en/revenue-agency/services/benefits/recovery-sickness-benefit/crsb-statistics.html" TargetMode="External"/><Relationship Id="rId13" Type="http://schemas.openxmlformats.org/officeDocument/2006/relationships/hyperlink" Target="https://www.pbo-dpb.gc.ca/web/default/files/Documents/Info%20Requests/2020/IR0547_CRA_RRIF_request_e.pdf" TargetMode="External"/><Relationship Id="rId18" Type="http://schemas.openxmlformats.org/officeDocument/2006/relationships/hyperlink" Target="https://www.pbo-dpb.gc.ca/web/default/files/Documents/Info%20Requests/2020/IR0561_SSC_COVID-19_Measures_request_e.pdf" TargetMode="External"/><Relationship Id="rId39" Type="http://schemas.openxmlformats.org/officeDocument/2006/relationships/hyperlink" Target="https://www.pbo-dpb.gc.ca/web/default/files/Documents/Info%20Requests/2020/IR0456_AAFC_COVID-19_Allocations_request_e_signed.pdf" TargetMode="External"/><Relationship Id="rId109" Type="http://schemas.openxmlformats.org/officeDocument/2006/relationships/hyperlink" Target="https://www.pbo-dpb.gc.ca/web/default/files/Documents/Info%20Requests/2021/IR0585_VIA_COVID_Funding_request_e.pdf" TargetMode="External"/><Relationship Id="rId34" Type="http://schemas.openxmlformats.org/officeDocument/2006/relationships/hyperlink" Target="https://www.pbo-dpb.gc.ca/web/default/files/Documents/Info%20Requests/2020/IR0469_Heritage_COVID-19_Measures_request_e_signed.pdf" TargetMode="External"/><Relationship Id="rId50" Type="http://schemas.openxmlformats.org/officeDocument/2006/relationships/hyperlink" Target="https://www.pbo-dpb.gc.ca/web/default/files/Documents/Info%20Requests/2020/IR0547_CRA_RRIF_request_e.pdf" TargetMode="External"/><Relationship Id="rId55" Type="http://schemas.openxmlformats.org/officeDocument/2006/relationships/hyperlink" Target="https://www.pbo-dpb.gc.ca/web/default/files/Documents/Info%20Requests/2020/IR0456_AAFC_COVID-19_Allocations_request_e_signed.pdf" TargetMode="External"/><Relationship Id="rId76" Type="http://schemas.openxmlformats.org/officeDocument/2006/relationships/hyperlink" Target="https://www.pbo-dpb.gc.ca/web/default/files/Documents/Info%20Requests/2020/IR0468_HC_COVID-19_Measures_request_e_signed.pdf" TargetMode="External"/><Relationship Id="rId97" Type="http://schemas.openxmlformats.org/officeDocument/2006/relationships/hyperlink" Target="http://www.gazette.gc.ca/rp-pr/p2/2020/2020-10-14/html/sor-dors208-eng.html" TargetMode="External"/><Relationship Id="rId104" Type="http://schemas.openxmlformats.org/officeDocument/2006/relationships/hyperlink" Target="https://www.pbo-dpb.gc.ca/web/default/files/Documents/Info%20Requests/2020/IR0560_VA_COVID-19_Measures_request_e.pdf" TargetMode="External"/><Relationship Id="rId7" Type="http://schemas.openxmlformats.org/officeDocument/2006/relationships/hyperlink" Target="https://www.pbo-dpb.gc.ca/web/default/files/Documents/Info%20Requests/2020/IR0481_CRA_COVID-19_ltr_e.pdf" TargetMode="External"/><Relationship Id="rId71" Type="http://schemas.openxmlformats.org/officeDocument/2006/relationships/hyperlink" Target="https://www.pbo-dpb.gc.ca/web/default/files/Documents/Info%20Requests/2020/IR0558_Heritage_COVID-19_Support_request_e.pdf" TargetMode="External"/><Relationship Id="rId92" Type="http://schemas.openxmlformats.org/officeDocument/2006/relationships/hyperlink" Target="https://www.pbo-dpb.gc.ca/web/default/files/Documents/Info%20Requests/2020/IR0524_ISED_COVID19_update_2_request_e.pdf" TargetMode="External"/><Relationship Id="rId2" Type="http://schemas.openxmlformats.org/officeDocument/2006/relationships/hyperlink" Target="https://www.pbo-dpb.gc.ca/web/default/files/Documents/Info%20Requests/2020/IR0558_Heritage_COVID-19_Support_request_e.pdf" TargetMode="External"/><Relationship Id="rId29" Type="http://schemas.openxmlformats.org/officeDocument/2006/relationships/hyperlink" Target="https://www.pbo-dpb.gc.ca/web/default/files/Documents/Info%20Requests/2020/IR0528_PHAC_COVID19_update_request_e.pdf" TargetMode="External"/></Relationships>
</file>

<file path=xl/worksheets/_rels/sheet4.xml.rels><?xml version="1.0" encoding="UTF-8" standalone="yes"?>
<Relationships xmlns="http://schemas.openxmlformats.org/package/2006/relationships"><Relationship Id="rId3" Type="http://schemas.openxmlformats.org/officeDocument/2006/relationships/hyperlink" Target="https://www.pbo-dpb.gc.ca/web/default/files/Documents/Info%20Requests/2020/IR0550_FIN_COVID-19_Support_request_e.pdf" TargetMode="External"/><Relationship Id="rId2" Type="http://schemas.openxmlformats.org/officeDocument/2006/relationships/hyperlink" Target="https://www.pbo-dpb.gc.ca/web/default/files/Documents/Info%20Requests/2020/IR0459_CBSA_COVID-19_Measures_request_e_signed.pdf" TargetMode="External"/><Relationship Id="rId1" Type="http://schemas.openxmlformats.org/officeDocument/2006/relationships/hyperlink" Target="https://www.pbo-dpb.gc.ca/web/default/files/Documents/Info%20Requests/2020/IR0517_CRA_COVID19_followup_request_e.pdf"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ceefc-cfuec.ca/approved-loans/" TargetMode="External"/><Relationship Id="rId13" Type="http://schemas.openxmlformats.org/officeDocument/2006/relationships/hyperlink" Target="https://www.pbo-dpb.gc.ca/web/default/files/Documents/Info%20Requests/2020/IR0550_FIN_COVID-19_Support_request_e.pdf" TargetMode="External"/><Relationship Id="rId3" Type="http://schemas.openxmlformats.org/officeDocument/2006/relationships/hyperlink" Target="https://www.pbo-dpb.gc.ca/web/default/files/Documents/Info%20Requests/2020/IR0465_EDC_COVID-19%20Measures_request_e_signed.pdf" TargetMode="External"/><Relationship Id="rId7" Type="http://schemas.openxmlformats.org/officeDocument/2006/relationships/hyperlink" Target="https://www.pbo-dpb.gc.ca/web/default/files/Documents/Info%20Requests/2020/IR0466_FCC_COVID-19_Measures_request_e_signed.pdf" TargetMode="External"/><Relationship Id="rId12" Type="http://schemas.openxmlformats.org/officeDocument/2006/relationships/hyperlink" Target="https://www.cmhc-schl.gc.ca/en/finance-and-investing/insured-mortgage-purchase-program" TargetMode="External"/><Relationship Id="rId2" Type="http://schemas.openxmlformats.org/officeDocument/2006/relationships/hyperlink" Target="https://www.pbo-dpb.gc.ca/web/default/files/Documents/Info%20Requests/2020/IR0465_EDC_COVID-19%20Measures_request_e_signed.pdf" TargetMode="External"/><Relationship Id="rId1" Type="http://schemas.openxmlformats.org/officeDocument/2006/relationships/hyperlink" Target="https://ceba-cuec.ca/" TargetMode="External"/><Relationship Id="rId6" Type="http://schemas.openxmlformats.org/officeDocument/2006/relationships/hyperlink" Target="https://www.pbo-dpb.gc.ca/web/default/files/Documents/Info%20Requests/2020/IR0457_BDC_COVID-19_Measures_request_e_signed.pdf" TargetMode="External"/><Relationship Id="rId11" Type="http://schemas.openxmlformats.org/officeDocument/2006/relationships/hyperlink" Target="https://www.pbo-dpb.gc.ca/web/default/files/Documents/Info%20Requests/2020/IR0465_EDC_COVID-19%20Measures_request_e_signed.pdf" TargetMode="External"/><Relationship Id="rId5" Type="http://schemas.openxmlformats.org/officeDocument/2006/relationships/hyperlink" Target="https://www.pbo-dpb.gc.ca/web/default/files/Documents/Info%20Requests/2020/IR0457_BDC_COVID-19_Measures_request_e_signed.pdf" TargetMode="External"/><Relationship Id="rId10" Type="http://schemas.openxmlformats.org/officeDocument/2006/relationships/hyperlink" Target="https://www.pbo-dpb.gc.ca/web/default/files/Documents/Info%20Requests/2020/IR0456_AAFC_COVID-19_Allocations_request_e_signed.pdf" TargetMode="External"/><Relationship Id="rId4" Type="http://schemas.openxmlformats.org/officeDocument/2006/relationships/hyperlink" Target="https://www.pbo-dpb.gc.ca/web/default/files/Documents/Info%20Requests/2020/IR0480_CMHC_COVID-19_ltr_e.pdf" TargetMode="External"/><Relationship Id="rId9" Type="http://schemas.openxmlformats.org/officeDocument/2006/relationships/hyperlink" Target="https://www.pbo-dpb.gc.ca/web/default/files/Documents/Info%20Requests/2020/IR0479_CDIC_COVID-19_ltr_e.pdf" TargetMode="External"/><Relationship Id="rId14"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8" Type="http://schemas.openxmlformats.org/officeDocument/2006/relationships/hyperlink" Target="https://www.pbo-dpb.gc.ca/web/default/files/Documents/Info%20Requests/2020/IR0523_ISC_COVID19_update_2_request_e.pdf" TargetMode="External"/><Relationship Id="rId13" Type="http://schemas.openxmlformats.org/officeDocument/2006/relationships/hyperlink" Target="https://search.open.canada.ca/en/gc/?sort=score%20desc&amp;page=1&amp;search_text=new%20horizons%20seniors&amp;gc-search-orgs=Employment%20and%20Social%20Development%20Canada" TargetMode="External"/><Relationship Id="rId18" Type="http://schemas.openxmlformats.org/officeDocument/2006/relationships/hyperlink" Target="https://www.pbo-dpb.gc.ca/web/default/files/Documents/Info%20Requests/2020/IR0530_CIHR_granting_COVID-19_request_e.pdf" TargetMode="External"/><Relationship Id="rId3" Type="http://schemas.openxmlformats.org/officeDocument/2006/relationships/hyperlink" Target="https://www.pbo-dpb.gc.ca/web/default/files/Documents/Info%20Requests/2020/IR0526_NRCCan_COVID19_update_2_request_e.pdf" TargetMode="External"/><Relationship Id="rId21" Type="http://schemas.openxmlformats.org/officeDocument/2006/relationships/hyperlink" Target="https://www.pbo-dpb.gc.ca/web/default/files/Documents/Info%20Requests/2020/IR0526_NRCCan_COVID19_update_2_request_e.pdf" TargetMode="External"/><Relationship Id="rId7" Type="http://schemas.openxmlformats.org/officeDocument/2006/relationships/hyperlink" Target="https://www.pbo-dpb.gc.ca/web/default/files/Documents/Info%20Requests/2020/IR0524_ISED_COVID19_update_2_request_e.pdf" TargetMode="External"/><Relationship Id="rId12" Type="http://schemas.openxmlformats.org/officeDocument/2006/relationships/hyperlink" Target="https://www.pbo-dpb.gc.ca/web/default/files/Documents/Info%20Requests/2020/IR0564_ESDC_COVID-19_Measures_T_request_e.pdf" TargetMode="External"/><Relationship Id="rId17" Type="http://schemas.openxmlformats.org/officeDocument/2006/relationships/hyperlink" Target="http://gazette.gc.ca/rp-pr/p2/2020/2020-08-19/html/sor-dors173-eng.html" TargetMode="External"/><Relationship Id="rId25" Type="http://schemas.openxmlformats.org/officeDocument/2006/relationships/printerSettings" Target="../printerSettings/printerSettings5.bin"/><Relationship Id="rId2" Type="http://schemas.openxmlformats.org/officeDocument/2006/relationships/hyperlink" Target="https://www.pbo-dpb.gc.ca/web/default/files/Documents/Info%20Requests/2020/IR0522_ISEDC_Granting_Councils_COVID19_request_e.pdf" TargetMode="External"/><Relationship Id="rId16" Type="http://schemas.openxmlformats.org/officeDocument/2006/relationships/hyperlink" Target="https://www.pbo-dpb.gc.ca/web/default/files/Documents/Info%20Requests/2020/IR0524_ISED_COVID19_update_2_request_e.pdf" TargetMode="External"/><Relationship Id="rId20" Type="http://schemas.openxmlformats.org/officeDocument/2006/relationships/hyperlink" Target="https://www.pbo-dpb.gc.ca/web/default/files/Documents/Info%20Requests/2020/IR0526_NRCCan_COVID19_update_2_request_e.pdf" TargetMode="External"/><Relationship Id="rId1" Type="http://schemas.openxmlformats.org/officeDocument/2006/relationships/hyperlink" Target="https://www.pbo-dpb.gc.ca/web/default/files/Documents/Info%20Requests/2020/IR0528_PHAC_COVID19_update_request_e.pdf" TargetMode="External"/><Relationship Id="rId6" Type="http://schemas.openxmlformats.org/officeDocument/2006/relationships/hyperlink" Target="https://www.pbo-dpb.gc.ca/web/default/files/Documents/Info%20Requests/2020/IR0526_NRCCan_COVID19_update_2_request_e.pdf" TargetMode="External"/><Relationship Id="rId11" Type="http://schemas.openxmlformats.org/officeDocument/2006/relationships/hyperlink" Target="https://www.pbo-dpb.gc.ca/web/default/files/Documents/Info%20Requests/2020/IR0562_CCOHS_COVID-19_Measures_request_e.pdf" TargetMode="External"/><Relationship Id="rId24" Type="http://schemas.openxmlformats.org/officeDocument/2006/relationships/hyperlink" Target="https://www.pbo-dpb.gc.ca/web/default/files/Documents/Info%20Requests/2020/IR0561_SSC_COVID-19_Measures_request_e.pdf" TargetMode="External"/><Relationship Id="rId5" Type="http://schemas.openxmlformats.org/officeDocument/2006/relationships/hyperlink" Target="https://www.pbo-dpb.gc.ca/web/default/files/Documents/Info%20Requests/2020/IR0519_TC_Fed-Bridge-corp_COVID-19_request_e.pdf" TargetMode="External"/><Relationship Id="rId15" Type="http://schemas.openxmlformats.org/officeDocument/2006/relationships/hyperlink" Target="https://www.canada.ca/en/employment-social-development/services/work-sharing/statistics.html" TargetMode="External"/><Relationship Id="rId23" Type="http://schemas.openxmlformats.org/officeDocument/2006/relationships/hyperlink" Target="https://www.pbo-dpb.gc.ca/web/default/files/Documents/Info%20Requests/2020/IR0523_ISC_COVID19_update_2_request_e.pdf" TargetMode="External"/><Relationship Id="rId10" Type="http://schemas.openxmlformats.org/officeDocument/2006/relationships/hyperlink" Target="https://www.pbo-dpb.gc.ca/web/default/files/Documents/Info%20Requests/2020/IR0561_SSC_COVID-19_Measures_request_e.pdf" TargetMode="External"/><Relationship Id="rId19" Type="http://schemas.openxmlformats.org/officeDocument/2006/relationships/hyperlink" Target="https://www.pbo-dpb.gc.ca/web/default/files/Documents/Info%20Requests/2020/IR0519_TC_Fed-Bridge-corp_COVID-19_request_e.pdf" TargetMode="External"/><Relationship Id="rId4" Type="http://schemas.openxmlformats.org/officeDocument/2006/relationships/hyperlink" Target="https://www.pbo-dpb.gc.ca/web/default/files/Documents/Info%20Requests/2020/IR0524_ISED_COVID19_update_2_request_e.pdf" TargetMode="External"/><Relationship Id="rId9" Type="http://schemas.openxmlformats.org/officeDocument/2006/relationships/hyperlink" Target="https://www.pbo-dpb.gc.ca/web/default/files/Documents/Info%20Requests/2020/IR0548_Des-Can_COVID-19_Measures_request_e.pdf" TargetMode="External"/><Relationship Id="rId14" Type="http://schemas.openxmlformats.org/officeDocument/2006/relationships/hyperlink" Target="https://www.pbo-dpb.gc.ca/web/default/files/Documents/Info%20Requests/2020/IR0483_ESDC_COVID-19_ltr_e.pdf" TargetMode="External"/><Relationship Id="rId22" Type="http://schemas.openxmlformats.org/officeDocument/2006/relationships/hyperlink" Target="https://www.pbo-dpb.gc.ca/web/default/files/Documents/Info%20Requests/2020/IR0524_ISED_COVID19_update_2_request_e.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436C36-EE25-43D8-8250-29CBD7B14DB0}">
  <dimension ref="A1:B31"/>
  <sheetViews>
    <sheetView showGridLines="0" tabSelected="1" zoomScale="80" zoomScaleNormal="80" workbookViewId="0"/>
  </sheetViews>
  <sheetFormatPr defaultRowHeight="14.25" x14ac:dyDescent="0.45"/>
  <cols>
    <col min="1" max="1" width="31.265625" customWidth="1"/>
    <col min="2" max="2" width="28.1328125" customWidth="1"/>
  </cols>
  <sheetData>
    <row r="1" spans="1:1" ht="18" x14ac:dyDescent="0.55000000000000004">
      <c r="A1" s="14" t="s">
        <v>48</v>
      </c>
    </row>
    <row r="2" spans="1:1" x14ac:dyDescent="0.45">
      <c r="A2" t="s">
        <v>49</v>
      </c>
    </row>
    <row r="3" spans="1:1" x14ac:dyDescent="0.45">
      <c r="A3" t="s">
        <v>50</v>
      </c>
    </row>
    <row r="5" spans="1:1" ht="15.75" x14ac:dyDescent="0.5">
      <c r="A5" s="15" t="s">
        <v>51</v>
      </c>
    </row>
    <row r="6" spans="1:1" x14ac:dyDescent="0.45">
      <c r="A6" t="s">
        <v>52</v>
      </c>
    </row>
    <row r="7" spans="1:1" x14ac:dyDescent="0.45">
      <c r="A7" t="s">
        <v>433</v>
      </c>
    </row>
    <row r="8" spans="1:1" s="57" customFormat="1" x14ac:dyDescent="0.45">
      <c r="A8" s="57" t="s">
        <v>432</v>
      </c>
    </row>
    <row r="10" spans="1:1" ht="15.75" x14ac:dyDescent="0.5">
      <c r="A10" s="15" t="s">
        <v>53</v>
      </c>
    </row>
    <row r="11" spans="1:1" x14ac:dyDescent="0.45">
      <c r="A11" t="s">
        <v>389</v>
      </c>
    </row>
    <row r="12" spans="1:1" x14ac:dyDescent="0.45">
      <c r="A12" s="16" t="s">
        <v>0</v>
      </c>
    </row>
    <row r="13" spans="1:1" x14ac:dyDescent="0.45">
      <c r="A13" s="16" t="s">
        <v>54</v>
      </c>
    </row>
    <row r="14" spans="1:1" x14ac:dyDescent="0.45">
      <c r="A14" s="16" t="s">
        <v>55</v>
      </c>
    </row>
    <row r="15" spans="1:1" x14ac:dyDescent="0.45">
      <c r="A15" s="16" t="s">
        <v>56</v>
      </c>
    </row>
    <row r="16" spans="1:1" x14ac:dyDescent="0.45">
      <c r="A16" t="s">
        <v>390</v>
      </c>
    </row>
    <row r="17" spans="1:2" x14ac:dyDescent="0.45">
      <c r="A17" s="17" t="s">
        <v>391</v>
      </c>
    </row>
    <row r="19" spans="1:2" ht="15.75" x14ac:dyDescent="0.5">
      <c r="A19" s="15" t="s">
        <v>57</v>
      </c>
    </row>
    <row r="20" spans="1:2" x14ac:dyDescent="0.45">
      <c r="A20" s="18" t="s">
        <v>58</v>
      </c>
      <c r="B20" t="s">
        <v>59</v>
      </c>
    </row>
    <row r="21" spans="1:2" x14ac:dyDescent="0.45">
      <c r="A21" s="18" t="s">
        <v>60</v>
      </c>
      <c r="B21" t="s">
        <v>61</v>
      </c>
    </row>
    <row r="22" spans="1:2" x14ac:dyDescent="0.45">
      <c r="A22" s="18" t="s">
        <v>62</v>
      </c>
      <c r="B22" t="s">
        <v>468</v>
      </c>
    </row>
    <row r="23" spans="1:2" x14ac:dyDescent="0.45">
      <c r="A23" s="18" t="s">
        <v>63</v>
      </c>
      <c r="B23" t="s">
        <v>64</v>
      </c>
    </row>
    <row r="24" spans="1:2" x14ac:dyDescent="0.45">
      <c r="A24" s="18" t="s">
        <v>65</v>
      </c>
      <c r="B24" t="s">
        <v>66</v>
      </c>
    </row>
    <row r="25" spans="1:2" x14ac:dyDescent="0.45">
      <c r="A25" s="18" t="s">
        <v>470</v>
      </c>
      <c r="B25" t="s">
        <v>469</v>
      </c>
    </row>
    <row r="27" spans="1:2" ht="15.75" x14ac:dyDescent="0.5">
      <c r="A27" s="19" t="s">
        <v>67</v>
      </c>
    </row>
    <row r="28" spans="1:2" x14ac:dyDescent="0.45">
      <c r="A28" t="s">
        <v>397</v>
      </c>
    </row>
    <row r="29" spans="1:2" x14ac:dyDescent="0.45">
      <c r="A29" t="s">
        <v>68</v>
      </c>
    </row>
    <row r="30" spans="1:2" x14ac:dyDescent="0.45">
      <c r="A30" t="s">
        <v>69</v>
      </c>
    </row>
    <row r="31" spans="1:2" x14ac:dyDescent="0.45">
      <c r="A31" s="57" t="s">
        <v>515</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45D10-9AB8-4325-AD5F-3B928F1D6749}">
  <sheetPr>
    <tabColor theme="4"/>
  </sheetPr>
  <dimension ref="A1:L185"/>
  <sheetViews>
    <sheetView showGridLines="0" zoomScale="70" zoomScaleNormal="70" workbookViewId="0"/>
  </sheetViews>
  <sheetFormatPr defaultRowHeight="14.25" x14ac:dyDescent="0.45"/>
  <cols>
    <col min="1" max="1" width="68.73046875" bestFit="1" customWidth="1"/>
    <col min="2" max="2" width="42.73046875" style="57" bestFit="1" customWidth="1"/>
    <col min="3" max="3" width="26.1328125" bestFit="1" customWidth="1"/>
    <col min="4" max="4" width="40.265625" customWidth="1"/>
    <col min="5" max="5" width="26.86328125" bestFit="1" customWidth="1"/>
    <col min="6" max="6" width="57.59765625" style="57" customWidth="1"/>
    <col min="7" max="7" width="35.265625" bestFit="1" customWidth="1"/>
    <col min="8" max="8" width="17" customWidth="1"/>
    <col min="9" max="9" width="13.73046875" bestFit="1" customWidth="1"/>
    <col min="10" max="10" width="20.86328125" customWidth="1"/>
    <col min="11" max="11" width="40.1328125" customWidth="1"/>
    <col min="12" max="12" width="20.1328125" customWidth="1"/>
  </cols>
  <sheetData>
    <row r="1" spans="1:12" x14ac:dyDescent="0.45">
      <c r="A1" s="2" t="s">
        <v>0</v>
      </c>
      <c r="B1" s="2"/>
    </row>
    <row r="2" spans="1:12" ht="14.65" thickBot="1" x14ac:dyDescent="0.5">
      <c r="A2" s="1"/>
      <c r="B2" s="1"/>
    </row>
    <row r="3" spans="1:12" ht="15.75" x14ac:dyDescent="0.45">
      <c r="A3" s="3" t="s">
        <v>0</v>
      </c>
      <c r="B3" s="79" t="s">
        <v>441</v>
      </c>
      <c r="C3" s="4" t="s">
        <v>518</v>
      </c>
      <c r="D3" s="4" t="s">
        <v>1</v>
      </c>
      <c r="E3" s="4" t="s">
        <v>2</v>
      </c>
      <c r="F3" s="31" t="s">
        <v>388</v>
      </c>
      <c r="G3" s="4" t="s">
        <v>3</v>
      </c>
      <c r="H3" s="5" t="s">
        <v>4</v>
      </c>
      <c r="I3" s="5" t="s">
        <v>5</v>
      </c>
      <c r="J3" s="5" t="s">
        <v>6</v>
      </c>
      <c r="K3" s="5" t="s">
        <v>7</v>
      </c>
      <c r="L3" s="6" t="s">
        <v>8</v>
      </c>
    </row>
    <row r="4" spans="1:12" ht="42.75" x14ac:dyDescent="0.45">
      <c r="A4" s="264" t="s">
        <v>9</v>
      </c>
      <c r="B4" s="252">
        <f>14000+4809</f>
        <v>18809</v>
      </c>
      <c r="C4" s="136" t="s">
        <v>10</v>
      </c>
      <c r="D4" s="126" t="s">
        <v>11</v>
      </c>
      <c r="E4" s="124" t="s">
        <v>12</v>
      </c>
      <c r="F4" s="126" t="s">
        <v>415</v>
      </c>
      <c r="G4" s="176">
        <v>1.2</v>
      </c>
      <c r="H4" s="265" t="s">
        <v>13</v>
      </c>
      <c r="I4" s="274" t="s">
        <v>14</v>
      </c>
      <c r="J4" s="265" t="s">
        <v>21</v>
      </c>
      <c r="K4" s="295" t="s">
        <v>458</v>
      </c>
      <c r="L4" s="280">
        <v>44201</v>
      </c>
    </row>
    <row r="5" spans="1:12" s="57" customFormat="1" x14ac:dyDescent="0.45">
      <c r="A5" s="264"/>
      <c r="B5" s="253"/>
      <c r="C5" s="124" t="s">
        <v>520</v>
      </c>
      <c r="D5" s="63" t="s">
        <v>11</v>
      </c>
      <c r="E5" s="124" t="s">
        <v>18</v>
      </c>
      <c r="F5" s="126" t="s">
        <v>122</v>
      </c>
      <c r="G5" s="176">
        <v>2.5</v>
      </c>
      <c r="H5" s="266"/>
      <c r="I5" s="275"/>
      <c r="J5" s="266"/>
      <c r="K5" s="322"/>
      <c r="L5" s="281"/>
    </row>
    <row r="6" spans="1:12" s="57" customFormat="1" x14ac:dyDescent="0.45">
      <c r="A6" s="264"/>
      <c r="B6" s="253"/>
      <c r="C6" s="124" t="s">
        <v>520</v>
      </c>
      <c r="D6" s="63" t="s">
        <v>22</v>
      </c>
      <c r="E6" s="124" t="s">
        <v>18</v>
      </c>
      <c r="F6" s="126" t="s">
        <v>122</v>
      </c>
      <c r="G6" s="176">
        <v>-2.5</v>
      </c>
      <c r="H6" s="267"/>
      <c r="I6" s="276"/>
      <c r="J6" s="267"/>
      <c r="K6" s="296"/>
      <c r="L6" s="282"/>
    </row>
    <row r="7" spans="1:12" ht="42.75" x14ac:dyDescent="0.45">
      <c r="A7" s="264"/>
      <c r="B7" s="246"/>
      <c r="C7" s="136" t="s">
        <v>10</v>
      </c>
      <c r="D7" s="126" t="s">
        <v>16</v>
      </c>
      <c r="E7" s="124" t="s">
        <v>12</v>
      </c>
      <c r="F7" s="126" t="s">
        <v>415</v>
      </c>
      <c r="G7" s="176">
        <v>12276.726000000001</v>
      </c>
      <c r="H7" s="288" t="s">
        <v>13</v>
      </c>
      <c r="I7" s="240" t="s">
        <v>17</v>
      </c>
      <c r="J7" s="303" t="s">
        <v>21</v>
      </c>
      <c r="K7" s="297" t="s">
        <v>411</v>
      </c>
      <c r="L7" s="290">
        <v>44154</v>
      </c>
    </row>
    <row r="8" spans="1:12" x14ac:dyDescent="0.45">
      <c r="A8" s="264"/>
      <c r="B8" s="246"/>
      <c r="C8" s="136" t="s">
        <v>10</v>
      </c>
      <c r="D8" s="144" t="s">
        <v>16</v>
      </c>
      <c r="E8" s="124" t="s">
        <v>18</v>
      </c>
      <c r="F8" s="114" t="s">
        <v>122</v>
      </c>
      <c r="G8" s="176">
        <v>700</v>
      </c>
      <c r="H8" s="288"/>
      <c r="I8" s="240"/>
      <c r="J8" s="303"/>
      <c r="K8" s="297"/>
      <c r="L8" s="291"/>
    </row>
    <row r="9" spans="1:12" ht="42.75" x14ac:dyDescent="0.45">
      <c r="A9" s="264"/>
      <c r="B9" s="246"/>
      <c r="C9" s="136" t="s">
        <v>10</v>
      </c>
      <c r="D9" s="126" t="s">
        <v>19</v>
      </c>
      <c r="E9" s="124" t="s">
        <v>12</v>
      </c>
      <c r="F9" s="126" t="s">
        <v>415</v>
      </c>
      <c r="G9" s="176">
        <v>622.26666599999999</v>
      </c>
      <c r="H9" s="265" t="s">
        <v>13</v>
      </c>
      <c r="I9" s="274" t="s">
        <v>20</v>
      </c>
      <c r="J9" s="265" t="s">
        <v>21</v>
      </c>
      <c r="K9" s="293" t="s">
        <v>563</v>
      </c>
      <c r="L9" s="280">
        <v>44227</v>
      </c>
    </row>
    <row r="10" spans="1:12" s="57" customFormat="1" x14ac:dyDescent="0.45">
      <c r="A10" s="264"/>
      <c r="B10" s="246"/>
      <c r="C10" s="136" t="s">
        <v>10</v>
      </c>
      <c r="D10" s="126" t="s">
        <v>19</v>
      </c>
      <c r="E10" s="124" t="s">
        <v>18</v>
      </c>
      <c r="F10" s="114" t="s">
        <v>122</v>
      </c>
      <c r="G10" s="176">
        <v>320.13333399999999</v>
      </c>
      <c r="H10" s="266"/>
      <c r="I10" s="275"/>
      <c r="J10" s="266"/>
      <c r="K10" s="306"/>
      <c r="L10" s="281"/>
    </row>
    <row r="11" spans="1:12" s="57" customFormat="1" ht="42.75" x14ac:dyDescent="0.45">
      <c r="A11" s="264"/>
      <c r="B11" s="246"/>
      <c r="C11" s="136" t="s">
        <v>520</v>
      </c>
      <c r="D11" s="126" t="s">
        <v>19</v>
      </c>
      <c r="E11" s="124" t="s">
        <v>12</v>
      </c>
      <c r="F11" s="126" t="s">
        <v>415</v>
      </c>
      <c r="G11" s="177">
        <v>-522.88831300000004</v>
      </c>
      <c r="H11" s="266"/>
      <c r="I11" s="275"/>
      <c r="J11" s="266"/>
      <c r="K11" s="306"/>
      <c r="L11" s="281"/>
    </row>
    <row r="12" spans="1:12" s="57" customFormat="1" x14ac:dyDescent="0.45">
      <c r="A12" s="264"/>
      <c r="B12" s="246"/>
      <c r="C12" s="136" t="s">
        <v>520</v>
      </c>
      <c r="D12" s="126" t="s">
        <v>19</v>
      </c>
      <c r="E12" s="124" t="s">
        <v>18</v>
      </c>
      <c r="F12" s="114" t="s">
        <v>122</v>
      </c>
      <c r="G12" s="177">
        <f>504.570313+18.248+0.07</f>
        <v>522.88831300000004</v>
      </c>
      <c r="H12" s="266"/>
      <c r="I12" s="275"/>
      <c r="J12" s="266"/>
      <c r="K12" s="306"/>
      <c r="L12" s="281"/>
    </row>
    <row r="13" spans="1:12" ht="42.75" x14ac:dyDescent="0.45">
      <c r="A13" s="264"/>
      <c r="B13" s="246"/>
      <c r="C13" s="136" t="s">
        <v>10</v>
      </c>
      <c r="D13" s="126" t="s">
        <v>19</v>
      </c>
      <c r="E13" s="124" t="s">
        <v>12</v>
      </c>
      <c r="F13" s="126" t="s">
        <v>415</v>
      </c>
      <c r="G13" s="176">
        <v>3347.0251779999999</v>
      </c>
      <c r="H13" s="266"/>
      <c r="I13" s="275"/>
      <c r="J13" s="266"/>
      <c r="K13" s="306"/>
      <c r="L13" s="281"/>
    </row>
    <row r="14" spans="1:12" s="57" customFormat="1" x14ac:dyDescent="0.45">
      <c r="A14" s="264"/>
      <c r="B14" s="246"/>
      <c r="C14" s="136" t="s">
        <v>10</v>
      </c>
      <c r="D14" s="126" t="s">
        <v>19</v>
      </c>
      <c r="E14" s="124" t="s">
        <v>18</v>
      </c>
      <c r="F14" s="114" t="s">
        <v>122</v>
      </c>
      <c r="G14" s="176">
        <v>2202.8748220000002</v>
      </c>
      <c r="H14" s="266"/>
      <c r="I14" s="275"/>
      <c r="J14" s="266"/>
      <c r="K14" s="306"/>
      <c r="L14" s="281"/>
    </row>
    <row r="15" spans="1:12" s="57" customFormat="1" ht="42.75" x14ac:dyDescent="0.45">
      <c r="A15" s="264"/>
      <c r="B15" s="246"/>
      <c r="C15" s="136" t="s">
        <v>520</v>
      </c>
      <c r="D15" s="126" t="s">
        <v>19</v>
      </c>
      <c r="E15" s="124" t="s">
        <v>12</v>
      </c>
      <c r="F15" s="126" t="s">
        <v>415</v>
      </c>
      <c r="G15" s="177">
        <v>-1722.2837</v>
      </c>
      <c r="H15" s="266"/>
      <c r="I15" s="275"/>
      <c r="J15" s="266"/>
      <c r="K15" s="306"/>
      <c r="L15" s="281"/>
    </row>
    <row r="16" spans="1:12" s="57" customFormat="1" x14ac:dyDescent="0.45">
      <c r="A16" s="264"/>
      <c r="B16" s="246"/>
      <c r="C16" s="136" t="s">
        <v>520</v>
      </c>
      <c r="D16" s="126" t="s">
        <v>19</v>
      </c>
      <c r="E16" s="124" t="s">
        <v>18</v>
      </c>
      <c r="F16" s="126" t="s">
        <v>122</v>
      </c>
      <c r="G16" s="177">
        <v>1722.2837</v>
      </c>
      <c r="H16" s="266"/>
      <c r="I16" s="275"/>
      <c r="J16" s="266"/>
      <c r="K16" s="294"/>
      <c r="L16" s="281"/>
    </row>
    <row r="17" spans="1:12" ht="42.75" x14ac:dyDescent="0.45">
      <c r="A17" s="264"/>
      <c r="B17" s="246"/>
      <c r="C17" s="136" t="s">
        <v>10</v>
      </c>
      <c r="D17" s="126" t="s">
        <v>22</v>
      </c>
      <c r="E17" s="124" t="s">
        <v>12</v>
      </c>
      <c r="F17" s="126" t="s">
        <v>416</v>
      </c>
      <c r="G17" s="176">
        <v>18.5</v>
      </c>
      <c r="H17" s="265" t="s">
        <v>13</v>
      </c>
      <c r="I17" s="274" t="s">
        <v>23</v>
      </c>
      <c r="J17" s="293" t="s">
        <v>21</v>
      </c>
      <c r="K17" s="295" t="s">
        <v>506</v>
      </c>
      <c r="L17" s="237">
        <v>44166</v>
      </c>
    </row>
    <row r="18" spans="1:12" x14ac:dyDescent="0.45">
      <c r="A18" s="264"/>
      <c r="B18" s="246"/>
      <c r="C18" s="136" t="s">
        <v>10</v>
      </c>
      <c r="D18" s="126" t="s">
        <v>22</v>
      </c>
      <c r="E18" s="124" t="s">
        <v>18</v>
      </c>
      <c r="F18" s="114" t="s">
        <v>122</v>
      </c>
      <c r="G18" s="176">
        <f>202.625+112.426062</f>
        <v>315.051062</v>
      </c>
      <c r="H18" s="266"/>
      <c r="I18" s="275"/>
      <c r="J18" s="306"/>
      <c r="K18" s="322"/>
      <c r="L18" s="261"/>
    </row>
    <row r="19" spans="1:12" s="57" customFormat="1" ht="42.75" x14ac:dyDescent="0.45">
      <c r="A19" s="264"/>
      <c r="B19" s="246"/>
      <c r="C19" s="136" t="s">
        <v>520</v>
      </c>
      <c r="D19" s="126" t="s">
        <v>22</v>
      </c>
      <c r="E19" s="124" t="s">
        <v>12</v>
      </c>
      <c r="F19" s="126" t="s">
        <v>416</v>
      </c>
      <c r="G19" s="177">
        <v>-16.448232999999998</v>
      </c>
      <c r="H19" s="266"/>
      <c r="I19" s="275"/>
      <c r="J19" s="306"/>
      <c r="K19" s="322"/>
      <c r="L19" s="261"/>
    </row>
    <row r="20" spans="1:12" s="57" customFormat="1" x14ac:dyDescent="0.45">
      <c r="A20" s="264"/>
      <c r="B20" s="246"/>
      <c r="C20" s="136" t="s">
        <v>520</v>
      </c>
      <c r="D20" s="126" t="s">
        <v>22</v>
      </c>
      <c r="E20" s="124" t="s">
        <v>18</v>
      </c>
      <c r="F20" s="114" t="s">
        <v>122</v>
      </c>
      <c r="G20" s="177">
        <v>16.448232999999998</v>
      </c>
      <c r="H20" s="267"/>
      <c r="I20" s="276"/>
      <c r="J20" s="294"/>
      <c r="K20" s="296"/>
      <c r="L20" s="238"/>
    </row>
    <row r="21" spans="1:12" ht="42.75" x14ac:dyDescent="0.45">
      <c r="A21" s="264"/>
      <c r="B21" s="246"/>
      <c r="C21" s="136" t="s">
        <v>10</v>
      </c>
      <c r="D21" s="126" t="s">
        <v>24</v>
      </c>
      <c r="E21" s="124" t="s">
        <v>12</v>
      </c>
      <c r="F21" s="126" t="s">
        <v>415</v>
      </c>
      <c r="G21" s="176">
        <v>100</v>
      </c>
      <c r="H21" s="288" t="s">
        <v>13</v>
      </c>
      <c r="I21" s="240" t="s">
        <v>25</v>
      </c>
      <c r="J21" s="303" t="s">
        <v>21</v>
      </c>
      <c r="K21" s="289" t="s">
        <v>498</v>
      </c>
      <c r="L21" s="286">
        <v>44135</v>
      </c>
    </row>
    <row r="22" spans="1:12" s="57" customFormat="1" ht="28.5" x14ac:dyDescent="0.45">
      <c r="A22" s="264"/>
      <c r="B22" s="246"/>
      <c r="C22" s="124" t="s">
        <v>10</v>
      </c>
      <c r="D22" s="126" t="s">
        <v>24</v>
      </c>
      <c r="E22" s="124" t="s">
        <v>18</v>
      </c>
      <c r="F22" s="114" t="s">
        <v>122</v>
      </c>
      <c r="G22" s="176">
        <v>400</v>
      </c>
      <c r="H22" s="288"/>
      <c r="I22" s="240"/>
      <c r="J22" s="303"/>
      <c r="K22" s="289"/>
      <c r="L22" s="286"/>
    </row>
    <row r="23" spans="1:12" s="57" customFormat="1" ht="42.75" x14ac:dyDescent="0.45">
      <c r="A23" s="264"/>
      <c r="B23" s="246"/>
      <c r="C23" s="136" t="s">
        <v>520</v>
      </c>
      <c r="D23" s="126" t="s">
        <v>24</v>
      </c>
      <c r="E23" s="124" t="s">
        <v>12</v>
      </c>
      <c r="F23" s="126" t="s">
        <v>415</v>
      </c>
      <c r="G23" s="177">
        <v>-379.99461200000002</v>
      </c>
      <c r="H23" s="288"/>
      <c r="I23" s="240"/>
      <c r="J23" s="303"/>
      <c r="K23" s="289"/>
      <c r="L23" s="286"/>
    </row>
    <row r="24" spans="1:12" ht="28.5" x14ac:dyDescent="0.45">
      <c r="A24" s="264"/>
      <c r="B24" s="234"/>
      <c r="C24" s="136" t="s">
        <v>520</v>
      </c>
      <c r="D24" s="126" t="s">
        <v>24</v>
      </c>
      <c r="E24" s="124" t="s">
        <v>18</v>
      </c>
      <c r="F24" s="73" t="s">
        <v>122</v>
      </c>
      <c r="G24" s="176">
        <v>379.99461200000002</v>
      </c>
      <c r="H24" s="288"/>
      <c r="I24" s="240"/>
      <c r="J24" s="303"/>
      <c r="K24" s="289"/>
      <c r="L24" s="285"/>
    </row>
    <row r="25" spans="1:12" ht="28.5" x14ac:dyDescent="0.45">
      <c r="A25" s="264" t="s">
        <v>26</v>
      </c>
      <c r="B25" s="252">
        <v>2000</v>
      </c>
      <c r="C25" s="124" t="s">
        <v>10</v>
      </c>
      <c r="D25" s="126" t="s">
        <v>16</v>
      </c>
      <c r="E25" s="124" t="s">
        <v>12</v>
      </c>
      <c r="F25" s="126" t="s">
        <v>413</v>
      </c>
      <c r="G25" s="176">
        <v>1000</v>
      </c>
      <c r="H25" s="287" t="s">
        <v>13</v>
      </c>
      <c r="I25" s="255" t="s">
        <v>17</v>
      </c>
      <c r="J25" s="283" t="s">
        <v>21</v>
      </c>
      <c r="K25" s="242" t="s">
        <v>571</v>
      </c>
      <c r="L25" s="286">
        <v>44228</v>
      </c>
    </row>
    <row r="26" spans="1:12" x14ac:dyDescent="0.45">
      <c r="A26" s="264"/>
      <c r="B26" s="234"/>
      <c r="C26" s="124" t="s">
        <v>10</v>
      </c>
      <c r="D26" s="126" t="s">
        <v>16</v>
      </c>
      <c r="E26" s="124" t="s">
        <v>18</v>
      </c>
      <c r="F26" s="126" t="s">
        <v>122</v>
      </c>
      <c r="G26" s="176">
        <v>1000</v>
      </c>
      <c r="H26" s="287"/>
      <c r="I26" s="255"/>
      <c r="J26" s="283"/>
      <c r="K26" s="242"/>
      <c r="L26" s="285"/>
    </row>
    <row r="27" spans="1:12" ht="28.5" x14ac:dyDescent="0.45">
      <c r="A27" s="243" t="s">
        <v>27</v>
      </c>
      <c r="B27" s="233">
        <f>115+65</f>
        <v>180</v>
      </c>
      <c r="C27" s="136" t="s">
        <v>28</v>
      </c>
      <c r="D27" s="126" t="s">
        <v>29</v>
      </c>
      <c r="E27" s="124" t="s">
        <v>12</v>
      </c>
      <c r="F27" s="126" t="s">
        <v>413</v>
      </c>
      <c r="G27" s="176">
        <v>25</v>
      </c>
      <c r="H27" s="288" t="s">
        <v>13</v>
      </c>
      <c r="I27" s="240" t="s">
        <v>30</v>
      </c>
      <c r="J27" s="288" t="s">
        <v>21</v>
      </c>
      <c r="K27" s="148" t="s">
        <v>31</v>
      </c>
      <c r="L27" s="99"/>
    </row>
    <row r="28" spans="1:12" ht="28.5" x14ac:dyDescent="0.45">
      <c r="A28" s="244"/>
      <c r="B28" s="246"/>
      <c r="C28" s="136" t="s">
        <v>28</v>
      </c>
      <c r="D28" s="126" t="s">
        <v>29</v>
      </c>
      <c r="E28" s="124" t="s">
        <v>12</v>
      </c>
      <c r="F28" s="126" t="s">
        <v>413</v>
      </c>
      <c r="G28" s="176">
        <v>17.3</v>
      </c>
      <c r="H28" s="288"/>
      <c r="I28" s="240"/>
      <c r="J28" s="288"/>
      <c r="K28" s="297" t="s">
        <v>32</v>
      </c>
      <c r="L28" s="290">
        <v>43982</v>
      </c>
    </row>
    <row r="29" spans="1:12" ht="28.5" x14ac:dyDescent="0.45">
      <c r="A29" s="244"/>
      <c r="B29" s="246"/>
      <c r="C29" s="136" t="s">
        <v>28</v>
      </c>
      <c r="D29" s="126" t="s">
        <v>29</v>
      </c>
      <c r="E29" s="124" t="s">
        <v>12</v>
      </c>
      <c r="F29" s="126" t="s">
        <v>413</v>
      </c>
      <c r="G29" s="176">
        <v>72.599999999999994</v>
      </c>
      <c r="H29" s="288"/>
      <c r="I29" s="240"/>
      <c r="J29" s="288"/>
      <c r="K29" s="297"/>
      <c r="L29" s="291"/>
    </row>
    <row r="30" spans="1:12" s="57" customFormat="1" ht="28.5" x14ac:dyDescent="0.45">
      <c r="A30" s="245"/>
      <c r="B30" s="234"/>
      <c r="C30" s="136" t="s">
        <v>520</v>
      </c>
      <c r="D30" s="126" t="s">
        <v>29</v>
      </c>
      <c r="E30" s="124" t="s">
        <v>18</v>
      </c>
      <c r="F30" s="126" t="s">
        <v>122</v>
      </c>
      <c r="G30" s="176">
        <v>64.7</v>
      </c>
      <c r="H30" s="136" t="s">
        <v>434</v>
      </c>
      <c r="I30" s="131"/>
      <c r="J30" s="136"/>
      <c r="K30" s="148"/>
      <c r="L30" s="149"/>
    </row>
    <row r="31" spans="1:12" x14ac:dyDescent="0.45">
      <c r="A31" s="120" t="s">
        <v>33</v>
      </c>
      <c r="B31" s="85">
        <v>115</v>
      </c>
      <c r="C31" s="124" t="s">
        <v>10</v>
      </c>
      <c r="D31" s="126" t="s">
        <v>34</v>
      </c>
      <c r="E31" s="124" t="s">
        <v>18</v>
      </c>
      <c r="F31" s="126" t="s">
        <v>122</v>
      </c>
      <c r="G31" s="176">
        <f>115.782133</f>
        <v>115.782133</v>
      </c>
      <c r="H31" s="124" t="s">
        <v>13</v>
      </c>
      <c r="I31" s="125" t="s">
        <v>35</v>
      </c>
      <c r="J31" s="124" t="s">
        <v>15</v>
      </c>
      <c r="K31" s="127"/>
      <c r="L31" s="129"/>
    </row>
    <row r="32" spans="1:12" ht="28.5" x14ac:dyDescent="0.45">
      <c r="A32" s="313" t="s">
        <v>36</v>
      </c>
      <c r="B32" s="316">
        <f>305+380+380</f>
        <v>1065</v>
      </c>
      <c r="C32" s="124" t="s">
        <v>28</v>
      </c>
      <c r="D32" s="126" t="s">
        <v>37</v>
      </c>
      <c r="E32" s="124" t="s">
        <v>12</v>
      </c>
      <c r="F32" s="126" t="s">
        <v>413</v>
      </c>
      <c r="G32" s="176">
        <v>305</v>
      </c>
      <c r="H32" s="229" t="s">
        <v>13</v>
      </c>
      <c r="I32" s="231" t="s">
        <v>38</v>
      </c>
      <c r="J32" s="233" t="s">
        <v>21</v>
      </c>
      <c r="K32" s="249" t="s">
        <v>39</v>
      </c>
      <c r="L32" s="226">
        <v>43983</v>
      </c>
    </row>
    <row r="33" spans="1:12" ht="28.5" x14ac:dyDescent="0.45">
      <c r="A33" s="314"/>
      <c r="B33" s="317"/>
      <c r="C33" s="124" t="s">
        <v>28</v>
      </c>
      <c r="D33" s="126" t="s">
        <v>37</v>
      </c>
      <c r="E33" s="124" t="s">
        <v>12</v>
      </c>
      <c r="F33" s="126" t="s">
        <v>413</v>
      </c>
      <c r="G33" s="176">
        <v>75</v>
      </c>
      <c r="H33" s="247"/>
      <c r="I33" s="248"/>
      <c r="J33" s="246"/>
      <c r="K33" s="250"/>
      <c r="L33" s="227"/>
    </row>
    <row r="34" spans="1:12" x14ac:dyDescent="0.45">
      <c r="A34" s="314"/>
      <c r="B34" s="317"/>
      <c r="C34" s="124" t="s">
        <v>10</v>
      </c>
      <c r="D34" s="126" t="s">
        <v>37</v>
      </c>
      <c r="E34" s="124" t="s">
        <v>12</v>
      </c>
      <c r="F34" s="175"/>
      <c r="G34" s="176">
        <v>305</v>
      </c>
      <c r="H34" s="247"/>
      <c r="I34" s="248"/>
      <c r="J34" s="246"/>
      <c r="K34" s="250"/>
      <c r="L34" s="227"/>
    </row>
    <row r="35" spans="1:12" s="57" customFormat="1" ht="42.75" x14ac:dyDescent="0.45">
      <c r="A35" s="314"/>
      <c r="B35" s="317"/>
      <c r="C35" s="124" t="s">
        <v>520</v>
      </c>
      <c r="D35" s="126" t="s">
        <v>37</v>
      </c>
      <c r="E35" s="124" t="s">
        <v>12</v>
      </c>
      <c r="F35" s="126" t="s">
        <v>415</v>
      </c>
      <c r="G35" s="176">
        <v>-3.838641</v>
      </c>
      <c r="H35" s="247"/>
      <c r="I35" s="248"/>
      <c r="J35" s="246"/>
      <c r="K35" s="250"/>
      <c r="L35" s="227"/>
    </row>
    <row r="36" spans="1:12" s="57" customFormat="1" x14ac:dyDescent="0.45">
      <c r="A36" s="315"/>
      <c r="B36" s="318"/>
      <c r="C36" s="124" t="s">
        <v>520</v>
      </c>
      <c r="D36" s="126" t="s">
        <v>37</v>
      </c>
      <c r="E36" s="124" t="s">
        <v>18</v>
      </c>
      <c r="F36" s="126" t="s">
        <v>122</v>
      </c>
      <c r="G36" s="176">
        <v>383.838641</v>
      </c>
      <c r="H36" s="230"/>
      <c r="I36" s="232"/>
      <c r="J36" s="234"/>
      <c r="K36" s="251"/>
      <c r="L36" s="228"/>
    </row>
    <row r="37" spans="1:12" ht="28.5" x14ac:dyDescent="0.45">
      <c r="A37" s="243" t="s">
        <v>45</v>
      </c>
      <c r="B37" s="233">
        <v>205</v>
      </c>
      <c r="C37" s="124" t="s">
        <v>10</v>
      </c>
      <c r="D37" s="126" t="s">
        <v>40</v>
      </c>
      <c r="E37" s="124" t="s">
        <v>12</v>
      </c>
      <c r="F37" s="126" t="s">
        <v>417</v>
      </c>
      <c r="G37" s="176">
        <v>63.9</v>
      </c>
      <c r="H37" s="229" t="s">
        <v>13</v>
      </c>
      <c r="I37" s="231" t="s">
        <v>41</v>
      </c>
      <c r="J37" s="233" t="s">
        <v>21</v>
      </c>
      <c r="K37" s="235" t="s">
        <v>446</v>
      </c>
      <c r="L37" s="237">
        <v>44166</v>
      </c>
    </row>
    <row r="38" spans="1:12" s="57" customFormat="1" ht="28.5" x14ac:dyDescent="0.45">
      <c r="A38" s="244"/>
      <c r="B38" s="246"/>
      <c r="C38" s="124" t="s">
        <v>520</v>
      </c>
      <c r="D38" s="126" t="s">
        <v>40</v>
      </c>
      <c r="E38" s="124" t="s">
        <v>12</v>
      </c>
      <c r="F38" s="126" t="s">
        <v>417</v>
      </c>
      <c r="G38" s="213">
        <v>-0.12490999999999999</v>
      </c>
      <c r="H38" s="230"/>
      <c r="I38" s="232"/>
      <c r="J38" s="234"/>
      <c r="K38" s="236"/>
      <c r="L38" s="238"/>
    </row>
    <row r="39" spans="1:12" ht="28.5" x14ac:dyDescent="0.45">
      <c r="A39" s="244"/>
      <c r="B39" s="246"/>
      <c r="C39" s="124" t="s">
        <v>10</v>
      </c>
      <c r="D39" s="126" t="s">
        <v>42</v>
      </c>
      <c r="E39" s="124" t="s">
        <v>12</v>
      </c>
      <c r="F39" s="126" t="s">
        <v>417</v>
      </c>
      <c r="G39" s="176">
        <v>237.3</v>
      </c>
      <c r="H39" s="229" t="s">
        <v>13</v>
      </c>
      <c r="I39" s="231" t="s">
        <v>43</v>
      </c>
      <c r="J39" s="229" t="s">
        <v>205</v>
      </c>
      <c r="K39" s="235"/>
      <c r="L39" s="257"/>
    </row>
    <row r="40" spans="1:12" x14ac:dyDescent="0.45">
      <c r="A40" s="244"/>
      <c r="B40" s="246"/>
      <c r="C40" s="124" t="s">
        <v>10</v>
      </c>
      <c r="D40" s="126" t="s">
        <v>42</v>
      </c>
      <c r="E40" s="124" t="s">
        <v>18</v>
      </c>
      <c r="F40" s="156" t="s">
        <v>122</v>
      </c>
      <c r="G40" s="176">
        <v>8.1</v>
      </c>
      <c r="H40" s="247"/>
      <c r="I40" s="248"/>
      <c r="J40" s="247"/>
      <c r="K40" s="256"/>
      <c r="L40" s="258"/>
    </row>
    <row r="41" spans="1:12" s="57" customFormat="1" ht="28.5" x14ac:dyDescent="0.45">
      <c r="A41" s="244"/>
      <c r="B41" s="246"/>
      <c r="C41" s="124" t="s">
        <v>520</v>
      </c>
      <c r="D41" s="126" t="s">
        <v>42</v>
      </c>
      <c r="E41" s="124" t="s">
        <v>12</v>
      </c>
      <c r="F41" s="126" t="s">
        <v>417</v>
      </c>
      <c r="G41" s="176">
        <v>-25.795983</v>
      </c>
      <c r="H41" s="247"/>
      <c r="I41" s="248"/>
      <c r="J41" s="247"/>
      <c r="K41" s="256"/>
      <c r="L41" s="258"/>
    </row>
    <row r="42" spans="1:12" s="57" customFormat="1" x14ac:dyDescent="0.45">
      <c r="A42" s="244"/>
      <c r="B42" s="246"/>
      <c r="C42" s="124" t="s">
        <v>520</v>
      </c>
      <c r="D42" s="126" t="s">
        <v>42</v>
      </c>
      <c r="E42" s="124" t="s">
        <v>18</v>
      </c>
      <c r="F42" s="156" t="s">
        <v>122</v>
      </c>
      <c r="G42" s="176">
        <f>0.109703+23.503155</f>
        <v>23.612857999999999</v>
      </c>
      <c r="H42" s="230"/>
      <c r="I42" s="232"/>
      <c r="J42" s="230"/>
      <c r="K42" s="236"/>
      <c r="L42" s="259"/>
    </row>
    <row r="43" spans="1:12" ht="28.5" x14ac:dyDescent="0.45">
      <c r="A43" s="244"/>
      <c r="B43" s="246"/>
      <c r="C43" s="124" t="s">
        <v>10</v>
      </c>
      <c r="D43" s="126" t="s">
        <v>19</v>
      </c>
      <c r="E43" s="124" t="s">
        <v>12</v>
      </c>
      <c r="F43" s="126" t="s">
        <v>417</v>
      </c>
      <c r="G43" s="176">
        <v>0.6</v>
      </c>
      <c r="H43" s="229" t="s">
        <v>13</v>
      </c>
      <c r="I43" s="231" t="s">
        <v>20</v>
      </c>
      <c r="J43" s="229" t="s">
        <v>21</v>
      </c>
      <c r="K43" s="235" t="s">
        <v>492</v>
      </c>
      <c r="L43" s="226">
        <v>44227</v>
      </c>
    </row>
    <row r="44" spans="1:12" x14ac:dyDescent="0.45">
      <c r="A44" s="244"/>
      <c r="B44" s="246"/>
      <c r="C44" s="124" t="s">
        <v>10</v>
      </c>
      <c r="D44" s="126" t="s">
        <v>19</v>
      </c>
      <c r="E44" s="124" t="s">
        <v>18</v>
      </c>
      <c r="F44" s="156" t="s">
        <v>122</v>
      </c>
      <c r="G44" s="176">
        <v>8.1999999999999993</v>
      </c>
      <c r="H44" s="247"/>
      <c r="I44" s="248"/>
      <c r="J44" s="247"/>
      <c r="K44" s="256"/>
      <c r="L44" s="227"/>
    </row>
    <row r="45" spans="1:12" s="57" customFormat="1" ht="28.5" x14ac:dyDescent="0.45">
      <c r="A45" s="244"/>
      <c r="B45" s="246"/>
      <c r="C45" s="124" t="s">
        <v>520</v>
      </c>
      <c r="D45" s="126" t="s">
        <v>19</v>
      </c>
      <c r="E45" s="124" t="s">
        <v>12</v>
      </c>
      <c r="F45" s="126" t="s">
        <v>417</v>
      </c>
      <c r="G45" s="176">
        <v>-0.6</v>
      </c>
      <c r="H45" s="247"/>
      <c r="I45" s="248"/>
      <c r="J45" s="247"/>
      <c r="K45" s="256"/>
      <c r="L45" s="227"/>
    </row>
    <row r="46" spans="1:12" s="57" customFormat="1" x14ac:dyDescent="0.45">
      <c r="A46" s="244"/>
      <c r="B46" s="246"/>
      <c r="C46" s="124" t="s">
        <v>520</v>
      </c>
      <c r="D46" s="126" t="s">
        <v>19</v>
      </c>
      <c r="E46" s="124" t="s">
        <v>18</v>
      </c>
      <c r="F46" s="156" t="s">
        <v>122</v>
      </c>
      <c r="G46" s="176">
        <v>0.57145599999999996</v>
      </c>
      <c r="H46" s="230"/>
      <c r="I46" s="232"/>
      <c r="J46" s="230"/>
      <c r="K46" s="236"/>
      <c r="L46" s="228"/>
    </row>
    <row r="47" spans="1:12" s="57" customFormat="1" ht="28.5" x14ac:dyDescent="0.45">
      <c r="A47" s="245"/>
      <c r="B47" s="234"/>
      <c r="C47" s="124" t="s">
        <v>520</v>
      </c>
      <c r="D47" s="126" t="s">
        <v>29</v>
      </c>
      <c r="E47" s="124" t="s">
        <v>18</v>
      </c>
      <c r="F47" s="156" t="s">
        <v>122</v>
      </c>
      <c r="G47" s="176">
        <v>2.2772389999999998</v>
      </c>
      <c r="H47" s="122" t="s">
        <v>434</v>
      </c>
      <c r="I47" s="141"/>
      <c r="J47" s="122"/>
      <c r="K47" s="135"/>
      <c r="L47" s="155"/>
    </row>
    <row r="48" spans="1:12" x14ac:dyDescent="0.45">
      <c r="A48" s="120" t="s">
        <v>46</v>
      </c>
      <c r="B48" s="85">
        <v>0</v>
      </c>
      <c r="C48" s="124" t="s">
        <v>47</v>
      </c>
      <c r="D48" s="126" t="s">
        <v>37</v>
      </c>
      <c r="E48" s="124" t="s">
        <v>122</v>
      </c>
      <c r="F48" s="126" t="s">
        <v>122</v>
      </c>
      <c r="G48" s="176" t="s">
        <v>122</v>
      </c>
      <c r="H48" s="124" t="s">
        <v>434</v>
      </c>
      <c r="I48" s="125"/>
      <c r="J48" s="124"/>
      <c r="K48" s="127"/>
      <c r="L48" s="129"/>
    </row>
    <row r="49" spans="1:12" ht="28.5" x14ac:dyDescent="0.45">
      <c r="A49" s="264" t="s">
        <v>70</v>
      </c>
      <c r="B49" s="233">
        <v>727</v>
      </c>
      <c r="C49" s="136" t="s">
        <v>28</v>
      </c>
      <c r="D49" s="126" t="s">
        <v>71</v>
      </c>
      <c r="E49" s="124" t="s">
        <v>18</v>
      </c>
      <c r="F49" s="114" t="s">
        <v>122</v>
      </c>
      <c r="G49" s="176">
        <v>375.06649900000002</v>
      </c>
      <c r="H49" s="130" t="s">
        <v>13</v>
      </c>
      <c r="I49" s="131" t="s">
        <v>72</v>
      </c>
      <c r="J49" s="130" t="s">
        <v>21</v>
      </c>
      <c r="K49" s="133" t="s">
        <v>457</v>
      </c>
      <c r="L49" s="123">
        <v>44106</v>
      </c>
    </row>
    <row r="50" spans="1:12" ht="28.5" x14ac:dyDescent="0.45">
      <c r="A50" s="264"/>
      <c r="B50" s="246"/>
      <c r="C50" s="136" t="s">
        <v>28</v>
      </c>
      <c r="D50" s="126" t="s">
        <v>73</v>
      </c>
      <c r="E50" s="124" t="s">
        <v>18</v>
      </c>
      <c r="F50" s="114" t="s">
        <v>122</v>
      </c>
      <c r="G50" s="176">
        <v>8</v>
      </c>
      <c r="H50" s="130" t="s">
        <v>13</v>
      </c>
      <c r="I50" s="131" t="s">
        <v>72</v>
      </c>
      <c r="J50" s="130" t="s">
        <v>21</v>
      </c>
      <c r="K50" s="133" t="s">
        <v>74</v>
      </c>
      <c r="L50" s="123">
        <v>44044</v>
      </c>
    </row>
    <row r="51" spans="1:12" ht="42.75" x14ac:dyDescent="0.45">
      <c r="A51" s="264"/>
      <c r="B51" s="246"/>
      <c r="C51" s="136" t="s">
        <v>28</v>
      </c>
      <c r="D51" s="126" t="s">
        <v>75</v>
      </c>
      <c r="E51" s="124" t="s">
        <v>18</v>
      </c>
      <c r="F51" s="114" t="s">
        <v>122</v>
      </c>
      <c r="G51" s="176">
        <v>17.090800000000002</v>
      </c>
      <c r="H51" s="130" t="s">
        <v>13</v>
      </c>
      <c r="I51" s="131" t="s">
        <v>76</v>
      </c>
      <c r="J51" s="130" t="s">
        <v>21</v>
      </c>
      <c r="K51" s="133" t="s">
        <v>456</v>
      </c>
      <c r="L51" s="123">
        <v>44165</v>
      </c>
    </row>
    <row r="52" spans="1:12" x14ac:dyDescent="0.45">
      <c r="A52" s="264"/>
      <c r="B52" s="246"/>
      <c r="C52" s="136" t="s">
        <v>28</v>
      </c>
      <c r="D52" s="126" t="s">
        <v>11</v>
      </c>
      <c r="E52" s="124" t="s">
        <v>18</v>
      </c>
      <c r="F52" s="114" t="s">
        <v>122</v>
      </c>
      <c r="G52" s="176">
        <v>1.78</v>
      </c>
      <c r="H52" s="239" t="s">
        <v>13</v>
      </c>
      <c r="I52" s="240" t="s">
        <v>77</v>
      </c>
      <c r="J52" s="260" t="s">
        <v>21</v>
      </c>
      <c r="K52" s="292" t="s">
        <v>399</v>
      </c>
      <c r="L52" s="262">
        <v>44136</v>
      </c>
    </row>
    <row r="53" spans="1:12" ht="28.5" x14ac:dyDescent="0.45">
      <c r="A53" s="264"/>
      <c r="B53" s="246"/>
      <c r="C53" s="136" t="s">
        <v>28</v>
      </c>
      <c r="D53" s="126" t="s">
        <v>11</v>
      </c>
      <c r="E53" s="124" t="s">
        <v>12</v>
      </c>
      <c r="F53" s="174" t="s">
        <v>413</v>
      </c>
      <c r="G53" s="176">
        <v>112.7</v>
      </c>
      <c r="H53" s="239"/>
      <c r="I53" s="240"/>
      <c r="J53" s="260"/>
      <c r="K53" s="292"/>
      <c r="L53" s="263"/>
    </row>
    <row r="54" spans="1:12" x14ac:dyDescent="0.45">
      <c r="A54" s="264"/>
      <c r="B54" s="246"/>
      <c r="C54" s="136" t="s">
        <v>28</v>
      </c>
      <c r="D54" s="126" t="s">
        <v>19</v>
      </c>
      <c r="E54" s="124" t="s">
        <v>18</v>
      </c>
      <c r="F54" s="114" t="s">
        <v>122</v>
      </c>
      <c r="G54" s="176">
        <v>1.6896629999999999</v>
      </c>
      <c r="H54" s="239" t="s">
        <v>13</v>
      </c>
      <c r="I54" s="240" t="s">
        <v>20</v>
      </c>
      <c r="J54" s="239" t="s">
        <v>21</v>
      </c>
      <c r="K54" s="308" t="s">
        <v>568</v>
      </c>
      <c r="L54" s="286">
        <v>44227</v>
      </c>
    </row>
    <row r="55" spans="1:12" x14ac:dyDescent="0.45">
      <c r="A55" s="264"/>
      <c r="B55" s="246"/>
      <c r="C55" s="136" t="s">
        <v>28</v>
      </c>
      <c r="D55" s="126" t="s">
        <v>19</v>
      </c>
      <c r="E55" s="124" t="s">
        <v>18</v>
      </c>
      <c r="F55" s="114" t="s">
        <v>122</v>
      </c>
      <c r="G55" s="176">
        <v>3.3615650000000001</v>
      </c>
      <c r="H55" s="239"/>
      <c r="I55" s="240"/>
      <c r="J55" s="239"/>
      <c r="K55" s="308"/>
      <c r="L55" s="286"/>
    </row>
    <row r="56" spans="1:12" ht="28.5" x14ac:dyDescent="0.45">
      <c r="A56" s="264"/>
      <c r="B56" s="246"/>
      <c r="C56" s="136" t="s">
        <v>28</v>
      </c>
      <c r="D56" s="126" t="s">
        <v>19</v>
      </c>
      <c r="E56" s="124" t="s">
        <v>12</v>
      </c>
      <c r="F56" s="126" t="s">
        <v>413</v>
      </c>
      <c r="G56" s="176">
        <v>200</v>
      </c>
      <c r="H56" s="239"/>
      <c r="I56" s="240"/>
      <c r="J56" s="239"/>
      <c r="K56" s="308"/>
      <c r="L56" s="286"/>
    </row>
    <row r="57" spans="1:12" ht="28.5" x14ac:dyDescent="0.45">
      <c r="A57" s="264"/>
      <c r="B57" s="246"/>
      <c r="C57" s="136" t="s">
        <v>10</v>
      </c>
      <c r="D57" s="126" t="s">
        <v>19</v>
      </c>
      <c r="E57" s="124" t="s">
        <v>12</v>
      </c>
      <c r="F57" s="126" t="s">
        <v>413</v>
      </c>
      <c r="G57" s="176">
        <v>-101.549187</v>
      </c>
      <c r="H57" s="239"/>
      <c r="I57" s="240"/>
      <c r="J57" s="239"/>
      <c r="K57" s="308"/>
      <c r="L57" s="286"/>
    </row>
    <row r="58" spans="1:12" s="57" customFormat="1" x14ac:dyDescent="0.45">
      <c r="A58" s="264"/>
      <c r="B58" s="246"/>
      <c r="C58" s="136" t="s">
        <v>10</v>
      </c>
      <c r="D58" s="126" t="s">
        <v>19</v>
      </c>
      <c r="E58" s="124" t="s">
        <v>18</v>
      </c>
      <c r="F58" s="114" t="s">
        <v>122</v>
      </c>
      <c r="G58" s="176">
        <f>58+31.150038</f>
        <v>89.150037999999995</v>
      </c>
      <c r="H58" s="239"/>
      <c r="I58" s="240"/>
      <c r="J58" s="239"/>
      <c r="K58" s="308"/>
      <c r="L58" s="286"/>
    </row>
    <row r="59" spans="1:12" s="57" customFormat="1" ht="28.5" x14ac:dyDescent="0.45">
      <c r="A59" s="264"/>
      <c r="B59" s="246"/>
      <c r="C59" s="136" t="s">
        <v>520</v>
      </c>
      <c r="D59" s="126" t="s">
        <v>19</v>
      </c>
      <c r="E59" s="124" t="s">
        <v>12</v>
      </c>
      <c r="F59" s="126" t="s">
        <v>413</v>
      </c>
      <c r="G59" s="176">
        <v>-84.434709999999995</v>
      </c>
      <c r="H59" s="239"/>
      <c r="I59" s="240"/>
      <c r="J59" s="239"/>
      <c r="K59" s="308"/>
      <c r="L59" s="286"/>
    </row>
    <row r="60" spans="1:12" x14ac:dyDescent="0.45">
      <c r="A60" s="264"/>
      <c r="B60" s="246"/>
      <c r="C60" s="145" t="s">
        <v>520</v>
      </c>
      <c r="D60" s="126" t="s">
        <v>19</v>
      </c>
      <c r="E60" s="139" t="s">
        <v>18</v>
      </c>
      <c r="F60" s="73" t="s">
        <v>122</v>
      </c>
      <c r="G60" s="176">
        <f>27.72279+0.108+56.60392</f>
        <v>84.434709999999995</v>
      </c>
      <c r="H60" s="239"/>
      <c r="I60" s="240"/>
      <c r="J60" s="239"/>
      <c r="K60" s="308"/>
      <c r="L60" s="286"/>
    </row>
    <row r="61" spans="1:12" x14ac:dyDescent="0.45">
      <c r="A61" s="264"/>
      <c r="B61" s="234"/>
      <c r="C61" s="124" t="s">
        <v>10</v>
      </c>
      <c r="D61" s="126" t="s">
        <v>11</v>
      </c>
      <c r="E61" s="124" t="s">
        <v>18</v>
      </c>
      <c r="F61" s="114" t="s">
        <v>122</v>
      </c>
      <c r="G61" s="176">
        <v>12.399149</v>
      </c>
      <c r="H61" s="130" t="s">
        <v>13</v>
      </c>
      <c r="I61" s="131" t="s">
        <v>20</v>
      </c>
      <c r="J61" s="130" t="s">
        <v>21</v>
      </c>
      <c r="K61" s="133" t="s">
        <v>400</v>
      </c>
      <c r="L61" s="128">
        <v>44136</v>
      </c>
    </row>
    <row r="62" spans="1:12" s="57" customFormat="1" x14ac:dyDescent="0.45">
      <c r="A62" s="243" t="s">
        <v>407</v>
      </c>
      <c r="B62" s="252">
        <f>4223-2806</f>
        <v>1417</v>
      </c>
      <c r="C62" s="124" t="s">
        <v>10</v>
      </c>
      <c r="D62" s="124" t="s">
        <v>11</v>
      </c>
      <c r="E62" s="124" t="s">
        <v>18</v>
      </c>
      <c r="F62" s="156" t="s">
        <v>122</v>
      </c>
      <c r="G62" s="176">
        <f>0.403571+10</f>
        <v>10.403570999999999</v>
      </c>
      <c r="H62" s="229" t="s">
        <v>13</v>
      </c>
      <c r="I62" s="231" t="s">
        <v>14</v>
      </c>
      <c r="J62" s="229" t="s">
        <v>21</v>
      </c>
      <c r="K62" s="319" t="s">
        <v>44</v>
      </c>
      <c r="L62" s="237">
        <v>44136</v>
      </c>
    </row>
    <row r="63" spans="1:12" s="57" customFormat="1" ht="42.75" x14ac:dyDescent="0.45">
      <c r="A63" s="244"/>
      <c r="B63" s="253"/>
      <c r="C63" s="124" t="s">
        <v>10</v>
      </c>
      <c r="D63" s="124" t="s">
        <v>11</v>
      </c>
      <c r="E63" s="124" t="s">
        <v>12</v>
      </c>
      <c r="F63" s="126" t="s">
        <v>415</v>
      </c>
      <c r="G63" s="176">
        <v>133.69999999999999</v>
      </c>
      <c r="H63" s="247"/>
      <c r="I63" s="248"/>
      <c r="J63" s="247"/>
      <c r="K63" s="320"/>
      <c r="L63" s="261"/>
    </row>
    <row r="64" spans="1:12" s="57" customFormat="1" ht="42.75" x14ac:dyDescent="0.45">
      <c r="A64" s="244"/>
      <c r="B64" s="253"/>
      <c r="C64" s="124" t="s">
        <v>520</v>
      </c>
      <c r="D64" s="124" t="s">
        <v>11</v>
      </c>
      <c r="E64" s="124" t="s">
        <v>12</v>
      </c>
      <c r="F64" s="126" t="s">
        <v>415</v>
      </c>
      <c r="G64" s="176">
        <v>-126.7</v>
      </c>
      <c r="H64" s="247"/>
      <c r="I64" s="248"/>
      <c r="J64" s="247"/>
      <c r="K64" s="320"/>
      <c r="L64" s="261"/>
    </row>
    <row r="65" spans="1:12" s="57" customFormat="1" x14ac:dyDescent="0.45">
      <c r="A65" s="244"/>
      <c r="B65" s="253"/>
      <c r="C65" s="124" t="s">
        <v>520</v>
      </c>
      <c r="D65" s="124" t="s">
        <v>11</v>
      </c>
      <c r="E65" s="124" t="s">
        <v>18</v>
      </c>
      <c r="F65" s="119" t="s">
        <v>122</v>
      </c>
      <c r="G65" s="176">
        <v>126.7</v>
      </c>
      <c r="H65" s="230"/>
      <c r="I65" s="232"/>
      <c r="J65" s="230"/>
      <c r="K65" s="321"/>
      <c r="L65" s="238"/>
    </row>
    <row r="66" spans="1:12" s="57" customFormat="1" ht="30" customHeight="1" x14ac:dyDescent="0.45">
      <c r="A66" s="244"/>
      <c r="B66" s="253"/>
      <c r="C66" s="124" t="s">
        <v>10</v>
      </c>
      <c r="D66" s="124" t="s">
        <v>22</v>
      </c>
      <c r="E66" s="124" t="s">
        <v>18</v>
      </c>
      <c r="F66" s="156" t="s">
        <v>122</v>
      </c>
      <c r="G66" s="176">
        <f>318.492543+0.45</f>
        <v>318.942543</v>
      </c>
      <c r="H66" s="229" t="s">
        <v>13</v>
      </c>
      <c r="I66" s="255" t="s">
        <v>23</v>
      </c>
      <c r="J66" s="283" t="s">
        <v>21</v>
      </c>
      <c r="K66" s="292" t="s">
        <v>507</v>
      </c>
      <c r="L66" s="262">
        <v>44166</v>
      </c>
    </row>
    <row r="67" spans="1:12" s="57" customFormat="1" ht="42.75" x14ac:dyDescent="0.45">
      <c r="A67" s="244"/>
      <c r="B67" s="253"/>
      <c r="C67" s="124" t="s">
        <v>10</v>
      </c>
      <c r="D67" s="124" t="s">
        <v>22</v>
      </c>
      <c r="E67" s="124" t="s">
        <v>12</v>
      </c>
      <c r="F67" s="126" t="s">
        <v>415</v>
      </c>
      <c r="G67" s="176">
        <v>308.37196399999999</v>
      </c>
      <c r="H67" s="247"/>
      <c r="I67" s="255"/>
      <c r="J67" s="283"/>
      <c r="K67" s="292"/>
      <c r="L67" s="262"/>
    </row>
    <row r="68" spans="1:12" s="57" customFormat="1" ht="42.75" x14ac:dyDescent="0.45">
      <c r="A68" s="244"/>
      <c r="B68" s="253"/>
      <c r="C68" s="124" t="s">
        <v>520</v>
      </c>
      <c r="D68" s="124" t="s">
        <v>22</v>
      </c>
      <c r="E68" s="124" t="s">
        <v>12</v>
      </c>
      <c r="F68" s="126" t="s">
        <v>415</v>
      </c>
      <c r="G68" s="176">
        <v>-217.57197500000001</v>
      </c>
      <c r="H68" s="247"/>
      <c r="I68" s="255"/>
      <c r="J68" s="283"/>
      <c r="K68" s="292"/>
      <c r="L68" s="262"/>
    </row>
    <row r="69" spans="1:12" s="57" customFormat="1" ht="28.5" x14ac:dyDescent="0.45">
      <c r="A69" s="244"/>
      <c r="B69" s="253"/>
      <c r="C69" s="124" t="s">
        <v>520</v>
      </c>
      <c r="D69" s="124" t="s">
        <v>22</v>
      </c>
      <c r="E69" s="124" t="s">
        <v>12</v>
      </c>
      <c r="F69" s="126" t="s">
        <v>521</v>
      </c>
      <c r="G69" s="176">
        <v>217.57197500000001</v>
      </c>
      <c r="H69" s="230"/>
      <c r="I69" s="255"/>
      <c r="J69" s="283"/>
      <c r="K69" s="292"/>
      <c r="L69" s="262"/>
    </row>
    <row r="70" spans="1:12" s="57" customFormat="1" ht="28.5" x14ac:dyDescent="0.45">
      <c r="A70" s="244"/>
      <c r="B70" s="253"/>
      <c r="C70" s="124" t="s">
        <v>10</v>
      </c>
      <c r="D70" s="124" t="s">
        <v>71</v>
      </c>
      <c r="E70" s="124" t="s">
        <v>18</v>
      </c>
      <c r="F70" s="156" t="s">
        <v>122</v>
      </c>
      <c r="G70" s="176">
        <f>1+14</f>
        <v>15</v>
      </c>
      <c r="H70" s="124" t="s">
        <v>13</v>
      </c>
      <c r="I70" s="125" t="s">
        <v>177</v>
      </c>
      <c r="J70" s="126" t="s">
        <v>78</v>
      </c>
      <c r="K70" s="133"/>
      <c r="L70" s="123"/>
    </row>
    <row r="71" spans="1:12" x14ac:dyDescent="0.45">
      <c r="A71" s="244"/>
      <c r="B71" s="253"/>
      <c r="C71" s="124" t="s">
        <v>10</v>
      </c>
      <c r="D71" s="126" t="s">
        <v>19</v>
      </c>
      <c r="E71" s="124" t="s">
        <v>18</v>
      </c>
      <c r="F71" s="126" t="s">
        <v>122</v>
      </c>
      <c r="G71" s="176">
        <f>5378.297032+776.076667+6.75+21.4+68.6+46.199588+25+7.533544+5.3016</f>
        <v>6335.1584310000007</v>
      </c>
      <c r="H71" s="229" t="s">
        <v>13</v>
      </c>
      <c r="I71" s="231" t="s">
        <v>20</v>
      </c>
      <c r="J71" s="229" t="s">
        <v>21</v>
      </c>
      <c r="K71" s="235" t="s">
        <v>570</v>
      </c>
      <c r="L71" s="226">
        <v>44227</v>
      </c>
    </row>
    <row r="72" spans="1:12" s="57" customFormat="1" ht="42.75" x14ac:dyDescent="0.45">
      <c r="A72" s="244"/>
      <c r="B72" s="253"/>
      <c r="C72" s="124" t="s">
        <v>10</v>
      </c>
      <c r="D72" s="100" t="s">
        <v>19</v>
      </c>
      <c r="E72" s="124" t="s">
        <v>12</v>
      </c>
      <c r="F72" s="126" t="s">
        <v>415</v>
      </c>
      <c r="G72" s="176">
        <f>3821.702968+536.473333+298.400412+13.4984+7.7+5.275384</f>
        <v>4683.0504970000002</v>
      </c>
      <c r="H72" s="247"/>
      <c r="I72" s="248"/>
      <c r="J72" s="247"/>
      <c r="K72" s="256"/>
      <c r="L72" s="227"/>
    </row>
    <row r="73" spans="1:12" s="57" customFormat="1" x14ac:dyDescent="0.45">
      <c r="A73" s="244"/>
      <c r="B73" s="253"/>
      <c r="C73" s="124" t="s">
        <v>520</v>
      </c>
      <c r="D73" s="100" t="s">
        <v>19</v>
      </c>
      <c r="E73" s="124" t="s">
        <v>18</v>
      </c>
      <c r="F73" s="126" t="s">
        <v>122</v>
      </c>
      <c r="G73" s="176">
        <f>3.18416+536.461532+7.2+2397.712418+10+0.5+75</f>
        <v>3030.0581099999999</v>
      </c>
      <c r="H73" s="247"/>
      <c r="I73" s="248"/>
      <c r="J73" s="247"/>
      <c r="K73" s="256"/>
      <c r="L73" s="227"/>
    </row>
    <row r="74" spans="1:12" s="57" customFormat="1" ht="42.75" x14ac:dyDescent="0.45">
      <c r="A74" s="244"/>
      <c r="B74" s="253"/>
      <c r="C74" s="124" t="s">
        <v>520</v>
      </c>
      <c r="D74" s="100" t="s">
        <v>19</v>
      </c>
      <c r="E74" s="124" t="s">
        <v>12</v>
      </c>
      <c r="F74" s="126" t="s">
        <v>415</v>
      </c>
      <c r="G74" s="176">
        <f>-2482.712418+-3.18416+-536.461532+-7.7</f>
        <v>-3030.0581099999999</v>
      </c>
      <c r="H74" s="230"/>
      <c r="I74" s="232"/>
      <c r="J74" s="230"/>
      <c r="K74" s="236"/>
      <c r="L74" s="259"/>
    </row>
    <row r="75" spans="1:12" s="57" customFormat="1" x14ac:dyDescent="0.45">
      <c r="A75" s="244"/>
      <c r="B75" s="253"/>
      <c r="C75" s="124" t="s">
        <v>10</v>
      </c>
      <c r="D75" s="100" t="s">
        <v>75</v>
      </c>
      <c r="E75" s="124" t="s">
        <v>18</v>
      </c>
      <c r="F75" s="126" t="s">
        <v>122</v>
      </c>
      <c r="G75" s="176">
        <f>2+31.5</f>
        <v>33.5</v>
      </c>
      <c r="H75" s="229" t="s">
        <v>13</v>
      </c>
      <c r="I75" s="255" t="s">
        <v>80</v>
      </c>
      <c r="J75" s="233" t="s">
        <v>78</v>
      </c>
      <c r="K75" s="235"/>
      <c r="L75" s="257"/>
    </row>
    <row r="76" spans="1:12" s="57" customFormat="1" ht="42.75" x14ac:dyDescent="0.45">
      <c r="A76" s="244"/>
      <c r="B76" s="253"/>
      <c r="C76" s="124" t="s">
        <v>10</v>
      </c>
      <c r="D76" s="100" t="s">
        <v>75</v>
      </c>
      <c r="E76" s="124" t="s">
        <v>12</v>
      </c>
      <c r="F76" s="126" t="s">
        <v>415</v>
      </c>
      <c r="G76" s="176">
        <v>33.5</v>
      </c>
      <c r="H76" s="247"/>
      <c r="I76" s="255"/>
      <c r="J76" s="246"/>
      <c r="K76" s="256"/>
      <c r="L76" s="258"/>
    </row>
    <row r="77" spans="1:12" s="57" customFormat="1" x14ac:dyDescent="0.45">
      <c r="A77" s="244"/>
      <c r="B77" s="253"/>
      <c r="C77" s="124" t="s">
        <v>520</v>
      </c>
      <c r="D77" s="100" t="s">
        <v>75</v>
      </c>
      <c r="E77" s="124" t="s">
        <v>18</v>
      </c>
      <c r="F77" s="124" t="s">
        <v>122</v>
      </c>
      <c r="G77" s="176">
        <v>30.158628</v>
      </c>
      <c r="H77" s="247"/>
      <c r="I77" s="255"/>
      <c r="J77" s="246"/>
      <c r="K77" s="256"/>
      <c r="L77" s="258"/>
    </row>
    <row r="78" spans="1:12" s="57" customFormat="1" ht="42.75" x14ac:dyDescent="0.45">
      <c r="A78" s="245"/>
      <c r="B78" s="254"/>
      <c r="C78" s="124" t="s">
        <v>520</v>
      </c>
      <c r="D78" s="100" t="s">
        <v>75</v>
      </c>
      <c r="E78" s="124" t="s">
        <v>12</v>
      </c>
      <c r="F78" s="126" t="s">
        <v>415</v>
      </c>
      <c r="G78" s="176">
        <v>-30.158628</v>
      </c>
      <c r="H78" s="230"/>
      <c r="I78" s="255"/>
      <c r="J78" s="234"/>
      <c r="K78" s="236"/>
      <c r="L78" s="259"/>
    </row>
    <row r="79" spans="1:12" ht="28.5" x14ac:dyDescent="0.45">
      <c r="A79" s="264" t="s">
        <v>79</v>
      </c>
      <c r="B79" s="233">
        <v>90</v>
      </c>
      <c r="C79" s="124" t="s">
        <v>10</v>
      </c>
      <c r="D79" s="126" t="s">
        <v>75</v>
      </c>
      <c r="E79" s="124" t="s">
        <v>12</v>
      </c>
      <c r="F79" s="126" t="s">
        <v>417</v>
      </c>
      <c r="G79" s="176">
        <v>40.020000000000003</v>
      </c>
      <c r="H79" s="287" t="s">
        <v>13</v>
      </c>
      <c r="I79" s="255" t="s">
        <v>80</v>
      </c>
      <c r="J79" s="283" t="s">
        <v>78</v>
      </c>
      <c r="K79" s="284"/>
      <c r="L79" s="285"/>
    </row>
    <row r="80" spans="1:12" s="57" customFormat="1" x14ac:dyDescent="0.45">
      <c r="A80" s="264"/>
      <c r="B80" s="246"/>
      <c r="C80" s="124" t="s">
        <v>10</v>
      </c>
      <c r="D80" s="126" t="s">
        <v>75</v>
      </c>
      <c r="E80" s="124" t="s">
        <v>18</v>
      </c>
      <c r="F80" s="126" t="s">
        <v>122</v>
      </c>
      <c r="G80" s="176">
        <v>50</v>
      </c>
      <c r="H80" s="287"/>
      <c r="I80" s="255"/>
      <c r="J80" s="283"/>
      <c r="K80" s="284"/>
      <c r="L80" s="285"/>
    </row>
    <row r="81" spans="1:12" s="57" customFormat="1" ht="28.5" x14ac:dyDescent="0.45">
      <c r="A81" s="264"/>
      <c r="B81" s="246"/>
      <c r="C81" s="124" t="s">
        <v>520</v>
      </c>
      <c r="D81" s="126" t="s">
        <v>75</v>
      </c>
      <c r="E81" s="124" t="s">
        <v>12</v>
      </c>
      <c r="F81" s="126" t="s">
        <v>417</v>
      </c>
      <c r="G81" s="176">
        <v>-32.746285</v>
      </c>
      <c r="H81" s="287"/>
      <c r="I81" s="255"/>
      <c r="J81" s="283"/>
      <c r="K81" s="284"/>
      <c r="L81" s="285"/>
    </row>
    <row r="82" spans="1:12" x14ac:dyDescent="0.45">
      <c r="A82" s="264"/>
      <c r="B82" s="234"/>
      <c r="C82" s="139" t="s">
        <v>520</v>
      </c>
      <c r="D82" s="126" t="s">
        <v>75</v>
      </c>
      <c r="E82" s="139" t="s">
        <v>18</v>
      </c>
      <c r="F82" s="118" t="s">
        <v>122</v>
      </c>
      <c r="G82" s="176">
        <f>8.532137+23.732769</f>
        <v>32.264906000000003</v>
      </c>
      <c r="H82" s="287"/>
      <c r="I82" s="255"/>
      <c r="J82" s="283"/>
      <c r="K82" s="284"/>
      <c r="L82" s="285"/>
    </row>
    <row r="83" spans="1:12" ht="34.5" customHeight="1" x14ac:dyDescent="0.45">
      <c r="A83" s="243" t="s">
        <v>81</v>
      </c>
      <c r="B83" s="233">
        <v>530</v>
      </c>
      <c r="C83" s="124" t="s">
        <v>520</v>
      </c>
      <c r="D83" s="126" t="s">
        <v>22</v>
      </c>
      <c r="E83" s="124" t="s">
        <v>12</v>
      </c>
      <c r="F83" s="126" t="s">
        <v>521</v>
      </c>
      <c r="G83" s="176">
        <v>45</v>
      </c>
      <c r="H83" s="124" t="s">
        <v>13</v>
      </c>
      <c r="I83" s="146" t="s">
        <v>23</v>
      </c>
      <c r="J83" s="124" t="s">
        <v>15</v>
      </c>
      <c r="K83" s="127"/>
      <c r="L83" s="129"/>
    </row>
    <row r="84" spans="1:12" s="57" customFormat="1" ht="34.5" customHeight="1" x14ac:dyDescent="0.45">
      <c r="A84" s="245"/>
      <c r="B84" s="234"/>
      <c r="C84" s="124" t="s">
        <v>520</v>
      </c>
      <c r="D84" s="126" t="s">
        <v>19</v>
      </c>
      <c r="E84" s="124" t="s">
        <v>18</v>
      </c>
      <c r="F84" s="126" t="s">
        <v>122</v>
      </c>
      <c r="G84" s="176">
        <f>484.509029+0.6</f>
        <v>485.10902900000002</v>
      </c>
      <c r="H84" s="124" t="s">
        <v>13</v>
      </c>
      <c r="I84" s="131" t="s">
        <v>20</v>
      </c>
      <c r="J84" s="124" t="s">
        <v>21</v>
      </c>
      <c r="K84" s="127" t="s">
        <v>491</v>
      </c>
      <c r="L84" s="123">
        <v>44227</v>
      </c>
    </row>
    <row r="85" spans="1:12" s="57" customFormat="1" ht="30" customHeight="1" x14ac:dyDescent="0.45">
      <c r="A85" s="243" t="s">
        <v>82</v>
      </c>
      <c r="B85" s="233">
        <v>255</v>
      </c>
      <c r="C85" s="124" t="s">
        <v>520</v>
      </c>
      <c r="D85" s="126" t="s">
        <v>19</v>
      </c>
      <c r="E85" s="124" t="s">
        <v>18</v>
      </c>
      <c r="F85" s="126" t="s">
        <v>122</v>
      </c>
      <c r="G85" s="176">
        <f>196.646863+11.35+0.5</f>
        <v>208.49686299999999</v>
      </c>
      <c r="H85" s="124" t="s">
        <v>13</v>
      </c>
      <c r="I85" s="131" t="s">
        <v>20</v>
      </c>
      <c r="J85" s="124" t="s">
        <v>21</v>
      </c>
      <c r="K85" s="127" t="s">
        <v>566</v>
      </c>
      <c r="L85" s="222">
        <v>44227</v>
      </c>
    </row>
    <row r="86" spans="1:12" s="57" customFormat="1" x14ac:dyDescent="0.45">
      <c r="A86" s="245"/>
      <c r="B86" s="234"/>
      <c r="C86" s="124" t="s">
        <v>520</v>
      </c>
      <c r="D86" s="126" t="s">
        <v>22</v>
      </c>
      <c r="E86" s="124" t="s">
        <v>18</v>
      </c>
      <c r="F86" s="126" t="s">
        <v>122</v>
      </c>
      <c r="G86" s="176">
        <v>24.399311999999998</v>
      </c>
      <c r="H86" s="124" t="s">
        <v>13</v>
      </c>
      <c r="I86" s="146" t="s">
        <v>23</v>
      </c>
      <c r="J86" s="124" t="s">
        <v>15</v>
      </c>
      <c r="K86" s="127"/>
      <c r="L86" s="129"/>
    </row>
    <row r="87" spans="1:12" ht="28.5" x14ac:dyDescent="0.45">
      <c r="A87" s="120" t="s">
        <v>83</v>
      </c>
      <c r="B87" s="85">
        <v>5</v>
      </c>
      <c r="C87" s="124" t="s">
        <v>520</v>
      </c>
      <c r="D87" s="126" t="s">
        <v>482</v>
      </c>
      <c r="E87" s="124" t="s">
        <v>18</v>
      </c>
      <c r="F87" s="126" t="s">
        <v>122</v>
      </c>
      <c r="G87" s="176">
        <v>3.7789999999999999</v>
      </c>
      <c r="H87" s="124" t="s">
        <v>13</v>
      </c>
      <c r="I87" s="125" t="s">
        <v>558</v>
      </c>
      <c r="J87" s="126" t="s">
        <v>78</v>
      </c>
      <c r="K87" s="127"/>
      <c r="L87" s="129"/>
    </row>
    <row r="88" spans="1:12" ht="42.75" x14ac:dyDescent="0.45">
      <c r="A88" s="264" t="s">
        <v>84</v>
      </c>
      <c r="B88" s="252">
        <v>1800</v>
      </c>
      <c r="C88" s="136" t="s">
        <v>28</v>
      </c>
      <c r="D88" s="126" t="s">
        <v>19</v>
      </c>
      <c r="E88" s="124" t="s">
        <v>12</v>
      </c>
      <c r="F88" s="126" t="s">
        <v>415</v>
      </c>
      <c r="G88" s="176">
        <v>1800</v>
      </c>
      <c r="H88" s="288" t="s">
        <v>13</v>
      </c>
      <c r="I88" s="240" t="s">
        <v>85</v>
      </c>
      <c r="J88" s="288" t="s">
        <v>21</v>
      </c>
      <c r="K88" s="289" t="s">
        <v>564</v>
      </c>
      <c r="L88" s="290">
        <v>44227</v>
      </c>
    </row>
    <row r="89" spans="1:12" x14ac:dyDescent="0.45">
      <c r="A89" s="264"/>
      <c r="B89" s="234"/>
      <c r="C89" s="136" t="s">
        <v>28</v>
      </c>
      <c r="D89" s="126" t="s">
        <v>19</v>
      </c>
      <c r="E89" s="124" t="s">
        <v>18</v>
      </c>
      <c r="F89" s="114" t="s">
        <v>122</v>
      </c>
      <c r="G89" s="176">
        <v>37.200000000000003</v>
      </c>
      <c r="H89" s="288"/>
      <c r="I89" s="240"/>
      <c r="J89" s="288"/>
      <c r="K89" s="289"/>
      <c r="L89" s="290"/>
    </row>
    <row r="90" spans="1:12" ht="42.75" x14ac:dyDescent="0.45">
      <c r="A90" s="243" t="s">
        <v>86</v>
      </c>
      <c r="B90" s="233">
        <f>11+500</f>
        <v>511</v>
      </c>
      <c r="C90" s="136" t="s">
        <v>28</v>
      </c>
      <c r="D90" s="126" t="s">
        <v>24</v>
      </c>
      <c r="E90" s="124" t="s">
        <v>12</v>
      </c>
      <c r="F90" s="126" t="s">
        <v>415</v>
      </c>
      <c r="G90" s="176">
        <v>500</v>
      </c>
      <c r="H90" s="265" t="s">
        <v>13</v>
      </c>
      <c r="I90" s="274" t="s">
        <v>25</v>
      </c>
      <c r="J90" s="293" t="s">
        <v>21</v>
      </c>
      <c r="K90" s="295" t="s">
        <v>499</v>
      </c>
      <c r="L90" s="226">
        <v>44135</v>
      </c>
    </row>
    <row r="91" spans="1:12" s="57" customFormat="1" ht="28.5" x14ac:dyDescent="0.45">
      <c r="A91" s="245"/>
      <c r="B91" s="234"/>
      <c r="C91" s="115" t="s">
        <v>520</v>
      </c>
      <c r="D91" s="126" t="s">
        <v>24</v>
      </c>
      <c r="E91" s="124" t="s">
        <v>18</v>
      </c>
      <c r="F91" s="126" t="s">
        <v>122</v>
      </c>
      <c r="G91" s="176">
        <v>8.1844990000000006</v>
      </c>
      <c r="H91" s="267"/>
      <c r="I91" s="276"/>
      <c r="J91" s="294"/>
      <c r="K91" s="296"/>
      <c r="L91" s="228"/>
    </row>
    <row r="92" spans="1:12" ht="30" customHeight="1" x14ac:dyDescent="0.45">
      <c r="A92" s="202" t="s">
        <v>87</v>
      </c>
      <c r="B92" s="203">
        <v>1000</v>
      </c>
      <c r="C92" s="201" t="s">
        <v>47</v>
      </c>
      <c r="D92" s="126" t="s">
        <v>19</v>
      </c>
      <c r="E92" s="124" t="s">
        <v>122</v>
      </c>
      <c r="F92" s="196" t="s">
        <v>122</v>
      </c>
      <c r="G92" s="176" t="s">
        <v>122</v>
      </c>
      <c r="H92" s="124" t="s">
        <v>13</v>
      </c>
      <c r="I92" s="131" t="s">
        <v>20</v>
      </c>
      <c r="J92" s="124" t="s">
        <v>21</v>
      </c>
      <c r="K92" s="127" t="s">
        <v>44</v>
      </c>
      <c r="L92" s="123">
        <v>44227</v>
      </c>
    </row>
    <row r="93" spans="1:12" ht="28.5" x14ac:dyDescent="0.45">
      <c r="A93" s="120" t="s">
        <v>88</v>
      </c>
      <c r="B93" s="85">
        <v>20</v>
      </c>
      <c r="C93" s="136" t="s">
        <v>47</v>
      </c>
      <c r="D93" s="126" t="s">
        <v>483</v>
      </c>
      <c r="E93" s="124" t="s">
        <v>122</v>
      </c>
      <c r="F93" s="196" t="s">
        <v>122</v>
      </c>
      <c r="G93" s="176" t="s">
        <v>122</v>
      </c>
      <c r="H93" s="124" t="s">
        <v>13</v>
      </c>
      <c r="I93" s="131" t="s">
        <v>17</v>
      </c>
      <c r="J93" s="221" t="s">
        <v>78</v>
      </c>
      <c r="K93" s="127"/>
      <c r="L93" s="129"/>
    </row>
    <row r="94" spans="1:12" x14ac:dyDescent="0.45">
      <c r="A94" s="120" t="s">
        <v>500</v>
      </c>
      <c r="B94" s="85">
        <v>30</v>
      </c>
      <c r="C94" s="136" t="s">
        <v>47</v>
      </c>
      <c r="D94" s="126" t="s">
        <v>480</v>
      </c>
      <c r="E94" s="124" t="s">
        <v>122</v>
      </c>
      <c r="F94" s="196" t="s">
        <v>122</v>
      </c>
      <c r="G94" s="176" t="s">
        <v>122</v>
      </c>
      <c r="H94" s="139" t="s">
        <v>13</v>
      </c>
      <c r="I94" s="131" t="s">
        <v>501</v>
      </c>
      <c r="J94" s="126" t="s">
        <v>252</v>
      </c>
      <c r="K94" s="127"/>
      <c r="L94" s="129"/>
    </row>
    <row r="95" spans="1:12" ht="28.5" x14ac:dyDescent="0.45">
      <c r="A95" s="264" t="s">
        <v>89</v>
      </c>
      <c r="B95" s="233">
        <f>158+237</f>
        <v>395</v>
      </c>
      <c r="C95" s="124" t="s">
        <v>28</v>
      </c>
      <c r="D95" s="126" t="s">
        <v>40</v>
      </c>
      <c r="E95" s="124" t="s">
        <v>12</v>
      </c>
      <c r="F95" s="126" t="s">
        <v>413</v>
      </c>
      <c r="G95" s="176">
        <v>157.5</v>
      </c>
      <c r="H95" s="283" t="s">
        <v>574</v>
      </c>
      <c r="I95" s="287" t="s">
        <v>122</v>
      </c>
      <c r="J95" s="241" t="s">
        <v>91</v>
      </c>
      <c r="K95" s="242" t="s">
        <v>92</v>
      </c>
      <c r="L95" s="285" t="s">
        <v>93</v>
      </c>
    </row>
    <row r="96" spans="1:12" ht="28.5" x14ac:dyDescent="0.45">
      <c r="A96" s="264"/>
      <c r="B96" s="234"/>
      <c r="C96" s="124" t="s">
        <v>10</v>
      </c>
      <c r="D96" s="126" t="s">
        <v>40</v>
      </c>
      <c r="E96" s="124" t="s">
        <v>12</v>
      </c>
      <c r="F96" s="126" t="s">
        <v>417</v>
      </c>
      <c r="G96" s="176">
        <v>236.7</v>
      </c>
      <c r="H96" s="283"/>
      <c r="I96" s="287"/>
      <c r="J96" s="241"/>
      <c r="K96" s="242"/>
      <c r="L96" s="285"/>
    </row>
    <row r="97" spans="1:12" x14ac:dyDescent="0.45">
      <c r="A97" s="243" t="s">
        <v>94</v>
      </c>
      <c r="B97" s="233">
        <f>509</f>
        <v>509</v>
      </c>
      <c r="C97" s="124" t="s">
        <v>10</v>
      </c>
      <c r="D97" s="126" t="s">
        <v>19</v>
      </c>
      <c r="E97" s="124" t="s">
        <v>18</v>
      </c>
      <c r="F97" s="126" t="s">
        <v>122</v>
      </c>
      <c r="G97" s="176">
        <f>196.016667+34.744768</f>
        <v>230.76143500000001</v>
      </c>
      <c r="H97" s="229" t="s">
        <v>13</v>
      </c>
      <c r="I97" s="231" t="s">
        <v>20</v>
      </c>
      <c r="J97" s="229" t="s">
        <v>21</v>
      </c>
      <c r="K97" s="235" t="s">
        <v>565</v>
      </c>
      <c r="L97" s="226">
        <v>44227</v>
      </c>
    </row>
    <row r="98" spans="1:12" s="57" customFormat="1" ht="42.75" x14ac:dyDescent="0.45">
      <c r="A98" s="244"/>
      <c r="B98" s="246"/>
      <c r="C98" s="124" t="s">
        <v>10</v>
      </c>
      <c r="D98" s="100" t="s">
        <v>19</v>
      </c>
      <c r="E98" s="124" t="s">
        <v>12</v>
      </c>
      <c r="F98" s="126" t="s">
        <v>415</v>
      </c>
      <c r="G98" s="176">
        <f>278.038565</f>
        <v>278.03856500000001</v>
      </c>
      <c r="H98" s="247"/>
      <c r="I98" s="248"/>
      <c r="J98" s="247"/>
      <c r="K98" s="256"/>
      <c r="L98" s="227"/>
    </row>
    <row r="99" spans="1:12" s="57" customFormat="1" x14ac:dyDescent="0.45">
      <c r="A99" s="244"/>
      <c r="B99" s="246"/>
      <c r="C99" s="124" t="s">
        <v>520</v>
      </c>
      <c r="D99" s="100" t="s">
        <v>19</v>
      </c>
      <c r="E99" s="124" t="s">
        <v>18</v>
      </c>
      <c r="F99" s="126" t="s">
        <v>122</v>
      </c>
      <c r="G99" s="176">
        <f>155.154616+1.8+68.60198</f>
        <v>225.55659600000001</v>
      </c>
      <c r="H99" s="247"/>
      <c r="I99" s="248"/>
      <c r="J99" s="247"/>
      <c r="K99" s="256"/>
      <c r="L99" s="227"/>
    </row>
    <row r="100" spans="1:12" s="57" customFormat="1" ht="42.75" x14ac:dyDescent="0.45">
      <c r="A100" s="245"/>
      <c r="B100" s="234"/>
      <c r="C100" s="139" t="s">
        <v>520</v>
      </c>
      <c r="D100" s="100" t="s">
        <v>19</v>
      </c>
      <c r="E100" s="139" t="s">
        <v>12</v>
      </c>
      <c r="F100" s="126" t="s">
        <v>415</v>
      </c>
      <c r="G100" s="176">
        <v>-225.55659600000001</v>
      </c>
      <c r="H100" s="230"/>
      <c r="I100" s="232"/>
      <c r="J100" s="230"/>
      <c r="K100" s="236"/>
      <c r="L100" s="259"/>
    </row>
    <row r="101" spans="1:12" ht="42.75" x14ac:dyDescent="0.45">
      <c r="A101" s="264" t="s">
        <v>95</v>
      </c>
      <c r="B101" s="233">
        <v>54</v>
      </c>
      <c r="C101" s="124" t="s">
        <v>28</v>
      </c>
      <c r="D101" s="126" t="s">
        <v>96</v>
      </c>
      <c r="E101" s="124" t="s">
        <v>12</v>
      </c>
      <c r="F101" s="126" t="s">
        <v>415</v>
      </c>
      <c r="G101" s="176">
        <v>50</v>
      </c>
      <c r="H101" s="229" t="s">
        <v>13</v>
      </c>
      <c r="I101" s="231" t="s">
        <v>97</v>
      </c>
      <c r="J101" s="233" t="s">
        <v>21</v>
      </c>
      <c r="K101" s="249" t="s">
        <v>475</v>
      </c>
      <c r="L101" s="226">
        <v>44195</v>
      </c>
    </row>
    <row r="102" spans="1:12" s="57" customFormat="1" ht="42.75" x14ac:dyDescent="0.45">
      <c r="A102" s="264"/>
      <c r="B102" s="246"/>
      <c r="C102" s="124" t="s">
        <v>537</v>
      </c>
      <c r="D102" s="126" t="s">
        <v>96</v>
      </c>
      <c r="E102" s="124" t="s">
        <v>12</v>
      </c>
      <c r="F102" s="126" t="s">
        <v>415</v>
      </c>
      <c r="G102" s="176">
        <v>-13.124556</v>
      </c>
      <c r="H102" s="247"/>
      <c r="I102" s="248"/>
      <c r="J102" s="246"/>
      <c r="K102" s="250"/>
      <c r="L102" s="227"/>
    </row>
    <row r="103" spans="1:12" s="57" customFormat="1" x14ac:dyDescent="0.45">
      <c r="A103" s="264"/>
      <c r="B103" s="246"/>
      <c r="C103" s="124" t="s">
        <v>520</v>
      </c>
      <c r="D103" s="126" t="s">
        <v>96</v>
      </c>
      <c r="E103" s="124" t="s">
        <v>18</v>
      </c>
      <c r="F103" s="126" t="s">
        <v>122</v>
      </c>
      <c r="G103" s="176">
        <v>13.124556</v>
      </c>
      <c r="H103" s="230"/>
      <c r="I103" s="232"/>
      <c r="J103" s="234"/>
      <c r="K103" s="251"/>
      <c r="L103" s="228"/>
    </row>
    <row r="104" spans="1:12" ht="42.75" x14ac:dyDescent="0.45">
      <c r="A104" s="264"/>
      <c r="B104" s="234"/>
      <c r="C104" s="124" t="s">
        <v>10</v>
      </c>
      <c r="D104" s="126" t="s">
        <v>40</v>
      </c>
      <c r="E104" s="124" t="s">
        <v>12</v>
      </c>
      <c r="F104" s="126" t="s">
        <v>415</v>
      </c>
      <c r="G104" s="176">
        <v>4</v>
      </c>
      <c r="H104" s="124" t="s">
        <v>13</v>
      </c>
      <c r="I104" s="125" t="s">
        <v>41</v>
      </c>
      <c r="J104" s="196" t="s">
        <v>21</v>
      </c>
      <c r="K104" s="127" t="s">
        <v>556</v>
      </c>
      <c r="L104" s="194">
        <v>44166</v>
      </c>
    </row>
    <row r="105" spans="1:12" ht="30" customHeight="1" x14ac:dyDescent="0.45">
      <c r="A105" s="120" t="s">
        <v>100</v>
      </c>
      <c r="B105" s="85">
        <v>34</v>
      </c>
      <c r="C105" s="124" t="s">
        <v>520</v>
      </c>
      <c r="D105" s="126" t="s">
        <v>96</v>
      </c>
      <c r="E105" s="124" t="s">
        <v>18</v>
      </c>
      <c r="F105" s="126" t="s">
        <v>122</v>
      </c>
      <c r="G105" s="176">
        <f>31.7+2.06709+0.14</f>
        <v>33.907089999999997</v>
      </c>
      <c r="H105" s="124" t="s">
        <v>13</v>
      </c>
      <c r="I105" s="125" t="s">
        <v>97</v>
      </c>
      <c r="J105" s="124" t="s">
        <v>15</v>
      </c>
      <c r="K105" s="127"/>
      <c r="L105" s="129"/>
    </row>
    <row r="106" spans="1:12" x14ac:dyDescent="0.45">
      <c r="A106" s="264" t="s">
        <v>101</v>
      </c>
      <c r="B106" s="233">
        <v>59</v>
      </c>
      <c r="C106" s="124" t="s">
        <v>10</v>
      </c>
      <c r="D106" s="126" t="s">
        <v>96</v>
      </c>
      <c r="E106" s="124" t="s">
        <v>18</v>
      </c>
      <c r="F106" s="126" t="s">
        <v>122</v>
      </c>
      <c r="G106" s="176">
        <v>30.004252000000001</v>
      </c>
      <c r="H106" s="287" t="s">
        <v>13</v>
      </c>
      <c r="I106" s="255" t="s">
        <v>97</v>
      </c>
      <c r="J106" s="283" t="s">
        <v>21</v>
      </c>
      <c r="K106" s="284" t="s">
        <v>44</v>
      </c>
      <c r="L106" s="286">
        <v>44195</v>
      </c>
    </row>
    <row r="107" spans="1:12" ht="28.5" x14ac:dyDescent="0.45">
      <c r="A107" s="264"/>
      <c r="B107" s="246"/>
      <c r="C107" s="124" t="s">
        <v>10</v>
      </c>
      <c r="D107" s="126" t="s">
        <v>96</v>
      </c>
      <c r="E107" s="124" t="s">
        <v>12</v>
      </c>
      <c r="F107" s="126" t="s">
        <v>417</v>
      </c>
      <c r="G107" s="176">
        <v>5</v>
      </c>
      <c r="H107" s="287"/>
      <c r="I107" s="255"/>
      <c r="J107" s="283"/>
      <c r="K107" s="284"/>
      <c r="L107" s="263"/>
    </row>
    <row r="108" spans="1:12" ht="28.5" x14ac:dyDescent="0.45">
      <c r="A108" s="264"/>
      <c r="B108" s="246"/>
      <c r="C108" s="124" t="s">
        <v>10</v>
      </c>
      <c r="D108" s="126" t="s">
        <v>40</v>
      </c>
      <c r="E108" s="124" t="s">
        <v>12</v>
      </c>
      <c r="F108" s="126" t="s">
        <v>417</v>
      </c>
      <c r="G108" s="176">
        <v>15.495009</v>
      </c>
      <c r="H108" s="287" t="s">
        <v>13</v>
      </c>
      <c r="I108" s="255" t="s">
        <v>41</v>
      </c>
      <c r="J108" s="283" t="s">
        <v>21</v>
      </c>
      <c r="K108" s="284" t="s">
        <v>44</v>
      </c>
      <c r="L108" s="262">
        <v>44166</v>
      </c>
    </row>
    <row r="109" spans="1:12" ht="28.5" x14ac:dyDescent="0.45">
      <c r="A109" s="264"/>
      <c r="B109" s="234"/>
      <c r="C109" s="124" t="s">
        <v>10</v>
      </c>
      <c r="D109" s="126" t="s">
        <v>40</v>
      </c>
      <c r="E109" s="124" t="s">
        <v>18</v>
      </c>
      <c r="F109" s="126" t="s">
        <v>122</v>
      </c>
      <c r="G109" s="176">
        <v>6.9344419999999998</v>
      </c>
      <c r="H109" s="287"/>
      <c r="I109" s="255"/>
      <c r="J109" s="283"/>
      <c r="K109" s="284"/>
      <c r="L109" s="285"/>
    </row>
    <row r="110" spans="1:12" ht="42.75" x14ac:dyDescent="0.45">
      <c r="A110" s="120" t="s">
        <v>102</v>
      </c>
      <c r="B110" s="85">
        <v>292</v>
      </c>
      <c r="C110" s="124" t="s">
        <v>10</v>
      </c>
      <c r="D110" s="126" t="s">
        <v>103</v>
      </c>
      <c r="E110" s="124" t="s">
        <v>18</v>
      </c>
      <c r="F110" s="126" t="s">
        <v>122</v>
      </c>
      <c r="G110" s="176">
        <f>234.707427+21.265071</f>
        <v>255.972498</v>
      </c>
      <c r="H110" s="126" t="s">
        <v>104</v>
      </c>
      <c r="I110" s="200" t="s">
        <v>122</v>
      </c>
      <c r="J110" s="225" t="s">
        <v>21</v>
      </c>
      <c r="K110" s="22" t="s">
        <v>105</v>
      </c>
      <c r="L110" s="128">
        <v>43922</v>
      </c>
    </row>
    <row r="111" spans="1:12" ht="28.5" x14ac:dyDescent="0.45">
      <c r="A111" s="264" t="s">
        <v>106</v>
      </c>
      <c r="B111" s="233">
        <v>25</v>
      </c>
      <c r="C111" s="124" t="s">
        <v>10</v>
      </c>
      <c r="D111" s="126" t="s">
        <v>40</v>
      </c>
      <c r="E111" s="124" t="s">
        <v>12</v>
      </c>
      <c r="F111" s="126" t="s">
        <v>417</v>
      </c>
      <c r="G111" s="176">
        <v>12.65</v>
      </c>
      <c r="H111" s="287" t="s">
        <v>13</v>
      </c>
      <c r="I111" s="255" t="s">
        <v>41</v>
      </c>
      <c r="J111" s="283" t="s">
        <v>21</v>
      </c>
      <c r="K111" s="284" t="s">
        <v>445</v>
      </c>
      <c r="L111" s="262">
        <v>44166</v>
      </c>
    </row>
    <row r="112" spans="1:12" ht="28.5" x14ac:dyDescent="0.45">
      <c r="A112" s="264"/>
      <c r="B112" s="234"/>
      <c r="C112" s="124" t="s">
        <v>10</v>
      </c>
      <c r="D112" s="126" t="s">
        <v>40</v>
      </c>
      <c r="E112" s="124" t="s">
        <v>18</v>
      </c>
      <c r="F112" s="156" t="s">
        <v>122</v>
      </c>
      <c r="G112" s="176">
        <f>11.5+0.97319</f>
        <v>12.473190000000001</v>
      </c>
      <c r="H112" s="287"/>
      <c r="I112" s="255"/>
      <c r="J112" s="283"/>
      <c r="K112" s="284"/>
      <c r="L112" s="285"/>
    </row>
    <row r="113" spans="1:12" ht="28.5" x14ac:dyDescent="0.45">
      <c r="A113" s="243" t="s">
        <v>107</v>
      </c>
      <c r="B113" s="233">
        <v>506</v>
      </c>
      <c r="C113" s="124" t="s">
        <v>520</v>
      </c>
      <c r="D113" s="126" t="s">
        <v>22</v>
      </c>
      <c r="E113" s="124" t="s">
        <v>12</v>
      </c>
      <c r="F113" s="126" t="s">
        <v>521</v>
      </c>
      <c r="G113" s="176">
        <v>505.65</v>
      </c>
      <c r="H113" s="229" t="s">
        <v>13</v>
      </c>
      <c r="I113" s="274" t="s">
        <v>23</v>
      </c>
      <c r="J113" s="229" t="s">
        <v>15</v>
      </c>
      <c r="K113" s="235"/>
      <c r="L113" s="257"/>
    </row>
    <row r="114" spans="1:12" s="57" customFormat="1" x14ac:dyDescent="0.45">
      <c r="A114" s="245"/>
      <c r="B114" s="234"/>
      <c r="C114" s="124" t="s">
        <v>520</v>
      </c>
      <c r="D114" s="126" t="s">
        <v>22</v>
      </c>
      <c r="E114" s="124" t="s">
        <v>18</v>
      </c>
      <c r="F114" s="126" t="s">
        <v>122</v>
      </c>
      <c r="G114" s="213">
        <f>2.32261-2.066</f>
        <v>0.25661000000000023</v>
      </c>
      <c r="H114" s="230"/>
      <c r="I114" s="276"/>
      <c r="J114" s="230"/>
      <c r="K114" s="236"/>
      <c r="L114" s="259"/>
    </row>
    <row r="115" spans="1:12" ht="42.75" x14ac:dyDescent="0.45">
      <c r="A115" s="264" t="s">
        <v>108</v>
      </c>
      <c r="B115" s="233">
        <v>241</v>
      </c>
      <c r="C115" s="136" t="s">
        <v>28</v>
      </c>
      <c r="D115" s="126" t="s">
        <v>22</v>
      </c>
      <c r="E115" s="124" t="s">
        <v>12</v>
      </c>
      <c r="F115" s="126" t="s">
        <v>415</v>
      </c>
      <c r="G115" s="176">
        <v>253.264557</v>
      </c>
      <c r="H115" s="288" t="s">
        <v>13</v>
      </c>
      <c r="I115" s="240" t="s">
        <v>109</v>
      </c>
      <c r="J115" s="265" t="s">
        <v>21</v>
      </c>
      <c r="K115" s="289" t="s">
        <v>402</v>
      </c>
      <c r="L115" s="290">
        <v>44160</v>
      </c>
    </row>
    <row r="116" spans="1:12" ht="42.75" x14ac:dyDescent="0.45">
      <c r="A116" s="264"/>
      <c r="B116" s="246"/>
      <c r="C116" s="136" t="s">
        <v>10</v>
      </c>
      <c r="D116" s="126" t="s">
        <v>22</v>
      </c>
      <c r="E116" s="124" t="s">
        <v>12</v>
      </c>
      <c r="F116" s="126" t="s">
        <v>415</v>
      </c>
      <c r="G116" s="176">
        <v>-101.336512</v>
      </c>
      <c r="H116" s="288"/>
      <c r="I116" s="240"/>
      <c r="J116" s="266"/>
      <c r="K116" s="289"/>
      <c r="L116" s="291"/>
    </row>
    <row r="117" spans="1:12" s="57" customFormat="1" x14ac:dyDescent="0.45">
      <c r="A117" s="264"/>
      <c r="B117" s="246"/>
      <c r="C117" s="136" t="s">
        <v>10</v>
      </c>
      <c r="D117" s="126" t="s">
        <v>22</v>
      </c>
      <c r="E117" s="124" t="s">
        <v>18</v>
      </c>
      <c r="F117" s="126" t="s">
        <v>122</v>
      </c>
      <c r="G117" s="176">
        <f>14.975267+85</f>
        <v>99.975267000000002</v>
      </c>
      <c r="H117" s="288"/>
      <c r="I117" s="240"/>
      <c r="J117" s="266"/>
      <c r="K117" s="289"/>
      <c r="L117" s="291"/>
    </row>
    <row r="118" spans="1:12" s="57" customFormat="1" ht="42.75" x14ac:dyDescent="0.45">
      <c r="A118" s="264"/>
      <c r="B118" s="246"/>
      <c r="C118" s="136" t="s">
        <v>520</v>
      </c>
      <c r="D118" s="126" t="s">
        <v>22</v>
      </c>
      <c r="E118" s="124" t="s">
        <v>12</v>
      </c>
      <c r="F118" s="126" t="s">
        <v>415</v>
      </c>
      <c r="G118" s="176">
        <v>-116.14223699999999</v>
      </c>
      <c r="H118" s="288"/>
      <c r="I118" s="240"/>
      <c r="J118" s="266"/>
      <c r="K118" s="289"/>
      <c r="L118" s="291"/>
    </row>
    <row r="119" spans="1:12" s="57" customFormat="1" x14ac:dyDescent="0.45">
      <c r="A119" s="264"/>
      <c r="B119" s="246"/>
      <c r="C119" s="136" t="s">
        <v>520</v>
      </c>
      <c r="D119" s="126" t="s">
        <v>22</v>
      </c>
      <c r="E119" s="124" t="s">
        <v>18</v>
      </c>
      <c r="F119" s="126" t="s">
        <v>122</v>
      </c>
      <c r="G119" s="176">
        <v>47.492269</v>
      </c>
      <c r="H119" s="288"/>
      <c r="I119" s="240"/>
      <c r="J119" s="266"/>
      <c r="K119" s="289"/>
      <c r="L119" s="291"/>
    </row>
    <row r="120" spans="1:12" ht="28.5" x14ac:dyDescent="0.45">
      <c r="A120" s="264"/>
      <c r="B120" s="234"/>
      <c r="C120" s="136" t="s">
        <v>520</v>
      </c>
      <c r="D120" s="126" t="s">
        <v>22</v>
      </c>
      <c r="E120" s="139" t="s">
        <v>12</v>
      </c>
      <c r="F120" s="126" t="s">
        <v>521</v>
      </c>
      <c r="G120" s="178">
        <v>68.649968000000001</v>
      </c>
      <c r="H120" s="288"/>
      <c r="I120" s="240"/>
      <c r="J120" s="267"/>
      <c r="K120" s="289"/>
      <c r="L120" s="291"/>
    </row>
    <row r="121" spans="1:12" ht="29.25" customHeight="1" x14ac:dyDescent="0.45">
      <c r="A121" s="243" t="s">
        <v>110</v>
      </c>
      <c r="B121" s="233">
        <v>93</v>
      </c>
      <c r="C121" s="136" t="s">
        <v>520</v>
      </c>
      <c r="D121" s="126" t="s">
        <v>22</v>
      </c>
      <c r="E121" s="124" t="s">
        <v>12</v>
      </c>
      <c r="F121" s="126" t="s">
        <v>521</v>
      </c>
      <c r="G121" s="176">
        <v>43</v>
      </c>
      <c r="H121" s="124" t="s">
        <v>13</v>
      </c>
      <c r="I121" s="146" t="s">
        <v>23</v>
      </c>
      <c r="J121" s="124" t="s">
        <v>15</v>
      </c>
      <c r="K121" s="127"/>
      <c r="L121" s="129"/>
    </row>
    <row r="122" spans="1:12" s="57" customFormat="1" ht="29.25" customHeight="1" x14ac:dyDescent="0.45">
      <c r="A122" s="245"/>
      <c r="B122" s="234"/>
      <c r="C122" s="136" t="s">
        <v>520</v>
      </c>
      <c r="D122" s="126" t="s">
        <v>19</v>
      </c>
      <c r="E122" s="124" t="s">
        <v>18</v>
      </c>
      <c r="F122" s="126" t="s">
        <v>122</v>
      </c>
      <c r="G122" s="176">
        <v>50</v>
      </c>
      <c r="H122" s="124" t="s">
        <v>13</v>
      </c>
      <c r="I122" s="131" t="s">
        <v>20</v>
      </c>
      <c r="J122" s="124" t="s">
        <v>21</v>
      </c>
      <c r="K122" s="127" t="s">
        <v>44</v>
      </c>
      <c r="L122" s="123">
        <v>44227</v>
      </c>
    </row>
    <row r="123" spans="1:12" ht="28.5" x14ac:dyDescent="0.45">
      <c r="A123" s="120" t="s">
        <v>111</v>
      </c>
      <c r="B123" s="85">
        <v>21</v>
      </c>
      <c r="C123" s="136" t="s">
        <v>520</v>
      </c>
      <c r="D123" s="126" t="s">
        <v>22</v>
      </c>
      <c r="E123" s="124" t="s">
        <v>12</v>
      </c>
      <c r="F123" s="126" t="s">
        <v>521</v>
      </c>
      <c r="G123" s="176">
        <f>64.4273-43</f>
        <v>21.427300000000002</v>
      </c>
      <c r="H123" s="124" t="s">
        <v>13</v>
      </c>
      <c r="I123" s="146" t="s">
        <v>23</v>
      </c>
      <c r="J123" s="124" t="s">
        <v>15</v>
      </c>
      <c r="K123" s="127"/>
      <c r="L123" s="129"/>
    </row>
    <row r="124" spans="1:12" ht="28.5" x14ac:dyDescent="0.45">
      <c r="A124" s="264" t="s">
        <v>112</v>
      </c>
      <c r="B124" s="233">
        <f>100+35</f>
        <v>135</v>
      </c>
      <c r="C124" s="124" t="s">
        <v>28</v>
      </c>
      <c r="D124" s="126" t="s">
        <v>113</v>
      </c>
      <c r="E124" s="124" t="s">
        <v>18</v>
      </c>
      <c r="F124" s="126" t="s">
        <v>122</v>
      </c>
      <c r="G124" s="176">
        <v>59.32</v>
      </c>
      <c r="H124" s="287" t="s">
        <v>13</v>
      </c>
      <c r="I124" s="255" t="s">
        <v>114</v>
      </c>
      <c r="J124" s="233" t="s">
        <v>21</v>
      </c>
      <c r="K124" s="242" t="s">
        <v>115</v>
      </c>
      <c r="L124" s="262">
        <v>44044</v>
      </c>
    </row>
    <row r="125" spans="1:12" ht="28.5" x14ac:dyDescent="0.45">
      <c r="A125" s="264"/>
      <c r="B125" s="246"/>
      <c r="C125" s="124" t="s">
        <v>28</v>
      </c>
      <c r="D125" s="126" t="s">
        <v>113</v>
      </c>
      <c r="E125" s="124" t="s">
        <v>12</v>
      </c>
      <c r="F125" s="126" t="s">
        <v>413</v>
      </c>
      <c r="G125" s="176">
        <v>40.68</v>
      </c>
      <c r="H125" s="287"/>
      <c r="I125" s="255"/>
      <c r="J125" s="246"/>
      <c r="K125" s="242"/>
      <c r="L125" s="285"/>
    </row>
    <row r="126" spans="1:12" ht="28.5" x14ac:dyDescent="0.45">
      <c r="A126" s="264"/>
      <c r="B126" s="246"/>
      <c r="C126" s="124" t="s">
        <v>10</v>
      </c>
      <c r="D126" s="126" t="s">
        <v>113</v>
      </c>
      <c r="E126" s="124" t="s">
        <v>12</v>
      </c>
      <c r="F126" s="126" t="s">
        <v>413</v>
      </c>
      <c r="G126" s="176">
        <v>-1.2203999999999999</v>
      </c>
      <c r="H126" s="287"/>
      <c r="I126" s="255"/>
      <c r="J126" s="246"/>
      <c r="K126" s="242"/>
      <c r="L126" s="285"/>
    </row>
    <row r="127" spans="1:12" s="57" customFormat="1" ht="28.5" x14ac:dyDescent="0.45">
      <c r="A127" s="264"/>
      <c r="B127" s="246"/>
      <c r="C127" s="124" t="s">
        <v>10</v>
      </c>
      <c r="D127" s="126" t="s">
        <v>113</v>
      </c>
      <c r="E127" s="124" t="s">
        <v>18</v>
      </c>
      <c r="F127" s="126" t="s">
        <v>122</v>
      </c>
      <c r="G127" s="176">
        <v>1.2203999999999999</v>
      </c>
      <c r="H127" s="287"/>
      <c r="I127" s="255"/>
      <c r="J127" s="246"/>
      <c r="K127" s="242"/>
      <c r="L127" s="285"/>
    </row>
    <row r="128" spans="1:12" ht="28.5" x14ac:dyDescent="0.45">
      <c r="A128" s="264"/>
      <c r="B128" s="234"/>
      <c r="C128" s="139" t="s">
        <v>520</v>
      </c>
      <c r="D128" s="126" t="s">
        <v>113</v>
      </c>
      <c r="E128" s="139" t="s">
        <v>18</v>
      </c>
      <c r="F128" s="118" t="s">
        <v>122</v>
      </c>
      <c r="G128" s="176">
        <v>35</v>
      </c>
      <c r="H128" s="287"/>
      <c r="I128" s="255"/>
      <c r="J128" s="234"/>
      <c r="K128" s="242"/>
      <c r="L128" s="285"/>
    </row>
    <row r="129" spans="1:12" ht="28.5" x14ac:dyDescent="0.45">
      <c r="A129" s="120" t="s">
        <v>116</v>
      </c>
      <c r="B129" s="85">
        <v>0</v>
      </c>
      <c r="C129" s="124" t="s">
        <v>47</v>
      </c>
      <c r="D129" s="126" t="s">
        <v>113</v>
      </c>
      <c r="E129" s="124" t="s">
        <v>122</v>
      </c>
      <c r="F129" s="126" t="s">
        <v>122</v>
      </c>
      <c r="G129" s="176" t="s">
        <v>122</v>
      </c>
      <c r="H129" s="124" t="s">
        <v>434</v>
      </c>
      <c r="I129" s="124"/>
      <c r="J129" s="124"/>
      <c r="K129" s="127"/>
      <c r="L129" s="129"/>
    </row>
    <row r="130" spans="1:12" ht="42.75" x14ac:dyDescent="0.45">
      <c r="A130" s="264" t="s">
        <v>117</v>
      </c>
      <c r="B130" s="233">
        <f>285+537</f>
        <v>822</v>
      </c>
      <c r="C130" s="136" t="s">
        <v>28</v>
      </c>
      <c r="D130" s="126" t="s">
        <v>42</v>
      </c>
      <c r="E130" s="124" t="s">
        <v>12</v>
      </c>
      <c r="F130" s="126" t="s">
        <v>415</v>
      </c>
      <c r="G130" s="176">
        <v>280.536</v>
      </c>
      <c r="H130" s="265" t="s">
        <v>13</v>
      </c>
      <c r="I130" s="274" t="s">
        <v>43</v>
      </c>
      <c r="J130" s="265" t="s">
        <v>21</v>
      </c>
      <c r="K130" s="277" t="s">
        <v>118</v>
      </c>
      <c r="L130" s="280">
        <v>44082</v>
      </c>
    </row>
    <row r="131" spans="1:12" s="57" customFormat="1" x14ac:dyDescent="0.45">
      <c r="A131" s="264"/>
      <c r="B131" s="246"/>
      <c r="C131" s="136" t="s">
        <v>520</v>
      </c>
      <c r="D131" s="126" t="s">
        <v>42</v>
      </c>
      <c r="E131" s="124" t="s">
        <v>18</v>
      </c>
      <c r="F131" s="126" t="s">
        <v>122</v>
      </c>
      <c r="G131" s="176">
        <f>61.136105+16.606763+447.9837</f>
        <v>525.72656800000004</v>
      </c>
      <c r="H131" s="266"/>
      <c r="I131" s="275"/>
      <c r="J131" s="266"/>
      <c r="K131" s="278"/>
      <c r="L131" s="281"/>
    </row>
    <row r="132" spans="1:12" s="57" customFormat="1" x14ac:dyDescent="0.45">
      <c r="A132" s="264"/>
      <c r="B132" s="246"/>
      <c r="C132" s="136" t="s">
        <v>520</v>
      </c>
      <c r="D132" s="126" t="s">
        <v>42</v>
      </c>
      <c r="E132" s="124" t="s">
        <v>18</v>
      </c>
      <c r="F132" s="126" t="s">
        <v>122</v>
      </c>
      <c r="G132" s="176">
        <v>1.2530349999999999</v>
      </c>
      <c r="H132" s="266"/>
      <c r="I132" s="275"/>
      <c r="J132" s="266"/>
      <c r="K132" s="278"/>
      <c r="L132" s="281"/>
    </row>
    <row r="133" spans="1:12" s="57" customFormat="1" ht="42.75" x14ac:dyDescent="0.45">
      <c r="A133" s="264"/>
      <c r="B133" s="246"/>
      <c r="C133" s="136" t="s">
        <v>520</v>
      </c>
      <c r="D133" s="126" t="s">
        <v>42</v>
      </c>
      <c r="E133" s="124" t="s">
        <v>12</v>
      </c>
      <c r="F133" s="126" t="s">
        <v>415</v>
      </c>
      <c r="G133" s="176">
        <v>-1.2530349999999999</v>
      </c>
      <c r="H133" s="267"/>
      <c r="I133" s="276"/>
      <c r="J133" s="267"/>
      <c r="K133" s="279"/>
      <c r="L133" s="282"/>
    </row>
    <row r="134" spans="1:12" s="57" customFormat="1" ht="42.75" x14ac:dyDescent="0.45">
      <c r="A134" s="264"/>
      <c r="B134" s="246"/>
      <c r="C134" s="136" t="s">
        <v>10</v>
      </c>
      <c r="D134" s="126" t="s">
        <v>98</v>
      </c>
      <c r="E134" s="124" t="s">
        <v>12</v>
      </c>
      <c r="F134" s="126" t="s">
        <v>415</v>
      </c>
      <c r="G134" s="176">
        <v>1.1000000000000001</v>
      </c>
      <c r="H134" s="136" t="s">
        <v>13</v>
      </c>
      <c r="I134" s="125" t="s">
        <v>99</v>
      </c>
      <c r="J134" s="144" t="s">
        <v>21</v>
      </c>
      <c r="K134" s="142" t="s">
        <v>387</v>
      </c>
      <c r="L134" s="143">
        <v>44196</v>
      </c>
    </row>
    <row r="135" spans="1:12" s="57" customFormat="1" x14ac:dyDescent="0.45">
      <c r="A135" s="264"/>
      <c r="B135" s="246"/>
      <c r="C135" s="136" t="s">
        <v>520</v>
      </c>
      <c r="D135" s="126" t="s">
        <v>19</v>
      </c>
      <c r="E135" s="124" t="s">
        <v>18</v>
      </c>
      <c r="F135" s="126" t="s">
        <v>122</v>
      </c>
      <c r="G135" s="176">
        <v>6.25</v>
      </c>
      <c r="H135" s="124" t="s">
        <v>13</v>
      </c>
      <c r="I135" s="131" t="s">
        <v>20</v>
      </c>
      <c r="J135" s="144" t="s">
        <v>15</v>
      </c>
      <c r="K135" s="142"/>
      <c r="L135" s="143"/>
    </row>
    <row r="136" spans="1:12" x14ac:dyDescent="0.45">
      <c r="A136" s="264"/>
      <c r="B136" s="234"/>
      <c r="C136" s="136" t="s">
        <v>520</v>
      </c>
      <c r="D136" s="126" t="s">
        <v>22</v>
      </c>
      <c r="E136" s="124" t="s">
        <v>18</v>
      </c>
      <c r="F136" s="126" t="s">
        <v>122</v>
      </c>
      <c r="G136" s="176">
        <v>2.0659999999999998</v>
      </c>
      <c r="H136" s="124" t="s">
        <v>13</v>
      </c>
      <c r="I136" s="146" t="s">
        <v>23</v>
      </c>
      <c r="J136" s="124" t="s">
        <v>15</v>
      </c>
      <c r="K136" s="20"/>
      <c r="L136" s="64"/>
    </row>
    <row r="137" spans="1:12" ht="28.5" x14ac:dyDescent="0.45">
      <c r="A137" s="243" t="s">
        <v>119</v>
      </c>
      <c r="B137" s="233">
        <v>83</v>
      </c>
      <c r="C137" s="124" t="s">
        <v>10</v>
      </c>
      <c r="D137" s="126" t="s">
        <v>42</v>
      </c>
      <c r="E137" s="124" t="s">
        <v>12</v>
      </c>
      <c r="F137" s="100" t="s">
        <v>413</v>
      </c>
      <c r="G137" s="176">
        <v>82.5</v>
      </c>
      <c r="H137" s="287" t="s">
        <v>13</v>
      </c>
      <c r="I137" s="255" t="s">
        <v>43</v>
      </c>
      <c r="J137" s="287" t="s">
        <v>205</v>
      </c>
      <c r="K137" s="284"/>
      <c r="L137" s="285"/>
    </row>
    <row r="138" spans="1:12" s="57" customFormat="1" x14ac:dyDescent="0.45">
      <c r="A138" s="244"/>
      <c r="B138" s="246"/>
      <c r="C138" s="124" t="s">
        <v>520</v>
      </c>
      <c r="D138" s="126" t="s">
        <v>42</v>
      </c>
      <c r="E138" s="124" t="s">
        <v>18</v>
      </c>
      <c r="F138" s="100" t="s">
        <v>122</v>
      </c>
      <c r="G138" s="176">
        <f>57.924343+0.343862</f>
        <v>58.268205000000002</v>
      </c>
      <c r="H138" s="287"/>
      <c r="I138" s="255"/>
      <c r="J138" s="287"/>
      <c r="K138" s="284"/>
      <c r="L138" s="285"/>
    </row>
    <row r="139" spans="1:12" s="57" customFormat="1" ht="28.5" x14ac:dyDescent="0.45">
      <c r="A139" s="245"/>
      <c r="B139" s="234"/>
      <c r="C139" s="124" t="s">
        <v>520</v>
      </c>
      <c r="D139" s="126" t="s">
        <v>42</v>
      </c>
      <c r="E139" s="124" t="s">
        <v>12</v>
      </c>
      <c r="F139" s="100" t="s">
        <v>413</v>
      </c>
      <c r="G139" s="176">
        <v>-58.340210999999996</v>
      </c>
      <c r="H139" s="287"/>
      <c r="I139" s="255"/>
      <c r="J139" s="287"/>
      <c r="K139" s="284"/>
      <c r="L139" s="285"/>
    </row>
    <row r="140" spans="1:12" x14ac:dyDescent="0.45">
      <c r="A140" s="120" t="s">
        <v>120</v>
      </c>
      <c r="B140" s="85">
        <v>64</v>
      </c>
      <c r="C140" s="124" t="s">
        <v>520</v>
      </c>
      <c r="D140" s="126" t="s">
        <v>42</v>
      </c>
      <c r="E140" s="124" t="s">
        <v>18</v>
      </c>
      <c r="F140" s="126" t="s">
        <v>122</v>
      </c>
      <c r="G140" s="176">
        <f>0.697346+0.04+63.012274</f>
        <v>63.74962</v>
      </c>
      <c r="H140" s="124" t="s">
        <v>13</v>
      </c>
      <c r="I140" s="125" t="s">
        <v>43</v>
      </c>
      <c r="J140" s="124" t="s">
        <v>15</v>
      </c>
      <c r="K140" s="127"/>
      <c r="L140" s="129"/>
    </row>
    <row r="141" spans="1:12" ht="28.5" x14ac:dyDescent="0.45">
      <c r="A141" s="243" t="s">
        <v>423</v>
      </c>
      <c r="B141" s="233">
        <f>299+400</f>
        <v>699</v>
      </c>
      <c r="C141" s="136" t="s">
        <v>520</v>
      </c>
      <c r="D141" s="144" t="s">
        <v>121</v>
      </c>
      <c r="E141" s="124" t="s">
        <v>18</v>
      </c>
      <c r="F141" s="126" t="s">
        <v>122</v>
      </c>
      <c r="G141" s="176">
        <v>400</v>
      </c>
      <c r="H141" s="265" t="s">
        <v>13</v>
      </c>
      <c r="I141" s="274" t="s">
        <v>123</v>
      </c>
      <c r="J141" s="265" t="s">
        <v>21</v>
      </c>
      <c r="K141" s="277" t="s">
        <v>450</v>
      </c>
      <c r="L141" s="280">
        <v>44201</v>
      </c>
    </row>
    <row r="142" spans="1:12" s="57" customFormat="1" ht="28.5" x14ac:dyDescent="0.45">
      <c r="A142" s="244"/>
      <c r="B142" s="246"/>
      <c r="C142" s="124" t="s">
        <v>520</v>
      </c>
      <c r="D142" s="63" t="s">
        <v>121</v>
      </c>
      <c r="E142" s="124" t="s">
        <v>18</v>
      </c>
      <c r="F142" s="126" t="s">
        <v>122</v>
      </c>
      <c r="G142" s="176">
        <f>705+120</f>
        <v>825</v>
      </c>
      <c r="H142" s="266"/>
      <c r="I142" s="275"/>
      <c r="J142" s="266"/>
      <c r="K142" s="278"/>
      <c r="L142" s="281"/>
    </row>
    <row r="143" spans="1:12" s="57" customFormat="1" x14ac:dyDescent="0.45">
      <c r="A143" s="245"/>
      <c r="B143" s="234"/>
      <c r="C143" s="124" t="s">
        <v>520</v>
      </c>
      <c r="D143" s="126" t="s">
        <v>19</v>
      </c>
      <c r="E143" s="124" t="s">
        <v>18</v>
      </c>
      <c r="F143" s="126" t="s">
        <v>122</v>
      </c>
      <c r="G143" s="176">
        <v>-705</v>
      </c>
      <c r="H143" s="267"/>
      <c r="I143" s="276"/>
      <c r="J143" s="267"/>
      <c r="K143" s="279"/>
      <c r="L143" s="282"/>
    </row>
    <row r="144" spans="1:12" ht="31.5" customHeight="1" x14ac:dyDescent="0.45">
      <c r="A144" s="120" t="s">
        <v>124</v>
      </c>
      <c r="B144" s="85">
        <v>25</v>
      </c>
      <c r="C144" s="136" t="s">
        <v>28</v>
      </c>
      <c r="D144" s="126" t="s">
        <v>11</v>
      </c>
      <c r="E144" s="124" t="s">
        <v>18</v>
      </c>
      <c r="F144" s="126" t="s">
        <v>122</v>
      </c>
      <c r="G144" s="176">
        <v>12.5</v>
      </c>
      <c r="H144" s="136" t="s">
        <v>13</v>
      </c>
      <c r="I144" s="131" t="s">
        <v>14</v>
      </c>
      <c r="J144" s="144" t="s">
        <v>21</v>
      </c>
      <c r="K144" s="142" t="s">
        <v>496</v>
      </c>
      <c r="L144" s="61">
        <v>44136</v>
      </c>
    </row>
    <row r="145" spans="1:12" x14ac:dyDescent="0.45">
      <c r="A145" s="264" t="s">
        <v>494</v>
      </c>
      <c r="B145" s="233">
        <f>513</f>
        <v>513</v>
      </c>
      <c r="C145" s="136" t="s">
        <v>28</v>
      </c>
      <c r="D145" s="126" t="s">
        <v>11</v>
      </c>
      <c r="E145" s="124" t="s">
        <v>18</v>
      </c>
      <c r="F145" s="126" t="s">
        <v>122</v>
      </c>
      <c r="G145" s="176">
        <v>25.795292</v>
      </c>
      <c r="H145" s="130" t="s">
        <v>13</v>
      </c>
      <c r="I145" s="131" t="s">
        <v>14</v>
      </c>
      <c r="J145" s="132" t="s">
        <v>21</v>
      </c>
      <c r="K145" s="151" t="s">
        <v>497</v>
      </c>
      <c r="L145" s="128">
        <v>44136</v>
      </c>
    </row>
    <row r="146" spans="1:12" x14ac:dyDescent="0.45">
      <c r="A146" s="264"/>
      <c r="B146" s="246"/>
      <c r="C146" s="136" t="s">
        <v>28</v>
      </c>
      <c r="D146" s="126" t="s">
        <v>71</v>
      </c>
      <c r="E146" s="124" t="s">
        <v>18</v>
      </c>
      <c r="F146" s="126" t="s">
        <v>122</v>
      </c>
      <c r="G146" s="176">
        <v>192.20470800000001</v>
      </c>
      <c r="H146" s="130" t="s">
        <v>13</v>
      </c>
      <c r="I146" s="131" t="s">
        <v>125</v>
      </c>
      <c r="J146" s="130" t="s">
        <v>21</v>
      </c>
      <c r="K146" s="133" t="s">
        <v>44</v>
      </c>
      <c r="L146" s="123">
        <v>44104</v>
      </c>
    </row>
    <row r="147" spans="1:12" ht="28.5" x14ac:dyDescent="0.45">
      <c r="A147" s="264"/>
      <c r="B147" s="246"/>
      <c r="C147" s="136" t="s">
        <v>28</v>
      </c>
      <c r="D147" s="126" t="s">
        <v>73</v>
      </c>
      <c r="E147" s="124" t="s">
        <v>18</v>
      </c>
      <c r="F147" s="126" t="s">
        <v>122</v>
      </c>
      <c r="G147" s="176">
        <v>12</v>
      </c>
      <c r="H147" s="130" t="s">
        <v>13</v>
      </c>
      <c r="I147" s="131" t="s">
        <v>72</v>
      </c>
      <c r="J147" s="144" t="s">
        <v>78</v>
      </c>
      <c r="K147" s="151"/>
      <c r="L147" s="103"/>
    </row>
    <row r="148" spans="1:12" ht="42.75" x14ac:dyDescent="0.45">
      <c r="A148" s="264"/>
      <c r="B148" s="246"/>
      <c r="C148" s="136" t="s">
        <v>28</v>
      </c>
      <c r="D148" s="126" t="s">
        <v>75</v>
      </c>
      <c r="E148" s="124" t="s">
        <v>18</v>
      </c>
      <c r="F148" s="126" t="s">
        <v>122</v>
      </c>
      <c r="G148" s="176">
        <f>24.5133+20</f>
        <v>44.513300000000001</v>
      </c>
      <c r="H148" s="130" t="s">
        <v>13</v>
      </c>
      <c r="I148" s="131" t="s">
        <v>126</v>
      </c>
      <c r="J148" s="130" t="s">
        <v>21</v>
      </c>
      <c r="K148" s="133" t="s">
        <v>456</v>
      </c>
      <c r="L148" s="123">
        <v>44165</v>
      </c>
    </row>
    <row r="149" spans="1:12" ht="42.75" x14ac:dyDescent="0.45">
      <c r="A149" s="264"/>
      <c r="B149" s="246"/>
      <c r="C149" s="136" t="s">
        <v>10</v>
      </c>
      <c r="D149" s="126" t="s">
        <v>22</v>
      </c>
      <c r="E149" s="124" t="s">
        <v>12</v>
      </c>
      <c r="F149" s="126" t="s">
        <v>415</v>
      </c>
      <c r="G149" s="176">
        <v>-4.3365270000000002</v>
      </c>
      <c r="H149" s="309" t="s">
        <v>13</v>
      </c>
      <c r="I149" s="274" t="s">
        <v>23</v>
      </c>
      <c r="J149" s="311" t="s">
        <v>21</v>
      </c>
      <c r="K149" s="308" t="s">
        <v>505</v>
      </c>
      <c r="L149" s="237">
        <v>44166</v>
      </c>
    </row>
    <row r="150" spans="1:12" x14ac:dyDescent="0.45">
      <c r="A150" s="264"/>
      <c r="B150" s="246"/>
      <c r="C150" s="136" t="s">
        <v>10</v>
      </c>
      <c r="D150" s="126" t="s">
        <v>22</v>
      </c>
      <c r="E150" s="124" t="s">
        <v>18</v>
      </c>
      <c r="F150" s="114" t="s">
        <v>122</v>
      </c>
      <c r="G150" s="176">
        <v>3.6606359999999998</v>
      </c>
      <c r="H150" s="310"/>
      <c r="I150" s="276"/>
      <c r="J150" s="312"/>
      <c r="K150" s="308"/>
      <c r="L150" s="238"/>
    </row>
    <row r="151" spans="1:12" ht="42.75" x14ac:dyDescent="0.45">
      <c r="A151" s="264"/>
      <c r="B151" s="246"/>
      <c r="C151" s="136" t="s">
        <v>28</v>
      </c>
      <c r="D151" s="126" t="s">
        <v>37</v>
      </c>
      <c r="E151" s="124" t="s">
        <v>12</v>
      </c>
      <c r="F151" s="126" t="s">
        <v>415</v>
      </c>
      <c r="G151" s="176">
        <v>10</v>
      </c>
      <c r="H151" s="265" t="s">
        <v>13</v>
      </c>
      <c r="I151" s="274" t="s">
        <v>43</v>
      </c>
      <c r="J151" s="265" t="s">
        <v>205</v>
      </c>
      <c r="K151" s="268"/>
      <c r="L151" s="271"/>
    </row>
    <row r="152" spans="1:12" s="57" customFormat="1" ht="42.75" x14ac:dyDescent="0.45">
      <c r="A152" s="264"/>
      <c r="B152" s="246"/>
      <c r="C152" s="136" t="s">
        <v>520</v>
      </c>
      <c r="D152" s="126" t="s">
        <v>37</v>
      </c>
      <c r="E152" s="124" t="s">
        <v>12</v>
      </c>
      <c r="F152" s="126" t="s">
        <v>415</v>
      </c>
      <c r="G152" s="176">
        <v>-2.4373580000000001</v>
      </c>
      <c r="H152" s="266"/>
      <c r="I152" s="275"/>
      <c r="J152" s="266"/>
      <c r="K152" s="269"/>
      <c r="L152" s="272"/>
    </row>
    <row r="153" spans="1:12" s="57" customFormat="1" x14ac:dyDescent="0.45">
      <c r="A153" s="264"/>
      <c r="B153" s="246"/>
      <c r="C153" s="136" t="s">
        <v>520</v>
      </c>
      <c r="D153" s="126" t="s">
        <v>37</v>
      </c>
      <c r="E153" s="124" t="s">
        <v>18</v>
      </c>
      <c r="F153" s="126" t="s">
        <v>122</v>
      </c>
      <c r="G153" s="176">
        <v>2.4373580000000001</v>
      </c>
      <c r="H153" s="267"/>
      <c r="I153" s="276"/>
      <c r="J153" s="267"/>
      <c r="K153" s="270"/>
      <c r="L153" s="273"/>
    </row>
    <row r="154" spans="1:12" ht="42.75" x14ac:dyDescent="0.45">
      <c r="A154" s="264"/>
      <c r="B154" s="246"/>
      <c r="C154" s="136" t="s">
        <v>28</v>
      </c>
      <c r="D154" s="126" t="s">
        <v>19</v>
      </c>
      <c r="E154" s="124" t="s">
        <v>12</v>
      </c>
      <c r="F154" s="126" t="s">
        <v>415</v>
      </c>
      <c r="G154" s="176">
        <v>177.06880000000001</v>
      </c>
      <c r="H154" s="239" t="s">
        <v>13</v>
      </c>
      <c r="I154" s="240" t="s">
        <v>85</v>
      </c>
      <c r="J154" s="239" t="s">
        <v>21</v>
      </c>
      <c r="K154" s="308" t="s">
        <v>567</v>
      </c>
      <c r="L154" s="286">
        <v>44227</v>
      </c>
    </row>
    <row r="155" spans="1:12" ht="42.75" x14ac:dyDescent="0.45">
      <c r="A155" s="264"/>
      <c r="B155" s="246"/>
      <c r="C155" s="136" t="s">
        <v>10</v>
      </c>
      <c r="D155" s="126" t="s">
        <v>19</v>
      </c>
      <c r="E155" s="124" t="s">
        <v>12</v>
      </c>
      <c r="F155" s="126" t="s">
        <v>415</v>
      </c>
      <c r="G155" s="176">
        <v>-33.982059999999997</v>
      </c>
      <c r="H155" s="239"/>
      <c r="I155" s="240"/>
      <c r="J155" s="239"/>
      <c r="K155" s="308"/>
      <c r="L155" s="286"/>
    </row>
    <row r="156" spans="1:12" x14ac:dyDescent="0.45">
      <c r="A156" s="264"/>
      <c r="B156" s="246"/>
      <c r="C156" s="124" t="s">
        <v>10</v>
      </c>
      <c r="D156" s="126" t="s">
        <v>19</v>
      </c>
      <c r="E156" s="124" t="s">
        <v>18</v>
      </c>
      <c r="F156" s="114" t="s">
        <v>122</v>
      </c>
      <c r="G156" s="176">
        <v>33.982059999999997</v>
      </c>
      <c r="H156" s="239"/>
      <c r="I156" s="240"/>
      <c r="J156" s="239"/>
      <c r="K156" s="308"/>
      <c r="L156" s="286"/>
    </row>
    <row r="157" spans="1:12" s="57" customFormat="1" ht="42.75" x14ac:dyDescent="0.45">
      <c r="A157" s="243" t="s">
        <v>493</v>
      </c>
      <c r="B157" s="233">
        <v>88</v>
      </c>
      <c r="C157" s="136" t="s">
        <v>28</v>
      </c>
      <c r="D157" s="126" t="s">
        <v>22</v>
      </c>
      <c r="E157" s="124" t="s">
        <v>12</v>
      </c>
      <c r="F157" s="126" t="s">
        <v>415</v>
      </c>
      <c r="G157" s="176">
        <v>9.2881850000000004</v>
      </c>
      <c r="H157" s="154" t="s">
        <v>13</v>
      </c>
      <c r="I157" s="146" t="s">
        <v>23</v>
      </c>
      <c r="J157" s="175" t="s">
        <v>21</v>
      </c>
      <c r="K157" s="150" t="s">
        <v>504</v>
      </c>
      <c r="L157" s="128">
        <v>44166</v>
      </c>
    </row>
    <row r="158" spans="1:12" s="57" customFormat="1" ht="42.75" x14ac:dyDescent="0.45">
      <c r="A158" s="244"/>
      <c r="B158" s="246"/>
      <c r="C158" s="136" t="s">
        <v>28</v>
      </c>
      <c r="D158" s="126" t="s">
        <v>19</v>
      </c>
      <c r="E158" s="124" t="s">
        <v>12</v>
      </c>
      <c r="F158" s="126" t="s">
        <v>415</v>
      </c>
      <c r="G158" s="176">
        <v>74.7</v>
      </c>
      <c r="H158" s="239" t="s">
        <v>13</v>
      </c>
      <c r="I158" s="240" t="s">
        <v>85</v>
      </c>
      <c r="J158" s="239" t="s">
        <v>21</v>
      </c>
      <c r="K158" s="268" t="s">
        <v>569</v>
      </c>
      <c r="L158" s="286">
        <v>44227</v>
      </c>
    </row>
    <row r="159" spans="1:12" s="57" customFormat="1" ht="42.75" x14ac:dyDescent="0.45">
      <c r="A159" s="244"/>
      <c r="B159" s="246"/>
      <c r="C159" s="136" t="s">
        <v>10</v>
      </c>
      <c r="D159" s="126" t="s">
        <v>19</v>
      </c>
      <c r="E159" s="124" t="s">
        <v>12</v>
      </c>
      <c r="F159" s="126" t="s">
        <v>415</v>
      </c>
      <c r="G159" s="176">
        <v>-16.7</v>
      </c>
      <c r="H159" s="239"/>
      <c r="I159" s="240"/>
      <c r="J159" s="239"/>
      <c r="K159" s="269"/>
      <c r="L159" s="286"/>
    </row>
    <row r="160" spans="1:12" s="57" customFormat="1" x14ac:dyDescent="0.45">
      <c r="A160" s="245"/>
      <c r="B160" s="234"/>
      <c r="C160" s="136" t="s">
        <v>10</v>
      </c>
      <c r="D160" s="126" t="s">
        <v>19</v>
      </c>
      <c r="E160" s="124" t="s">
        <v>18</v>
      </c>
      <c r="F160" s="126" t="s">
        <v>122</v>
      </c>
      <c r="G160" s="176">
        <v>16.7</v>
      </c>
      <c r="H160" s="239"/>
      <c r="I160" s="240"/>
      <c r="J160" s="239"/>
      <c r="K160" s="270"/>
      <c r="L160" s="286"/>
    </row>
    <row r="161" spans="1:12" ht="28.5" x14ac:dyDescent="0.45">
      <c r="A161" s="120" t="s">
        <v>127</v>
      </c>
      <c r="B161" s="85">
        <v>194</v>
      </c>
      <c r="C161" s="136" t="s">
        <v>47</v>
      </c>
      <c r="D161" s="144" t="s">
        <v>128</v>
      </c>
      <c r="E161" s="136" t="s">
        <v>122</v>
      </c>
      <c r="F161" s="26" t="s">
        <v>426</v>
      </c>
      <c r="G161" s="176" t="s">
        <v>122</v>
      </c>
      <c r="H161" s="136" t="s">
        <v>13</v>
      </c>
      <c r="I161" s="26" t="s">
        <v>129</v>
      </c>
      <c r="J161" s="136" t="s">
        <v>21</v>
      </c>
      <c r="K161" s="148" t="s">
        <v>437</v>
      </c>
      <c r="L161" s="123">
        <v>44158</v>
      </c>
    </row>
    <row r="162" spans="1:12" ht="42.75" x14ac:dyDescent="0.45">
      <c r="A162" s="264" t="s">
        <v>130</v>
      </c>
      <c r="B162" s="233">
        <v>64</v>
      </c>
      <c r="C162" s="136" t="s">
        <v>28</v>
      </c>
      <c r="D162" s="144" t="s">
        <v>121</v>
      </c>
      <c r="E162" s="124" t="s">
        <v>12</v>
      </c>
      <c r="F162" s="174" t="s">
        <v>415</v>
      </c>
      <c r="G162" s="176">
        <v>41</v>
      </c>
      <c r="H162" s="303" t="s">
        <v>13</v>
      </c>
      <c r="I162" s="240" t="s">
        <v>131</v>
      </c>
      <c r="J162" s="293" t="s">
        <v>21</v>
      </c>
      <c r="K162" s="297" t="s">
        <v>132</v>
      </c>
      <c r="L162" s="299">
        <v>44105</v>
      </c>
    </row>
    <row r="163" spans="1:12" ht="28.5" x14ac:dyDescent="0.45">
      <c r="A163" s="264"/>
      <c r="B163" s="246"/>
      <c r="C163" s="136" t="s">
        <v>10</v>
      </c>
      <c r="D163" s="144" t="s">
        <v>121</v>
      </c>
      <c r="E163" s="124" t="s">
        <v>18</v>
      </c>
      <c r="F163" s="114" t="s">
        <v>122</v>
      </c>
      <c r="G163" s="176">
        <v>3.25</v>
      </c>
      <c r="H163" s="303"/>
      <c r="I163" s="240"/>
      <c r="J163" s="306"/>
      <c r="K163" s="297"/>
      <c r="L163" s="300"/>
    </row>
    <row r="164" spans="1:12" ht="43.15" thickBot="1" x14ac:dyDescent="0.5">
      <c r="A164" s="302"/>
      <c r="B164" s="323"/>
      <c r="C164" s="27" t="s">
        <v>10</v>
      </c>
      <c r="D164" s="153" t="s">
        <v>121</v>
      </c>
      <c r="E164" s="104" t="s">
        <v>12</v>
      </c>
      <c r="F164" s="174" t="s">
        <v>415</v>
      </c>
      <c r="G164" s="176">
        <v>18.05</v>
      </c>
      <c r="H164" s="304"/>
      <c r="I164" s="305"/>
      <c r="J164" s="307"/>
      <c r="K164" s="298"/>
      <c r="L164" s="301"/>
    </row>
    <row r="165" spans="1:12" ht="14.65" thickBot="1" x14ac:dyDescent="0.5">
      <c r="A165" s="67" t="s">
        <v>133</v>
      </c>
      <c r="B165" s="90">
        <f>SUM(B4:B164)</f>
        <v>33675</v>
      </c>
      <c r="C165" s="68"/>
      <c r="D165" s="68"/>
      <c r="E165" s="68"/>
      <c r="F165" s="68"/>
      <c r="G165" s="69">
        <f>SUM(G4:G164)</f>
        <v>44213.446990999997</v>
      </c>
      <c r="H165" s="68"/>
      <c r="I165" s="68"/>
      <c r="J165" s="68"/>
      <c r="K165" s="68"/>
      <c r="L165" s="70"/>
    </row>
    <row r="166" spans="1:12" s="57" customFormat="1" ht="14.65" thickBot="1" x14ac:dyDescent="0.5">
      <c r="A166" s="28" t="s">
        <v>403</v>
      </c>
      <c r="B166" s="80"/>
      <c r="C166" s="24"/>
      <c r="D166" s="24"/>
      <c r="E166" s="24"/>
      <c r="F166" s="24"/>
      <c r="G166" s="41">
        <f>SUMIF(C4:C164,"*Supps A*",G4:G164)</f>
        <v>4992.159369</v>
      </c>
      <c r="H166" s="24"/>
      <c r="I166" s="24"/>
      <c r="J166" s="24"/>
      <c r="K166" s="24"/>
      <c r="L166" s="25"/>
    </row>
    <row r="167" spans="1:12" s="57" customFormat="1" ht="14.65" thickBot="1" x14ac:dyDescent="0.5">
      <c r="A167" s="28" t="s">
        <v>404</v>
      </c>
      <c r="B167" s="80"/>
      <c r="C167" s="24"/>
      <c r="D167" s="24"/>
      <c r="E167" s="24"/>
      <c r="F167" s="24"/>
      <c r="G167" s="41">
        <f>SUMIF(C4:C164,"*Supps B*",G4:G164)</f>
        <v>36195.198455999998</v>
      </c>
      <c r="H167" s="24"/>
      <c r="I167" s="24"/>
      <c r="J167" s="24"/>
      <c r="K167" s="24"/>
      <c r="L167" s="25"/>
    </row>
    <row r="168" spans="1:12" s="57" customFormat="1" ht="14.65" thickBot="1" x14ac:dyDescent="0.5">
      <c r="A168" s="28" t="s">
        <v>516</v>
      </c>
      <c r="B168" s="80"/>
      <c r="C168" s="24"/>
      <c r="D168" s="24"/>
      <c r="E168" s="24"/>
      <c r="F168" s="24"/>
      <c r="G168" s="41">
        <f>SUMIF(C4:C164,"*Supps C*",G4:G164)</f>
        <v>3026.0891659999993</v>
      </c>
      <c r="H168" s="24"/>
      <c r="I168" s="24"/>
      <c r="J168" s="24"/>
      <c r="K168" s="24"/>
      <c r="L168" s="25"/>
    </row>
    <row r="169" spans="1:12" s="57" customFormat="1" x14ac:dyDescent="0.45">
      <c r="A169" s="93"/>
      <c r="B169" s="93"/>
      <c r="C169" s="94"/>
      <c r="D169" s="94"/>
      <c r="E169" s="94"/>
      <c r="F169" s="94"/>
      <c r="G169" s="95"/>
      <c r="H169" s="94"/>
      <c r="I169" s="94"/>
      <c r="J169" s="94"/>
      <c r="K169" s="94"/>
      <c r="L169" s="94"/>
    </row>
    <row r="170" spans="1:12" ht="15.75" x14ac:dyDescent="0.45">
      <c r="A170" s="92" t="s">
        <v>448</v>
      </c>
    </row>
    <row r="171" spans="1:12" x14ac:dyDescent="0.45">
      <c r="A171" t="s">
        <v>495</v>
      </c>
    </row>
    <row r="175" spans="1:12" x14ac:dyDescent="0.45">
      <c r="A175" s="162"/>
    </row>
    <row r="176" spans="1:12" s="57" customFormat="1" x14ac:dyDescent="0.45">
      <c r="A176" s="162"/>
    </row>
    <row r="177" spans="1:2" x14ac:dyDescent="0.45">
      <c r="A177" s="162"/>
    </row>
    <row r="178" spans="1:2" x14ac:dyDescent="0.45">
      <c r="A178" s="163"/>
      <c r="B178" s="164"/>
    </row>
    <row r="181" spans="1:2" x14ac:dyDescent="0.45">
      <c r="A181" s="164"/>
    </row>
    <row r="185" spans="1:2" x14ac:dyDescent="0.45">
      <c r="A185" s="164"/>
    </row>
  </sheetData>
  <mergeCells count="239">
    <mergeCell ref="J111:J112"/>
    <mergeCell ref="K111:K112"/>
    <mergeCell ref="H21:H24"/>
    <mergeCell ref="I21:I24"/>
    <mergeCell ref="J21:J24"/>
    <mergeCell ref="K21:K24"/>
    <mergeCell ref="J106:J107"/>
    <mergeCell ref="H4:H6"/>
    <mergeCell ref="I4:I6"/>
    <mergeCell ref="J4:J6"/>
    <mergeCell ref="K4:K6"/>
    <mergeCell ref="K52:K53"/>
    <mergeCell ref="H79:H82"/>
    <mergeCell ref="I79:I82"/>
    <mergeCell ref="J43:J46"/>
    <mergeCell ref="K43:K46"/>
    <mergeCell ref="K106:K107"/>
    <mergeCell ref="H66:H69"/>
    <mergeCell ref="I66:I69"/>
    <mergeCell ref="J66:J69"/>
    <mergeCell ref="J97:J100"/>
    <mergeCell ref="J141:J143"/>
    <mergeCell ref="K141:K143"/>
    <mergeCell ref="L141:L143"/>
    <mergeCell ref="I115:I120"/>
    <mergeCell ref="J115:J120"/>
    <mergeCell ref="K115:K120"/>
    <mergeCell ref="H113:H114"/>
    <mergeCell ref="I113:I114"/>
    <mergeCell ref="J113:J114"/>
    <mergeCell ref="K113:K114"/>
    <mergeCell ref="L113:L114"/>
    <mergeCell ref="J137:J139"/>
    <mergeCell ref="K137:K139"/>
    <mergeCell ref="L137:L139"/>
    <mergeCell ref="H115:H120"/>
    <mergeCell ref="B79:B82"/>
    <mergeCell ref="B106:B109"/>
    <mergeCell ref="A121:A122"/>
    <mergeCell ref="A113:A114"/>
    <mergeCell ref="A141:A143"/>
    <mergeCell ref="B141:B143"/>
    <mergeCell ref="B115:B120"/>
    <mergeCell ref="B130:B136"/>
    <mergeCell ref="I141:I143"/>
    <mergeCell ref="H95:H96"/>
    <mergeCell ref="I95:I96"/>
    <mergeCell ref="H137:H139"/>
    <mergeCell ref="I137:I139"/>
    <mergeCell ref="I106:I107"/>
    <mergeCell ref="H97:H100"/>
    <mergeCell ref="I97:I100"/>
    <mergeCell ref="H111:H112"/>
    <mergeCell ref="I111:I112"/>
    <mergeCell ref="A157:A160"/>
    <mergeCell ref="B157:B160"/>
    <mergeCell ref="A88:A89"/>
    <mergeCell ref="A130:A136"/>
    <mergeCell ref="A95:A96"/>
    <mergeCell ref="A97:A100"/>
    <mergeCell ref="A101:A104"/>
    <mergeCell ref="A106:A109"/>
    <mergeCell ref="B162:B164"/>
    <mergeCell ref="B95:B96"/>
    <mergeCell ref="B124:B128"/>
    <mergeCell ref="B101:B104"/>
    <mergeCell ref="B145:B156"/>
    <mergeCell ref="B88:B89"/>
    <mergeCell ref="B111:B112"/>
    <mergeCell ref="B97:B100"/>
    <mergeCell ref="B121:B122"/>
    <mergeCell ref="B113:B114"/>
    <mergeCell ref="A137:A139"/>
    <mergeCell ref="B137:B139"/>
    <mergeCell ref="L21:L24"/>
    <mergeCell ref="H9:H16"/>
    <mergeCell ref="I9:I16"/>
    <mergeCell ref="J9:J16"/>
    <mergeCell ref="L9:L16"/>
    <mergeCell ref="H17:H20"/>
    <mergeCell ref="I17:I20"/>
    <mergeCell ref="J17:J20"/>
    <mergeCell ref="K17:K20"/>
    <mergeCell ref="L17:L20"/>
    <mergeCell ref="K9:K16"/>
    <mergeCell ref="L4:L6"/>
    <mergeCell ref="A4:A24"/>
    <mergeCell ref="L25:L26"/>
    <mergeCell ref="H71:H74"/>
    <mergeCell ref="I71:I74"/>
    <mergeCell ref="J71:J74"/>
    <mergeCell ref="K71:K74"/>
    <mergeCell ref="L71:L74"/>
    <mergeCell ref="H7:H8"/>
    <mergeCell ref="I7:I8"/>
    <mergeCell ref="J7:J8"/>
    <mergeCell ref="K7:K8"/>
    <mergeCell ref="L7:L8"/>
    <mergeCell ref="B25:B26"/>
    <mergeCell ref="H27:H29"/>
    <mergeCell ref="I27:I29"/>
    <mergeCell ref="J27:J29"/>
    <mergeCell ref="K28:K29"/>
    <mergeCell ref="L28:L29"/>
    <mergeCell ref="H62:H65"/>
    <mergeCell ref="I62:I65"/>
    <mergeCell ref="J62:J65"/>
    <mergeCell ref="K62:K65"/>
    <mergeCell ref="B4:B24"/>
    <mergeCell ref="A25:A26"/>
    <mergeCell ref="H25:H26"/>
    <mergeCell ref="I25:I26"/>
    <mergeCell ref="J25:J26"/>
    <mergeCell ref="K25:K26"/>
    <mergeCell ref="H54:H60"/>
    <mergeCell ref="I54:I60"/>
    <mergeCell ref="J54:J60"/>
    <mergeCell ref="K54:K60"/>
    <mergeCell ref="A32:A36"/>
    <mergeCell ref="B32:B36"/>
    <mergeCell ref="H32:H36"/>
    <mergeCell ref="I32:I36"/>
    <mergeCell ref="J32:J36"/>
    <mergeCell ref="K32:K36"/>
    <mergeCell ref="A49:A61"/>
    <mergeCell ref="H39:H42"/>
    <mergeCell ref="I39:I42"/>
    <mergeCell ref="J39:J42"/>
    <mergeCell ref="K39:K42"/>
    <mergeCell ref="H43:H46"/>
    <mergeCell ref="I43:I46"/>
    <mergeCell ref="B49:B61"/>
    <mergeCell ref="A37:A47"/>
    <mergeCell ref="K162:K164"/>
    <mergeCell ref="L162:L164"/>
    <mergeCell ref="A162:A164"/>
    <mergeCell ref="H162:H164"/>
    <mergeCell ref="I162:I164"/>
    <mergeCell ref="J162:J164"/>
    <mergeCell ref="K149:K150"/>
    <mergeCell ref="L149:L150"/>
    <mergeCell ref="H154:H156"/>
    <mergeCell ref="I154:I156"/>
    <mergeCell ref="J154:J156"/>
    <mergeCell ref="K154:K156"/>
    <mergeCell ref="L154:L156"/>
    <mergeCell ref="H149:H150"/>
    <mergeCell ref="I149:I150"/>
    <mergeCell ref="J149:J150"/>
    <mergeCell ref="H158:H160"/>
    <mergeCell ref="I158:I160"/>
    <mergeCell ref="J158:J160"/>
    <mergeCell ref="K158:K160"/>
    <mergeCell ref="L158:L160"/>
    <mergeCell ref="A145:A156"/>
    <mergeCell ref="H151:H153"/>
    <mergeCell ref="I151:I153"/>
    <mergeCell ref="B37:B47"/>
    <mergeCell ref="L115:L120"/>
    <mergeCell ref="A124:A128"/>
    <mergeCell ref="H124:H128"/>
    <mergeCell ref="I124:I128"/>
    <mergeCell ref="J124:J128"/>
    <mergeCell ref="K124:K128"/>
    <mergeCell ref="L124:L128"/>
    <mergeCell ref="A111:A112"/>
    <mergeCell ref="A115:A120"/>
    <mergeCell ref="L54:L60"/>
    <mergeCell ref="L39:L42"/>
    <mergeCell ref="L88:L89"/>
    <mergeCell ref="L43:L46"/>
    <mergeCell ref="K66:K69"/>
    <mergeCell ref="L66:L69"/>
    <mergeCell ref="L111:L112"/>
    <mergeCell ref="H90:H91"/>
    <mergeCell ref="I90:I91"/>
    <mergeCell ref="J90:J91"/>
    <mergeCell ref="K90:K91"/>
    <mergeCell ref="L90:L91"/>
    <mergeCell ref="L108:L109"/>
    <mergeCell ref="H106:H107"/>
    <mergeCell ref="J151:J153"/>
    <mergeCell ref="K151:K153"/>
    <mergeCell ref="L151:L153"/>
    <mergeCell ref="H130:H133"/>
    <mergeCell ref="I130:I133"/>
    <mergeCell ref="J130:J133"/>
    <mergeCell ref="K130:K133"/>
    <mergeCell ref="L130:L133"/>
    <mergeCell ref="J79:J82"/>
    <mergeCell ref="K79:K82"/>
    <mergeCell ref="L79:L82"/>
    <mergeCell ref="L106:L107"/>
    <mergeCell ref="H108:H109"/>
    <mergeCell ref="I108:I109"/>
    <mergeCell ref="J108:J109"/>
    <mergeCell ref="K108:K109"/>
    <mergeCell ref="I88:I89"/>
    <mergeCell ref="J88:J89"/>
    <mergeCell ref="K88:K89"/>
    <mergeCell ref="L97:L100"/>
    <mergeCell ref="K97:K100"/>
    <mergeCell ref="L95:L96"/>
    <mergeCell ref="H88:H89"/>
    <mergeCell ref="H141:H143"/>
    <mergeCell ref="A27:A30"/>
    <mergeCell ref="B27:B30"/>
    <mergeCell ref="H101:H103"/>
    <mergeCell ref="I101:I103"/>
    <mergeCell ref="J101:J103"/>
    <mergeCell ref="K101:K103"/>
    <mergeCell ref="L101:L103"/>
    <mergeCell ref="A62:A78"/>
    <mergeCell ref="B62:B78"/>
    <mergeCell ref="H75:H78"/>
    <mergeCell ref="I75:I78"/>
    <mergeCell ref="J75:J78"/>
    <mergeCell ref="K75:K78"/>
    <mergeCell ref="L75:L78"/>
    <mergeCell ref="A90:A91"/>
    <mergeCell ref="B90:B91"/>
    <mergeCell ref="J52:J53"/>
    <mergeCell ref="L62:L65"/>
    <mergeCell ref="L52:L53"/>
    <mergeCell ref="A83:A84"/>
    <mergeCell ref="B83:B84"/>
    <mergeCell ref="A85:A86"/>
    <mergeCell ref="B85:B86"/>
    <mergeCell ref="A79:A82"/>
    <mergeCell ref="L32:L36"/>
    <mergeCell ref="H37:H38"/>
    <mergeCell ref="I37:I38"/>
    <mergeCell ref="J37:J38"/>
    <mergeCell ref="K37:K38"/>
    <mergeCell ref="L37:L38"/>
    <mergeCell ref="H52:H53"/>
    <mergeCell ref="I52:I53"/>
    <mergeCell ref="J95:J96"/>
    <mergeCell ref="K95:K96"/>
  </mergeCells>
  <hyperlinks>
    <hyperlink ref="I9" r:id="rId1" display="https://www.pbo-dpb.gc.ca/web/default/files/Documents/Info%20Requests/2020/IR0528_PHAC_COVID19_update_request_e.pdf" xr:uid="{5E1AF3C0-608B-484F-8F1A-F8EF363B1388}"/>
    <hyperlink ref="I9:I16" r:id="rId2" display="IR0528" xr:uid="{9F697695-9EF8-4513-836E-235754965479}"/>
    <hyperlink ref="I4" r:id="rId3" xr:uid="{98A3D79B-89F0-4EBE-B2EB-A8AA8D1AF938}"/>
    <hyperlink ref="I17:I18" r:id="rId4" display="IR0551" xr:uid="{B2E5726E-6EDF-47B6-BF06-A62099AFE345}"/>
    <hyperlink ref="I7:I8" r:id="rId5" display="IR0550" xr:uid="{E8467A6B-359F-40D7-A396-C0A74B563F2C}"/>
    <hyperlink ref="I21:I24" r:id="rId6" display="IR0559" xr:uid="{6A7D4DB4-A292-4738-9D4C-14377B44FB2A}"/>
    <hyperlink ref="I25:I26" r:id="rId7" display="IR0550" xr:uid="{C3E69B43-942B-4FD5-8719-6ED10EB11C8B}"/>
    <hyperlink ref="I27" r:id="rId8" display="https://www.pbo-dpb.gc.ca/web/default/files/Documents/Info%20Requests/2020/IR0462_CIRNAC_COVID-19_Measures_request_e_signed.pdf" xr:uid="{CD0CB7C4-C4BD-4E83-B557-DEB8495691F2}"/>
    <hyperlink ref="I27:I29" r:id="rId9" display="IR0462" xr:uid="{9F6F9DF6-3869-4C73-B45A-3A4B08E1388D}"/>
    <hyperlink ref="I31" r:id="rId10" xr:uid="{37D8571E-C0DA-4440-8E0A-A1D79F07E845}"/>
    <hyperlink ref="I32" r:id="rId11" display="https://www.pbo-dpb.gc.ca/web/default/files/Documents/Info%20Requests/2020/IR0470_ISC_COVID-19_Measures_request_e_signed.pdf" xr:uid="{3E6F8919-AF9C-4CB1-90EF-FB4802546C17}"/>
    <hyperlink ref="I32:I33" r:id="rId12" display="IR0470" xr:uid="{91259797-5B94-48C1-9CF2-A7CA43F19F35}"/>
    <hyperlink ref="I39" r:id="rId13" xr:uid="{CAD7B032-2805-4C40-8FEF-B25B6C5C93E8}"/>
    <hyperlink ref="I43" r:id="rId14" xr:uid="{1EC43AF1-4BA5-4F16-9059-D2BA0D2CDEC4}"/>
    <hyperlink ref="I37" r:id="rId15" xr:uid="{C57B1A1F-DDC2-470C-A93F-DFFEE3F7232F}"/>
    <hyperlink ref="I51" r:id="rId16" xr:uid="{88E5E475-EB12-4C20-8039-92C2C344C228}"/>
    <hyperlink ref="I52" r:id="rId17" display="https://www.pbo-dpb.gc.ca/web/default/files/Documents/Info%20Requests/2020/IR0478_CIHR_COVID-19_ltr_e.pdf" xr:uid="{7AC59A19-A165-4C86-AD0D-230CB38467D9}"/>
    <hyperlink ref="I52:I53" r:id="rId18" display="IR0478" xr:uid="{615A14A4-65D4-4C93-994A-BEE159D0B59E}"/>
    <hyperlink ref="I54" r:id="rId19" display="https://www.pbo-dpb.gc.ca/web/default/files/Documents/Info%20Requests/2020/IR0528_PHAC_COVID19_update_request_e.pdf" xr:uid="{AD7CF7CF-621F-46AF-AB79-2EE3EEF6079F}"/>
    <hyperlink ref="I49" r:id="rId20" xr:uid="{C3759209-5DB8-4081-AFE7-1D3716A53FB8}"/>
    <hyperlink ref="I61" r:id="rId21" display="https://www.pbo-dpb.gc.ca/web/default/files/Documents/Info%20Requests/2020/IR0528_PHAC_COVID19_update_request_e.pdf" xr:uid="{F6E93EB1-B7CF-420B-BE7B-553536454B81}"/>
    <hyperlink ref="I50" r:id="rId22" xr:uid="{6B9A4E81-F5C6-4EC1-8DF0-27637AB5E32B}"/>
    <hyperlink ref="I79" r:id="rId23" xr:uid="{DAF5CEF6-6D14-47FB-A37A-6E17BA8A98C7}"/>
    <hyperlink ref="I88" r:id="rId24" xr:uid="{3D56289E-D585-4763-ABFA-BB309361F700}"/>
    <hyperlink ref="I90" r:id="rId25" xr:uid="{CFA8FD06-B76A-4C6C-A641-0A12D521C0B2}"/>
    <hyperlink ref="J95" r:id="rId26" display="Reaching Home Contributions data" xr:uid="{81895A58-439C-4488-8E5D-BEEBC8CEB576}"/>
    <hyperlink ref="I96" r:id="rId27" display="IR0475" xr:uid="{BD1D4B67-A68A-437E-90E7-8F3C5FF0EE6F}"/>
    <hyperlink ref="I101" r:id="rId28" xr:uid="{74E78B6C-301F-48B1-8AD6-4C26CBECB477}"/>
    <hyperlink ref="I106" r:id="rId29" display="https://www.pbo-dpb.gc.ca/web/default/files/Documents/Info%20Requests/2020/IR0456_AAFC_COVID-19_Allocations_request_e_signed.pdf" xr:uid="{0F56A4BB-4FC1-4C3C-9FE3-D564916E436B}"/>
    <hyperlink ref="I106:I107" r:id="rId30" display="IR0456" xr:uid="{8E9E598D-2694-442E-9FD6-5C0F611922C1}"/>
    <hyperlink ref="I108:I109" r:id="rId31" display="IR0549" xr:uid="{5668EE98-1A94-4BF9-9188-2DABEEBE8EDF}"/>
    <hyperlink ref="K110" r:id="rId32" xr:uid="{C47EF512-7652-4974-9030-087C24788E2B}"/>
    <hyperlink ref="I111:I112" r:id="rId33" display="IR0549" xr:uid="{599AA572-55BD-4997-B604-37CA434DA5D0}"/>
    <hyperlink ref="I115" r:id="rId34" xr:uid="{37900696-DA95-4B66-B9D1-E9A430B089DC}"/>
    <hyperlink ref="I124" r:id="rId35" display="https://www.pbo-dpb.gc.ca/web/default/files/Documents/Info%20Requests/2020/IR0529_PSEP_COVID19_update_request_e.pdf" xr:uid="{F6BE9027-F26C-43E3-A412-854ABC69557E}"/>
    <hyperlink ref="I124:I128" r:id="rId36" display="IR0529" xr:uid="{1F09D47B-B149-4EB1-B42F-4066027C1AE2}"/>
    <hyperlink ref="I130" r:id="rId37" xr:uid="{8A800D6D-0430-48AC-948E-143A153CE891}"/>
    <hyperlink ref="I134" r:id="rId38" xr:uid="{31655FC9-F83E-4102-B579-40D5DFDCD437}"/>
    <hyperlink ref="I137" r:id="rId39" xr:uid="{A60C6F04-4BF0-4805-9C24-8A3532DB94D5}"/>
    <hyperlink ref="I141" r:id="rId40" xr:uid="{DFF3EC50-F409-4965-A881-76F6E2BCC5DA}"/>
    <hyperlink ref="I144" r:id="rId41" xr:uid="{64B662C7-AFE2-42A3-8FF0-7A2A45BF588F}"/>
    <hyperlink ref="I154" r:id="rId42" xr:uid="{ABA7F3FD-2896-48B8-82FD-C286E9A4239C}"/>
    <hyperlink ref="I148" r:id="rId43" xr:uid="{1B5E6ACE-458F-45AD-AF23-4183496BC6BA}"/>
    <hyperlink ref="I146" r:id="rId44" xr:uid="{5915D695-AC74-4B82-9A2C-1B438E100DEF}"/>
    <hyperlink ref="I145" r:id="rId45" xr:uid="{F3AC792C-EE5D-4220-A79A-3B611D6C65D6}"/>
    <hyperlink ref="I151" r:id="rId46" xr:uid="{B694104C-5824-4AF8-B350-BAE20A926D87}"/>
    <hyperlink ref="I147" r:id="rId47" xr:uid="{E7A4A0BE-966F-4397-8724-4CD4BCBEEA89}"/>
    <hyperlink ref="I161" r:id="rId48" xr:uid="{CFFD0A30-A463-4651-9C39-3E1055E04D8F}"/>
    <hyperlink ref="I162:I164" r:id="rId49" display="IR0467" xr:uid="{1B5A0DD9-A937-46B4-AFA1-B746A4B995C6}"/>
    <hyperlink ref="I162" r:id="rId50" display="IR0477" xr:uid="{91EF7E35-6555-41C2-BACD-CE47DEB82BB3}"/>
    <hyperlink ref="I71" r:id="rId51" display="https://www.pbo-dpb.gc.ca/web/default/files/Documents/Info%20Requests/2020/IR0528_PHAC_COVID19_update_request_e.pdf" xr:uid="{24FD82CB-C5E4-4B1B-80C8-EB29B4970903}"/>
    <hyperlink ref="I71:I74" r:id="rId52" display="IR0528" xr:uid="{786BBC3B-177F-483B-8196-7DBF0BEEB9DF}"/>
    <hyperlink ref="I97" r:id="rId53" display="https://www.pbo-dpb.gc.ca/web/default/files/Documents/Info%20Requests/2020/IR0528_PHAC_COVID19_update_request_e.pdf" xr:uid="{34FDD6E9-FCE3-43A8-BE58-68D2B2EC844C}"/>
    <hyperlink ref="I97:I100" r:id="rId54" display="IR0528" xr:uid="{37B5F041-A841-421A-AF29-DF3D6CEC481A}"/>
    <hyperlink ref="I62" r:id="rId55" xr:uid="{C04EB2B7-F791-4485-961F-757DECD4DD5E}"/>
    <hyperlink ref="I70" r:id="rId56" xr:uid="{BABCF34B-4DAE-404B-8E75-C4FE45CFBD49}"/>
    <hyperlink ref="F161" r:id="rId57" xr:uid="{9A795CD9-C7AB-48A0-882E-12856C727026}"/>
    <hyperlink ref="I85" r:id="rId58" display="https://www.pbo-dpb.gc.ca/web/default/files/Documents/Info%20Requests/2020/IR0528_PHAC_COVID19_update_request_e.pdf" xr:uid="{A3BC3CE5-A122-4CDC-8A15-F9A4DF5B6C83}"/>
    <hyperlink ref="I66:I67" r:id="rId59" display="IR0551" xr:uid="{CAFFF4D2-728D-4D1E-83DF-310D725813A3}"/>
    <hyperlink ref="I105" r:id="rId60" xr:uid="{0F73F9F6-EB20-4399-ADF7-7660DBB045B7}"/>
    <hyperlink ref="I140" r:id="rId61" xr:uid="{3E411D73-5EFC-49A2-88BB-C60B10E7FD01}"/>
    <hyperlink ref="I84" r:id="rId62" display="https://www.pbo-dpb.gc.ca/web/default/files/Documents/Info%20Requests/2020/IR0528_PHAC_COVID19_update_request_e.pdf" xr:uid="{C5CFDF4F-1304-4307-9AF7-55397DB40CF2}"/>
    <hyperlink ref="I87" r:id="rId63" display="IR05484" xr:uid="{88494409-7F0F-4339-A972-792B90964480}"/>
    <hyperlink ref="I93:I94" r:id="rId64" display="IR0550" xr:uid="{AE291354-101B-49C0-A357-F07DB89E82B1}"/>
    <hyperlink ref="I92" r:id="rId65" display="https://www.pbo-dpb.gc.ca/web/default/files/Documents/Info%20Requests/2020/IR0528_PHAC_COVID19_update_request_e.pdf" xr:uid="{A3E237D4-7945-482F-B90D-B6AE8559CFBA}"/>
    <hyperlink ref="I104" r:id="rId66" xr:uid="{E7CD0A81-D900-44F8-AFD2-83C257B160DA}"/>
    <hyperlink ref="I158" r:id="rId67" xr:uid="{0007A19B-1A02-4132-8EF6-0750737B0A34}"/>
    <hyperlink ref="I122" r:id="rId68" display="https://www.pbo-dpb.gc.ca/web/default/files/Documents/Info%20Requests/2020/IR0528_PHAC_COVID19_update_request_e.pdf" xr:uid="{3C7DA16A-85C4-4B22-BFFC-B56C9776BCE5}"/>
    <hyperlink ref="I94" r:id="rId69" xr:uid="{C730BD94-1CB9-4A67-8C1D-5C97FBB57573}"/>
    <hyperlink ref="I75" r:id="rId70" xr:uid="{43FA455F-0123-4B51-A9AE-27DB505B0474}"/>
    <hyperlink ref="I135" r:id="rId71" display="https://www.pbo-dpb.gc.ca/web/default/files/Documents/Info%20Requests/2020/IR0528_PHAC_COVID19_update_request_e.pdf" xr:uid="{03EC6693-D872-4808-A3FD-106571C4F819}"/>
  </hyperlinks>
  <pageMargins left="0.7" right="0.7" top="0.75" bottom="0.75" header="0.3" footer="0.3"/>
  <pageSetup orientation="portrait" r:id="rId7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4192A6-9CA6-4C91-8D4F-C56CF7D6786B}">
  <sheetPr>
    <tabColor theme="4"/>
  </sheetPr>
  <dimension ref="A1:N288"/>
  <sheetViews>
    <sheetView showGridLines="0" zoomScale="70" zoomScaleNormal="70" workbookViewId="0"/>
  </sheetViews>
  <sheetFormatPr defaultRowHeight="14.25" x14ac:dyDescent="0.45"/>
  <cols>
    <col min="1" max="1" width="72.59765625" customWidth="1"/>
    <col min="2" max="2" width="42" style="57" bestFit="1" customWidth="1"/>
    <col min="3" max="3" width="24.3984375" bestFit="1" customWidth="1"/>
    <col min="4" max="4" width="42.1328125" customWidth="1"/>
    <col min="5" max="5" width="23.73046875" bestFit="1" customWidth="1"/>
    <col min="6" max="6" width="52.86328125" style="57" customWidth="1"/>
    <col min="7" max="7" width="34.73046875" bestFit="1" customWidth="1"/>
    <col min="8" max="8" width="25" customWidth="1"/>
    <col min="9" max="9" width="13.73046875" bestFit="1" customWidth="1"/>
    <col min="10" max="10" width="24.59765625" customWidth="1"/>
    <col min="11" max="11" width="49.265625" customWidth="1"/>
    <col min="12" max="12" width="26.86328125" customWidth="1"/>
    <col min="14" max="14" width="14" bestFit="1" customWidth="1"/>
  </cols>
  <sheetData>
    <row r="1" spans="1:12" x14ac:dyDescent="0.45">
      <c r="A1" s="2" t="s">
        <v>54</v>
      </c>
      <c r="B1" s="2"/>
    </row>
    <row r="2" spans="1:12" ht="14.65" thickBot="1" x14ac:dyDescent="0.5">
      <c r="A2" s="1"/>
      <c r="B2" s="1"/>
    </row>
    <row r="3" spans="1:12" ht="15.75" x14ac:dyDescent="0.45">
      <c r="A3" s="30" t="s">
        <v>54</v>
      </c>
      <c r="B3" s="79" t="s">
        <v>441</v>
      </c>
      <c r="C3" s="31" t="s">
        <v>518</v>
      </c>
      <c r="D3" s="31" t="s">
        <v>1</v>
      </c>
      <c r="E3" s="31" t="s">
        <v>2</v>
      </c>
      <c r="F3" s="31" t="s">
        <v>388</v>
      </c>
      <c r="G3" s="31" t="s">
        <v>3</v>
      </c>
      <c r="H3" s="32" t="s">
        <v>4</v>
      </c>
      <c r="I3" s="32" t="s">
        <v>5</v>
      </c>
      <c r="J3" s="32" t="s">
        <v>6</v>
      </c>
      <c r="K3" s="32" t="s">
        <v>7</v>
      </c>
      <c r="L3" s="33" t="s">
        <v>8</v>
      </c>
    </row>
    <row r="4" spans="1:12" ht="107.25" customHeight="1" x14ac:dyDescent="0.45">
      <c r="A4" s="120" t="s">
        <v>152</v>
      </c>
      <c r="B4" s="96">
        <f>82305-13550</f>
        <v>68755</v>
      </c>
      <c r="C4" s="124" t="s">
        <v>47</v>
      </c>
      <c r="D4" s="124" t="s">
        <v>153</v>
      </c>
      <c r="E4" s="124" t="s">
        <v>122</v>
      </c>
      <c r="F4" s="126" t="s">
        <v>422</v>
      </c>
      <c r="G4" s="176" t="s">
        <v>122</v>
      </c>
      <c r="H4" s="229" t="s">
        <v>13</v>
      </c>
      <c r="I4" s="231" t="s">
        <v>154</v>
      </c>
      <c r="J4" s="326" t="s">
        <v>155</v>
      </c>
      <c r="K4" s="249" t="s">
        <v>549</v>
      </c>
      <c r="L4" s="226">
        <v>44241</v>
      </c>
    </row>
    <row r="5" spans="1:12" ht="99.75" x14ac:dyDescent="0.45">
      <c r="A5" s="120" t="s">
        <v>156</v>
      </c>
      <c r="B5" s="96">
        <v>14790</v>
      </c>
      <c r="C5" s="124" t="s">
        <v>47</v>
      </c>
      <c r="D5" s="124" t="s">
        <v>153</v>
      </c>
      <c r="E5" s="168" t="s">
        <v>122</v>
      </c>
      <c r="F5" s="216" t="s">
        <v>422</v>
      </c>
      <c r="G5" s="176" t="s">
        <v>122</v>
      </c>
      <c r="H5" s="230"/>
      <c r="I5" s="232"/>
      <c r="J5" s="328"/>
      <c r="K5" s="251"/>
      <c r="L5" s="228"/>
    </row>
    <row r="6" spans="1:12" ht="99.75" x14ac:dyDescent="0.45">
      <c r="A6" s="120" t="s">
        <v>386</v>
      </c>
      <c r="B6" s="85">
        <v>0</v>
      </c>
      <c r="C6" s="124" t="s">
        <v>47</v>
      </c>
      <c r="D6" s="124" t="s">
        <v>153</v>
      </c>
      <c r="E6" s="168" t="s">
        <v>122</v>
      </c>
      <c r="F6" s="216" t="s">
        <v>422</v>
      </c>
      <c r="G6" s="176" t="s">
        <v>122</v>
      </c>
      <c r="H6" s="195" t="s">
        <v>90</v>
      </c>
      <c r="I6" s="124"/>
      <c r="J6" s="124"/>
      <c r="K6" s="127"/>
      <c r="L6" s="129"/>
    </row>
    <row r="7" spans="1:12" s="35" customFormat="1" ht="28.5" x14ac:dyDescent="0.45">
      <c r="A7" s="65" t="s">
        <v>157</v>
      </c>
      <c r="B7" s="87">
        <f>1997+775+353+32</f>
        <v>3157</v>
      </c>
      <c r="C7" s="160" t="s">
        <v>47</v>
      </c>
      <c r="D7" s="126" t="s">
        <v>40</v>
      </c>
      <c r="E7" s="168" t="s">
        <v>122</v>
      </c>
      <c r="F7" s="105"/>
      <c r="G7" s="176" t="s">
        <v>122</v>
      </c>
      <c r="H7" s="124" t="s">
        <v>13</v>
      </c>
      <c r="I7" s="125" t="s">
        <v>485</v>
      </c>
      <c r="J7" s="105" t="s">
        <v>484</v>
      </c>
      <c r="K7" s="106"/>
      <c r="L7" s="161"/>
    </row>
    <row r="8" spans="1:12" s="35" customFormat="1" ht="45" customHeight="1" x14ac:dyDescent="0.45">
      <c r="A8" s="120" t="s">
        <v>322</v>
      </c>
      <c r="B8" s="85">
        <v>5</v>
      </c>
      <c r="C8" s="124" t="s">
        <v>47</v>
      </c>
      <c r="D8" s="126" t="s">
        <v>40</v>
      </c>
      <c r="E8" s="124" t="s">
        <v>122</v>
      </c>
      <c r="F8" s="137" t="s">
        <v>424</v>
      </c>
      <c r="G8" s="176" t="s">
        <v>122</v>
      </c>
      <c r="H8" s="124" t="s">
        <v>13</v>
      </c>
      <c r="I8" s="125" t="s">
        <v>41</v>
      </c>
      <c r="J8" s="126" t="s">
        <v>21</v>
      </c>
      <c r="K8" s="127" t="s">
        <v>44</v>
      </c>
      <c r="L8" s="128">
        <v>44166</v>
      </c>
    </row>
    <row r="9" spans="1:12" s="35" customFormat="1" ht="28.5" x14ac:dyDescent="0.45">
      <c r="A9" s="65" t="s">
        <v>158</v>
      </c>
      <c r="B9" s="87">
        <f>3974+2674-353</f>
        <v>6295</v>
      </c>
      <c r="C9" s="124" t="s">
        <v>520</v>
      </c>
      <c r="D9" s="126" t="s">
        <v>40</v>
      </c>
      <c r="E9" s="124" t="s">
        <v>12</v>
      </c>
      <c r="F9" s="126" t="s">
        <v>417</v>
      </c>
      <c r="G9" s="176">
        <v>10095</v>
      </c>
      <c r="H9" s="223" t="s">
        <v>574</v>
      </c>
      <c r="I9" s="124" t="s">
        <v>122</v>
      </c>
      <c r="J9" s="125" t="s">
        <v>159</v>
      </c>
      <c r="K9" s="138" t="s">
        <v>550</v>
      </c>
      <c r="L9" s="123">
        <v>44241</v>
      </c>
    </row>
    <row r="10" spans="1:12" ht="28.5" x14ac:dyDescent="0.45">
      <c r="A10" s="120" t="s">
        <v>160</v>
      </c>
      <c r="B10" s="96">
        <f>1477+1103</f>
        <v>2580</v>
      </c>
      <c r="C10" s="124" t="s">
        <v>520</v>
      </c>
      <c r="D10" s="126" t="s">
        <v>40</v>
      </c>
      <c r="E10" s="124" t="s">
        <v>12</v>
      </c>
      <c r="F10" s="126" t="s">
        <v>417</v>
      </c>
      <c r="G10" s="176">
        <v>780</v>
      </c>
      <c r="H10" s="223" t="s">
        <v>574</v>
      </c>
      <c r="I10" s="224" t="s">
        <v>122</v>
      </c>
      <c r="J10" s="125" t="s">
        <v>162</v>
      </c>
      <c r="K10" s="138" t="s">
        <v>551</v>
      </c>
      <c r="L10" s="169">
        <v>44241</v>
      </c>
    </row>
    <row r="11" spans="1:12" ht="28.5" x14ac:dyDescent="0.45">
      <c r="A11" s="120" t="s">
        <v>163</v>
      </c>
      <c r="B11" s="96">
        <f>5470-573</f>
        <v>4897</v>
      </c>
      <c r="C11" s="124" t="s">
        <v>520</v>
      </c>
      <c r="D11" s="126" t="s">
        <v>40</v>
      </c>
      <c r="E11" s="124" t="s">
        <v>12</v>
      </c>
      <c r="F11" s="126" t="s">
        <v>417</v>
      </c>
      <c r="G11" s="176">
        <v>2897</v>
      </c>
      <c r="H11" s="223" t="s">
        <v>574</v>
      </c>
      <c r="I11" s="224" t="s">
        <v>122</v>
      </c>
      <c r="J11" s="125" t="s">
        <v>161</v>
      </c>
      <c r="K11" s="138" t="s">
        <v>552</v>
      </c>
      <c r="L11" s="169">
        <v>44241</v>
      </c>
    </row>
    <row r="12" spans="1:12" ht="42.75" x14ac:dyDescent="0.45">
      <c r="A12" s="120" t="s">
        <v>164</v>
      </c>
      <c r="B12" s="96">
        <v>2180</v>
      </c>
      <c r="C12" s="124" t="s">
        <v>47</v>
      </c>
      <c r="D12" s="126" t="s">
        <v>165</v>
      </c>
      <c r="E12" s="124" t="s">
        <v>122</v>
      </c>
      <c r="F12" s="126" t="s">
        <v>420</v>
      </c>
      <c r="G12" s="176" t="s">
        <v>122</v>
      </c>
      <c r="H12" s="229" t="s">
        <v>574</v>
      </c>
      <c r="I12" s="347" t="s">
        <v>122</v>
      </c>
      <c r="J12" s="326" t="s">
        <v>559</v>
      </c>
      <c r="K12" s="249" t="s">
        <v>560</v>
      </c>
      <c r="L12" s="226">
        <v>44241</v>
      </c>
    </row>
    <row r="13" spans="1:12" ht="42.75" x14ac:dyDescent="0.45">
      <c r="A13" s="120" t="s">
        <v>166</v>
      </c>
      <c r="B13" s="96">
        <v>2180</v>
      </c>
      <c r="C13" s="124" t="s">
        <v>47</v>
      </c>
      <c r="D13" s="124" t="s">
        <v>153</v>
      </c>
      <c r="E13" s="124" t="s">
        <v>122</v>
      </c>
      <c r="F13" s="216" t="s">
        <v>420</v>
      </c>
      <c r="G13" s="176" t="s">
        <v>122</v>
      </c>
      <c r="H13" s="230"/>
      <c r="I13" s="348"/>
      <c r="J13" s="328"/>
      <c r="K13" s="251"/>
      <c r="L13" s="228"/>
    </row>
    <row r="14" spans="1:12" ht="42.75" x14ac:dyDescent="0.45">
      <c r="A14" s="120" t="s">
        <v>167</v>
      </c>
      <c r="B14" s="96">
        <v>14558</v>
      </c>
      <c r="C14" s="124" t="s">
        <v>47</v>
      </c>
      <c r="D14" s="126" t="s">
        <v>358</v>
      </c>
      <c r="E14" s="124" t="s">
        <v>122</v>
      </c>
      <c r="F14" s="126" t="s">
        <v>413</v>
      </c>
      <c r="G14" s="176" t="s">
        <v>122</v>
      </c>
      <c r="H14" s="124" t="s">
        <v>13</v>
      </c>
      <c r="I14" s="125" t="s">
        <v>359</v>
      </c>
      <c r="J14" s="125" t="s">
        <v>362</v>
      </c>
      <c r="K14" s="138" t="s">
        <v>553</v>
      </c>
      <c r="L14" s="123">
        <v>44238</v>
      </c>
    </row>
    <row r="15" spans="1:12" ht="28.5" x14ac:dyDescent="0.45">
      <c r="A15" s="243" t="s">
        <v>542</v>
      </c>
      <c r="B15" s="252">
        <f>666+455.7+287+144.3+165</f>
        <v>1718</v>
      </c>
      <c r="C15" s="124" t="s">
        <v>28</v>
      </c>
      <c r="D15" s="126" t="s">
        <v>168</v>
      </c>
      <c r="E15" s="124" t="s">
        <v>12</v>
      </c>
      <c r="F15" s="126" t="s">
        <v>413</v>
      </c>
      <c r="G15" s="176">
        <v>31</v>
      </c>
      <c r="H15" s="229" t="s">
        <v>13</v>
      </c>
      <c r="I15" s="231" t="s">
        <v>125</v>
      </c>
      <c r="J15" s="229" t="s">
        <v>21</v>
      </c>
      <c r="K15" s="235" t="s">
        <v>454</v>
      </c>
      <c r="L15" s="226">
        <v>44104</v>
      </c>
    </row>
    <row r="16" spans="1:12" x14ac:dyDescent="0.45">
      <c r="A16" s="244"/>
      <c r="B16" s="253"/>
      <c r="C16" s="124" t="s">
        <v>28</v>
      </c>
      <c r="D16" s="126" t="s">
        <v>168</v>
      </c>
      <c r="E16" s="124" t="s">
        <v>18</v>
      </c>
      <c r="F16" s="126" t="s">
        <v>122</v>
      </c>
      <c r="G16" s="176">
        <v>35.580812000000002</v>
      </c>
      <c r="H16" s="247"/>
      <c r="I16" s="248"/>
      <c r="J16" s="247"/>
      <c r="K16" s="256"/>
      <c r="L16" s="258"/>
    </row>
    <row r="17" spans="1:12" ht="28.5" x14ac:dyDescent="0.45">
      <c r="A17" s="244"/>
      <c r="B17" s="253"/>
      <c r="C17" s="124" t="s">
        <v>28</v>
      </c>
      <c r="D17" s="126" t="s">
        <v>169</v>
      </c>
      <c r="E17" s="124" t="s">
        <v>12</v>
      </c>
      <c r="F17" s="126" t="s">
        <v>413</v>
      </c>
      <c r="G17" s="176">
        <v>2.5</v>
      </c>
      <c r="H17" s="247"/>
      <c r="I17" s="248"/>
      <c r="J17" s="247"/>
      <c r="K17" s="256" t="s">
        <v>170</v>
      </c>
      <c r="L17" s="258">
        <v>44043</v>
      </c>
    </row>
    <row r="18" spans="1:12" x14ac:dyDescent="0.45">
      <c r="A18" s="244"/>
      <c r="B18" s="253"/>
      <c r="C18" s="124" t="s">
        <v>28</v>
      </c>
      <c r="D18" s="126" t="s">
        <v>169</v>
      </c>
      <c r="E18" s="124" t="s">
        <v>18</v>
      </c>
      <c r="F18" s="126" t="s">
        <v>122</v>
      </c>
      <c r="G18" s="176">
        <v>20</v>
      </c>
      <c r="H18" s="247"/>
      <c r="I18" s="248"/>
      <c r="J18" s="247"/>
      <c r="K18" s="256"/>
      <c r="L18" s="258"/>
    </row>
    <row r="19" spans="1:12" x14ac:dyDescent="0.45">
      <c r="A19" s="244"/>
      <c r="B19" s="253"/>
      <c r="C19" s="124" t="s">
        <v>28</v>
      </c>
      <c r="D19" s="126" t="s">
        <v>71</v>
      </c>
      <c r="E19" s="124" t="s">
        <v>18</v>
      </c>
      <c r="F19" s="126" t="s">
        <v>122</v>
      </c>
      <c r="G19" s="176">
        <v>23.826981</v>
      </c>
      <c r="H19" s="247"/>
      <c r="I19" s="248"/>
      <c r="J19" s="247"/>
      <c r="K19" s="256" t="s">
        <v>171</v>
      </c>
      <c r="L19" s="258">
        <v>44043</v>
      </c>
    </row>
    <row r="20" spans="1:12" ht="28.5" x14ac:dyDescent="0.45">
      <c r="A20" s="244"/>
      <c r="B20" s="253"/>
      <c r="C20" s="124" t="s">
        <v>28</v>
      </c>
      <c r="D20" s="126" t="s">
        <v>73</v>
      </c>
      <c r="E20" s="124" t="s">
        <v>12</v>
      </c>
      <c r="F20" s="126" t="s">
        <v>413</v>
      </c>
      <c r="G20" s="176">
        <v>202.755</v>
      </c>
      <c r="H20" s="247"/>
      <c r="I20" s="248"/>
      <c r="J20" s="247"/>
      <c r="K20" s="256" t="s">
        <v>172</v>
      </c>
      <c r="L20" s="258">
        <v>44043</v>
      </c>
    </row>
    <row r="21" spans="1:12" x14ac:dyDescent="0.45">
      <c r="A21" s="244"/>
      <c r="B21" s="253"/>
      <c r="C21" s="124" t="s">
        <v>28</v>
      </c>
      <c r="D21" s="126" t="s">
        <v>73</v>
      </c>
      <c r="E21" s="124" t="s">
        <v>18</v>
      </c>
      <c r="F21" s="126" t="s">
        <v>122</v>
      </c>
      <c r="G21" s="176">
        <v>5.1315189999999999</v>
      </c>
      <c r="H21" s="247"/>
      <c r="I21" s="248"/>
      <c r="J21" s="247"/>
      <c r="K21" s="256"/>
      <c r="L21" s="258"/>
    </row>
    <row r="22" spans="1:12" ht="28.5" x14ac:dyDescent="0.45">
      <c r="A22" s="244"/>
      <c r="B22" s="253"/>
      <c r="C22" s="124" t="s">
        <v>28</v>
      </c>
      <c r="D22" s="126" t="s">
        <v>173</v>
      </c>
      <c r="E22" s="124" t="s">
        <v>12</v>
      </c>
      <c r="F22" s="126" t="s">
        <v>413</v>
      </c>
      <c r="G22" s="176">
        <v>25</v>
      </c>
      <c r="H22" s="247"/>
      <c r="I22" s="248"/>
      <c r="J22" s="247"/>
      <c r="K22" s="256" t="s">
        <v>174</v>
      </c>
      <c r="L22" s="258">
        <v>44043</v>
      </c>
    </row>
    <row r="23" spans="1:12" ht="28.5" x14ac:dyDescent="0.45">
      <c r="A23" s="244"/>
      <c r="B23" s="253"/>
      <c r="C23" s="124" t="s">
        <v>28</v>
      </c>
      <c r="D23" s="126" t="s">
        <v>173</v>
      </c>
      <c r="E23" s="124" t="s">
        <v>18</v>
      </c>
      <c r="F23" s="126" t="s">
        <v>122</v>
      </c>
      <c r="G23" s="176">
        <v>114.82145800000001</v>
      </c>
      <c r="H23" s="247"/>
      <c r="I23" s="248"/>
      <c r="J23" s="247"/>
      <c r="K23" s="256"/>
      <c r="L23" s="258"/>
    </row>
    <row r="24" spans="1:12" ht="28.5" x14ac:dyDescent="0.45">
      <c r="A24" s="244"/>
      <c r="B24" s="253"/>
      <c r="C24" s="124" t="s">
        <v>28</v>
      </c>
      <c r="D24" s="126" t="s">
        <v>175</v>
      </c>
      <c r="E24" s="124" t="s">
        <v>12</v>
      </c>
      <c r="F24" s="126" t="s">
        <v>413</v>
      </c>
      <c r="G24" s="176">
        <v>109.37899899999999</v>
      </c>
      <c r="H24" s="247"/>
      <c r="I24" s="248"/>
      <c r="J24" s="247"/>
      <c r="K24" s="256" t="s">
        <v>176</v>
      </c>
      <c r="L24" s="258">
        <v>44043</v>
      </c>
    </row>
    <row r="25" spans="1:12" ht="28.5" x14ac:dyDescent="0.45">
      <c r="A25" s="244"/>
      <c r="B25" s="253"/>
      <c r="C25" s="124" t="s">
        <v>28</v>
      </c>
      <c r="D25" s="126" t="s">
        <v>175</v>
      </c>
      <c r="E25" s="124" t="s">
        <v>18</v>
      </c>
      <c r="F25" s="126" t="s">
        <v>122</v>
      </c>
      <c r="G25" s="176">
        <v>103.03525</v>
      </c>
      <c r="H25" s="247"/>
      <c r="I25" s="248"/>
      <c r="J25" s="247"/>
      <c r="K25" s="256"/>
      <c r="L25" s="258"/>
    </row>
    <row r="26" spans="1:12" x14ac:dyDescent="0.45">
      <c r="A26" s="244"/>
      <c r="B26" s="253"/>
      <c r="C26" s="124" t="s">
        <v>10</v>
      </c>
      <c r="D26" s="124" t="s">
        <v>168</v>
      </c>
      <c r="E26" s="124" t="s">
        <v>18</v>
      </c>
      <c r="F26" s="126" t="s">
        <v>122</v>
      </c>
      <c r="G26" s="176">
        <f>0.354884+41.778</f>
        <v>42.132883999999997</v>
      </c>
      <c r="H26" s="247"/>
      <c r="I26" s="248"/>
      <c r="J26" s="247"/>
      <c r="K26" s="256"/>
      <c r="L26" s="258"/>
    </row>
    <row r="27" spans="1:12" ht="57" x14ac:dyDescent="0.45">
      <c r="A27" s="244"/>
      <c r="B27" s="253"/>
      <c r="C27" s="124" t="s">
        <v>10</v>
      </c>
      <c r="D27" s="124" t="s">
        <v>71</v>
      </c>
      <c r="E27" s="124" t="s">
        <v>12</v>
      </c>
      <c r="F27" s="126" t="s">
        <v>415</v>
      </c>
      <c r="G27" s="176">
        <v>8</v>
      </c>
      <c r="H27" s="247"/>
      <c r="I27" s="248"/>
      <c r="J27" s="247"/>
      <c r="K27" s="256"/>
      <c r="L27" s="258"/>
    </row>
    <row r="28" spans="1:12" x14ac:dyDescent="0.45">
      <c r="A28" s="244"/>
      <c r="B28" s="253"/>
      <c r="C28" s="124" t="s">
        <v>10</v>
      </c>
      <c r="D28" s="124" t="s">
        <v>71</v>
      </c>
      <c r="E28" s="124" t="s">
        <v>18</v>
      </c>
      <c r="F28" s="126" t="s">
        <v>122</v>
      </c>
      <c r="G28" s="176">
        <v>8.3000000000000007</v>
      </c>
      <c r="H28" s="247"/>
      <c r="I28" s="248"/>
      <c r="J28" s="247"/>
      <c r="K28" s="256"/>
      <c r="L28" s="258"/>
    </row>
    <row r="29" spans="1:12" ht="57" x14ac:dyDescent="0.45">
      <c r="A29" s="244"/>
      <c r="B29" s="253"/>
      <c r="C29" s="124" t="s">
        <v>10</v>
      </c>
      <c r="D29" s="126" t="s">
        <v>73</v>
      </c>
      <c r="E29" s="124" t="s">
        <v>12</v>
      </c>
      <c r="F29" s="126" t="s">
        <v>415</v>
      </c>
      <c r="G29" s="176">
        <v>131.19999999999999</v>
      </c>
      <c r="H29" s="247"/>
      <c r="I29" s="248"/>
      <c r="J29" s="247"/>
      <c r="K29" s="256"/>
      <c r="L29" s="258"/>
    </row>
    <row r="30" spans="1:12" x14ac:dyDescent="0.45">
      <c r="A30" s="244"/>
      <c r="B30" s="253"/>
      <c r="C30" s="124" t="s">
        <v>10</v>
      </c>
      <c r="D30" s="126" t="s">
        <v>73</v>
      </c>
      <c r="E30" s="124" t="s">
        <v>18</v>
      </c>
      <c r="F30" s="126" t="s">
        <v>122</v>
      </c>
      <c r="G30" s="176">
        <f>3.594906+61.566</f>
        <v>65.160905999999997</v>
      </c>
      <c r="H30" s="247"/>
      <c r="I30" s="248"/>
      <c r="J30" s="247"/>
      <c r="K30" s="256"/>
      <c r="L30" s="258"/>
    </row>
    <row r="31" spans="1:12" ht="28.5" x14ac:dyDescent="0.45">
      <c r="A31" s="244"/>
      <c r="B31" s="253"/>
      <c r="C31" s="124" t="s">
        <v>10</v>
      </c>
      <c r="D31" s="126" t="s">
        <v>173</v>
      </c>
      <c r="E31" s="124" t="s">
        <v>18</v>
      </c>
      <c r="F31" s="126" t="s">
        <v>122</v>
      </c>
      <c r="G31" s="176">
        <v>46.5</v>
      </c>
      <c r="H31" s="247"/>
      <c r="I31" s="248"/>
      <c r="J31" s="247"/>
      <c r="K31" s="256"/>
      <c r="L31" s="258"/>
    </row>
    <row r="32" spans="1:12" ht="57" x14ac:dyDescent="0.45">
      <c r="A32" s="244"/>
      <c r="B32" s="253"/>
      <c r="C32" s="124" t="s">
        <v>10</v>
      </c>
      <c r="D32" s="126" t="s">
        <v>175</v>
      </c>
      <c r="E32" s="124" t="s">
        <v>12</v>
      </c>
      <c r="F32" s="126" t="s">
        <v>415</v>
      </c>
      <c r="G32" s="176">
        <v>88.2</v>
      </c>
      <c r="H32" s="247"/>
      <c r="I32" s="248"/>
      <c r="J32" s="247"/>
      <c r="K32" s="256"/>
      <c r="L32" s="258"/>
    </row>
    <row r="33" spans="1:12" s="57" customFormat="1" ht="28.5" x14ac:dyDescent="0.45">
      <c r="A33" s="244"/>
      <c r="B33" s="253"/>
      <c r="C33" s="124" t="s">
        <v>10</v>
      </c>
      <c r="D33" s="126" t="s">
        <v>175</v>
      </c>
      <c r="E33" s="124" t="s">
        <v>18</v>
      </c>
      <c r="F33" s="126" t="s">
        <v>122</v>
      </c>
      <c r="G33" s="176">
        <f>1.943603+63.631</f>
        <v>65.574602999999996</v>
      </c>
      <c r="H33" s="247"/>
      <c r="I33" s="248"/>
      <c r="J33" s="247"/>
      <c r="K33" s="256"/>
      <c r="L33" s="258"/>
    </row>
    <row r="34" spans="1:12" s="57" customFormat="1" ht="28.5" x14ac:dyDescent="0.45">
      <c r="A34" s="244"/>
      <c r="B34" s="253"/>
      <c r="C34" s="124" t="s">
        <v>520</v>
      </c>
      <c r="D34" s="126" t="s">
        <v>168</v>
      </c>
      <c r="E34" s="124" t="s">
        <v>12</v>
      </c>
      <c r="F34" s="126" t="s">
        <v>521</v>
      </c>
      <c r="G34" s="176">
        <v>10.5</v>
      </c>
      <c r="H34" s="247"/>
      <c r="I34" s="248"/>
      <c r="J34" s="247"/>
      <c r="K34" s="256"/>
      <c r="L34" s="258"/>
    </row>
    <row r="35" spans="1:12" s="57" customFormat="1" ht="28.5" x14ac:dyDescent="0.45">
      <c r="A35" s="244"/>
      <c r="B35" s="253"/>
      <c r="C35" s="124" t="s">
        <v>520</v>
      </c>
      <c r="D35" s="124" t="s">
        <v>71</v>
      </c>
      <c r="E35" s="124" t="s">
        <v>12</v>
      </c>
      <c r="F35" s="126" t="s">
        <v>521</v>
      </c>
      <c r="G35" s="176">
        <v>8.4600000000000009</v>
      </c>
      <c r="H35" s="247"/>
      <c r="I35" s="248"/>
      <c r="J35" s="247"/>
      <c r="K35" s="256"/>
      <c r="L35" s="258"/>
    </row>
    <row r="36" spans="1:12" s="57" customFormat="1" ht="57" x14ac:dyDescent="0.45">
      <c r="A36" s="244"/>
      <c r="B36" s="253"/>
      <c r="C36" s="124" t="s">
        <v>520</v>
      </c>
      <c r="D36" s="124" t="s">
        <v>71</v>
      </c>
      <c r="E36" s="124" t="s">
        <v>12</v>
      </c>
      <c r="F36" s="126" t="s">
        <v>415</v>
      </c>
      <c r="G36" s="176">
        <v>-5.3229490000000004</v>
      </c>
      <c r="H36" s="247"/>
      <c r="I36" s="248"/>
      <c r="J36" s="247"/>
      <c r="K36" s="256"/>
      <c r="L36" s="258"/>
    </row>
    <row r="37" spans="1:12" s="57" customFormat="1" x14ac:dyDescent="0.45">
      <c r="A37" s="244"/>
      <c r="B37" s="253"/>
      <c r="C37" s="124" t="s">
        <v>520</v>
      </c>
      <c r="D37" s="124" t="s">
        <v>71</v>
      </c>
      <c r="E37" s="124" t="s">
        <v>18</v>
      </c>
      <c r="F37" s="126" t="s">
        <v>122</v>
      </c>
      <c r="G37" s="181">
        <v>5.3229490000000004</v>
      </c>
      <c r="H37" s="247"/>
      <c r="I37" s="248"/>
      <c r="J37" s="247"/>
      <c r="K37" s="256"/>
      <c r="L37" s="258"/>
    </row>
    <row r="38" spans="1:12" s="57" customFormat="1" ht="57" x14ac:dyDescent="0.45">
      <c r="A38" s="244"/>
      <c r="B38" s="253"/>
      <c r="C38" s="124" t="s">
        <v>520</v>
      </c>
      <c r="D38" s="126" t="s">
        <v>73</v>
      </c>
      <c r="E38" s="124" t="s">
        <v>12</v>
      </c>
      <c r="F38" s="126" t="s">
        <v>415</v>
      </c>
      <c r="G38" s="176">
        <v>-125</v>
      </c>
      <c r="H38" s="247"/>
      <c r="I38" s="248"/>
      <c r="J38" s="247"/>
      <c r="K38" s="256"/>
      <c r="L38" s="258"/>
    </row>
    <row r="39" spans="1:12" s="57" customFormat="1" x14ac:dyDescent="0.45">
      <c r="A39" s="244"/>
      <c r="B39" s="253"/>
      <c r="C39" s="124" t="s">
        <v>520</v>
      </c>
      <c r="D39" s="126" t="s">
        <v>73</v>
      </c>
      <c r="E39" s="124" t="s">
        <v>18</v>
      </c>
      <c r="F39" s="126" t="s">
        <v>122</v>
      </c>
      <c r="G39" s="176">
        <v>125</v>
      </c>
      <c r="H39" s="247"/>
      <c r="I39" s="248"/>
      <c r="J39" s="247"/>
      <c r="K39" s="256"/>
      <c r="L39" s="258"/>
    </row>
    <row r="40" spans="1:12" s="57" customFormat="1" ht="28.5" x14ac:dyDescent="0.45">
      <c r="A40" s="244"/>
      <c r="B40" s="253"/>
      <c r="C40" s="124" t="s">
        <v>520</v>
      </c>
      <c r="D40" s="126" t="s">
        <v>73</v>
      </c>
      <c r="E40" s="124" t="s">
        <v>12</v>
      </c>
      <c r="F40" s="126" t="s">
        <v>521</v>
      </c>
      <c r="G40" s="176">
        <v>85.7</v>
      </c>
      <c r="H40" s="247"/>
      <c r="I40" s="248"/>
      <c r="J40" s="247"/>
      <c r="K40" s="256"/>
      <c r="L40" s="258"/>
    </row>
    <row r="41" spans="1:12" s="57" customFormat="1" ht="57" x14ac:dyDescent="0.45">
      <c r="A41" s="244"/>
      <c r="B41" s="253"/>
      <c r="C41" s="73" t="s">
        <v>520</v>
      </c>
      <c r="D41" s="126" t="s">
        <v>175</v>
      </c>
      <c r="E41" s="124" t="s">
        <v>12</v>
      </c>
      <c r="F41" s="126" t="s">
        <v>415</v>
      </c>
      <c r="G41" s="176">
        <v>-13.706882999999999</v>
      </c>
      <c r="H41" s="247"/>
      <c r="I41" s="248"/>
      <c r="J41" s="247"/>
      <c r="K41" s="256"/>
      <c r="L41" s="258"/>
    </row>
    <row r="42" spans="1:12" s="57" customFormat="1" ht="28.5" x14ac:dyDescent="0.45">
      <c r="A42" s="244"/>
      <c r="B42" s="253"/>
      <c r="C42" s="73" t="s">
        <v>520</v>
      </c>
      <c r="D42" s="126" t="s">
        <v>175</v>
      </c>
      <c r="E42" s="73" t="s">
        <v>18</v>
      </c>
      <c r="F42" s="73" t="s">
        <v>122</v>
      </c>
      <c r="G42" s="181">
        <v>13.706882999999999</v>
      </c>
      <c r="H42" s="247"/>
      <c r="I42" s="248"/>
      <c r="J42" s="247"/>
      <c r="K42" s="256"/>
      <c r="L42" s="258"/>
    </row>
    <row r="43" spans="1:12" ht="28.5" x14ac:dyDescent="0.45">
      <c r="A43" s="244"/>
      <c r="B43" s="253"/>
      <c r="C43" s="124" t="s">
        <v>28</v>
      </c>
      <c r="D43" s="126" t="s">
        <v>168</v>
      </c>
      <c r="E43" s="124" t="s">
        <v>12</v>
      </c>
      <c r="F43" s="126" t="s">
        <v>413</v>
      </c>
      <c r="G43" s="176">
        <v>9</v>
      </c>
      <c r="H43" s="247"/>
      <c r="I43" s="248"/>
      <c r="J43" s="247"/>
      <c r="K43" s="256" t="s">
        <v>178</v>
      </c>
      <c r="L43" s="258">
        <v>44013</v>
      </c>
    </row>
    <row r="44" spans="1:12" x14ac:dyDescent="0.45">
      <c r="A44" s="244"/>
      <c r="B44" s="253"/>
      <c r="C44" s="124" t="s">
        <v>28</v>
      </c>
      <c r="D44" s="126" t="s">
        <v>168</v>
      </c>
      <c r="E44" s="124" t="s">
        <v>18</v>
      </c>
      <c r="F44" s="126" t="s">
        <v>122</v>
      </c>
      <c r="G44" s="176">
        <v>34.299999999999997</v>
      </c>
      <c r="H44" s="247"/>
      <c r="I44" s="248"/>
      <c r="J44" s="247"/>
      <c r="K44" s="256"/>
      <c r="L44" s="258"/>
    </row>
    <row r="45" spans="1:12" ht="28.5" x14ac:dyDescent="0.45">
      <c r="A45" s="244"/>
      <c r="B45" s="253"/>
      <c r="C45" s="124" t="s">
        <v>28</v>
      </c>
      <c r="D45" s="126" t="s">
        <v>169</v>
      </c>
      <c r="E45" s="124" t="s">
        <v>12</v>
      </c>
      <c r="F45" s="126" t="s">
        <v>413</v>
      </c>
      <c r="G45" s="176">
        <v>2.5</v>
      </c>
      <c r="H45" s="247"/>
      <c r="I45" s="248"/>
      <c r="J45" s="247"/>
      <c r="K45" s="256" t="s">
        <v>44</v>
      </c>
      <c r="L45" s="258">
        <v>44013</v>
      </c>
    </row>
    <row r="46" spans="1:12" x14ac:dyDescent="0.45">
      <c r="A46" s="244"/>
      <c r="B46" s="253"/>
      <c r="C46" s="124" t="s">
        <v>28</v>
      </c>
      <c r="D46" s="126" t="s">
        <v>169</v>
      </c>
      <c r="E46" s="124" t="s">
        <v>18</v>
      </c>
      <c r="F46" s="126" t="s">
        <v>122</v>
      </c>
      <c r="G46" s="176">
        <v>9.3000000000000007</v>
      </c>
      <c r="H46" s="247"/>
      <c r="I46" s="248"/>
      <c r="J46" s="247"/>
      <c r="K46" s="256"/>
      <c r="L46" s="258"/>
    </row>
    <row r="47" spans="1:12" x14ac:dyDescent="0.45">
      <c r="A47" s="244"/>
      <c r="B47" s="253"/>
      <c r="C47" s="124" t="s">
        <v>28</v>
      </c>
      <c r="D47" s="126" t="s">
        <v>71</v>
      </c>
      <c r="E47" s="124" t="s">
        <v>18</v>
      </c>
      <c r="F47" s="126" t="s">
        <v>122</v>
      </c>
      <c r="G47" s="176">
        <v>25.5</v>
      </c>
      <c r="H47" s="247"/>
      <c r="I47" s="248"/>
      <c r="J47" s="247"/>
      <c r="K47" s="256" t="s">
        <v>179</v>
      </c>
      <c r="L47" s="258">
        <v>44013</v>
      </c>
    </row>
    <row r="48" spans="1:12" ht="28.5" x14ac:dyDescent="0.45">
      <c r="A48" s="244"/>
      <c r="B48" s="253"/>
      <c r="C48" s="124" t="s">
        <v>28</v>
      </c>
      <c r="D48" s="126" t="s">
        <v>173</v>
      </c>
      <c r="E48" s="124" t="s">
        <v>12</v>
      </c>
      <c r="F48" s="126" t="s">
        <v>413</v>
      </c>
      <c r="G48" s="176">
        <v>53</v>
      </c>
      <c r="H48" s="247"/>
      <c r="I48" s="248"/>
      <c r="J48" s="247"/>
      <c r="K48" s="256" t="s">
        <v>180</v>
      </c>
      <c r="L48" s="258">
        <v>44013</v>
      </c>
    </row>
    <row r="49" spans="1:12" ht="28.5" x14ac:dyDescent="0.45">
      <c r="A49" s="244"/>
      <c r="B49" s="253"/>
      <c r="C49" s="124" t="s">
        <v>28</v>
      </c>
      <c r="D49" s="126" t="s">
        <v>173</v>
      </c>
      <c r="E49" s="124" t="s">
        <v>18</v>
      </c>
      <c r="F49" s="126" t="s">
        <v>122</v>
      </c>
      <c r="G49" s="176">
        <v>18.3</v>
      </c>
      <c r="H49" s="247"/>
      <c r="I49" s="248"/>
      <c r="J49" s="247"/>
      <c r="K49" s="256"/>
      <c r="L49" s="258"/>
    </row>
    <row r="50" spans="1:12" ht="28.5" x14ac:dyDescent="0.45">
      <c r="A50" s="244"/>
      <c r="B50" s="253"/>
      <c r="C50" s="124" t="s">
        <v>28</v>
      </c>
      <c r="D50" s="126" t="s">
        <v>175</v>
      </c>
      <c r="E50" s="124" t="s">
        <v>12</v>
      </c>
      <c r="F50" s="126" t="s">
        <v>413</v>
      </c>
      <c r="G50" s="176">
        <v>39.4</v>
      </c>
      <c r="H50" s="247"/>
      <c r="I50" s="248"/>
      <c r="J50" s="247"/>
      <c r="K50" s="256" t="s">
        <v>181</v>
      </c>
      <c r="L50" s="258">
        <v>44013</v>
      </c>
    </row>
    <row r="51" spans="1:12" ht="28.5" x14ac:dyDescent="0.45">
      <c r="A51" s="244"/>
      <c r="B51" s="253"/>
      <c r="C51" s="124" t="s">
        <v>28</v>
      </c>
      <c r="D51" s="126" t="s">
        <v>73</v>
      </c>
      <c r="E51" s="124" t="s">
        <v>12</v>
      </c>
      <c r="F51" s="126" t="s">
        <v>413</v>
      </c>
      <c r="G51" s="176">
        <v>95.7</v>
      </c>
      <c r="H51" s="247"/>
      <c r="I51" s="248"/>
      <c r="J51" s="247"/>
      <c r="K51" s="256" t="s">
        <v>182</v>
      </c>
      <c r="L51" s="258">
        <v>44013</v>
      </c>
    </row>
    <row r="52" spans="1:12" x14ac:dyDescent="0.45">
      <c r="A52" s="244"/>
      <c r="B52" s="253"/>
      <c r="C52" s="124" t="s">
        <v>10</v>
      </c>
      <c r="D52" s="124" t="s">
        <v>168</v>
      </c>
      <c r="E52" s="124" t="s">
        <v>18</v>
      </c>
      <c r="F52" s="126" t="s">
        <v>122</v>
      </c>
      <c r="G52" s="176">
        <v>18</v>
      </c>
      <c r="H52" s="247"/>
      <c r="I52" s="248"/>
      <c r="J52" s="247"/>
      <c r="K52" s="256"/>
      <c r="L52" s="258"/>
    </row>
    <row r="53" spans="1:12" ht="57" x14ac:dyDescent="0.45">
      <c r="A53" s="244"/>
      <c r="B53" s="253"/>
      <c r="C53" s="124" t="s">
        <v>10</v>
      </c>
      <c r="D53" s="126" t="s">
        <v>173</v>
      </c>
      <c r="E53" s="124" t="s">
        <v>12</v>
      </c>
      <c r="F53" s="126" t="s">
        <v>415</v>
      </c>
      <c r="G53" s="176">
        <v>12</v>
      </c>
      <c r="H53" s="247"/>
      <c r="I53" s="248"/>
      <c r="J53" s="247"/>
      <c r="K53" s="256"/>
      <c r="L53" s="258"/>
    </row>
    <row r="54" spans="1:12" ht="28.5" x14ac:dyDescent="0.45">
      <c r="A54" s="244"/>
      <c r="B54" s="253"/>
      <c r="C54" s="124" t="s">
        <v>10</v>
      </c>
      <c r="D54" s="126" t="s">
        <v>173</v>
      </c>
      <c r="E54" s="124" t="s">
        <v>18</v>
      </c>
      <c r="F54" s="126" t="s">
        <v>122</v>
      </c>
      <c r="G54" s="176">
        <v>11.3</v>
      </c>
      <c r="H54" s="247"/>
      <c r="I54" s="248"/>
      <c r="J54" s="247"/>
      <c r="K54" s="256"/>
      <c r="L54" s="258"/>
    </row>
    <row r="55" spans="1:12" ht="57" x14ac:dyDescent="0.45">
      <c r="A55" s="244"/>
      <c r="B55" s="253"/>
      <c r="C55" s="124" t="s">
        <v>10</v>
      </c>
      <c r="D55" s="126" t="s">
        <v>175</v>
      </c>
      <c r="E55" s="124" t="s">
        <v>12</v>
      </c>
      <c r="F55" s="126" t="s">
        <v>415</v>
      </c>
      <c r="G55" s="176">
        <v>15</v>
      </c>
      <c r="H55" s="247"/>
      <c r="I55" s="248"/>
      <c r="J55" s="247"/>
      <c r="K55" s="256"/>
      <c r="L55" s="258"/>
    </row>
    <row r="56" spans="1:12" ht="28.5" x14ac:dyDescent="0.45">
      <c r="A56" s="244"/>
      <c r="B56" s="253"/>
      <c r="C56" s="124" t="s">
        <v>10</v>
      </c>
      <c r="D56" s="126" t="s">
        <v>175</v>
      </c>
      <c r="E56" s="124" t="s">
        <v>18</v>
      </c>
      <c r="F56" s="126" t="s">
        <v>122</v>
      </c>
      <c r="G56" s="176">
        <v>15</v>
      </c>
      <c r="H56" s="247"/>
      <c r="I56" s="248"/>
      <c r="J56" s="247"/>
      <c r="K56" s="256"/>
      <c r="L56" s="258"/>
    </row>
    <row r="57" spans="1:12" ht="57" x14ac:dyDescent="0.45">
      <c r="A57" s="244"/>
      <c r="B57" s="253"/>
      <c r="C57" s="124" t="s">
        <v>10</v>
      </c>
      <c r="D57" s="126" t="s">
        <v>71</v>
      </c>
      <c r="E57" s="124" t="s">
        <v>12</v>
      </c>
      <c r="F57" s="126" t="s">
        <v>415</v>
      </c>
      <c r="G57" s="176">
        <v>6</v>
      </c>
      <c r="H57" s="247"/>
      <c r="I57" s="248"/>
      <c r="J57" s="247"/>
      <c r="K57" s="256"/>
      <c r="L57" s="258"/>
    </row>
    <row r="58" spans="1:12" s="57" customFormat="1" ht="57" x14ac:dyDescent="0.45">
      <c r="A58" s="244"/>
      <c r="B58" s="253"/>
      <c r="C58" s="124" t="s">
        <v>10</v>
      </c>
      <c r="D58" s="126" t="s">
        <v>73</v>
      </c>
      <c r="E58" s="124" t="s">
        <v>12</v>
      </c>
      <c r="F58" s="126" t="s">
        <v>415</v>
      </c>
      <c r="G58" s="176">
        <v>67</v>
      </c>
      <c r="H58" s="247"/>
      <c r="I58" s="248"/>
      <c r="J58" s="247"/>
      <c r="K58" s="256"/>
      <c r="L58" s="258"/>
    </row>
    <row r="59" spans="1:12" s="57" customFormat="1" x14ac:dyDescent="0.45">
      <c r="A59" s="244"/>
      <c r="B59" s="253"/>
      <c r="C59" s="124" t="s">
        <v>520</v>
      </c>
      <c r="D59" s="126" t="s">
        <v>71</v>
      </c>
      <c r="E59" s="124" t="s">
        <v>18</v>
      </c>
      <c r="F59" s="126" t="s">
        <v>122</v>
      </c>
      <c r="G59" s="176">
        <v>6</v>
      </c>
      <c r="H59" s="247"/>
      <c r="I59" s="248"/>
      <c r="J59" s="247"/>
      <c r="K59" s="256"/>
      <c r="L59" s="258"/>
    </row>
    <row r="60" spans="1:12" s="57" customFormat="1" ht="57" x14ac:dyDescent="0.45">
      <c r="A60" s="244"/>
      <c r="B60" s="253"/>
      <c r="C60" s="124" t="s">
        <v>520</v>
      </c>
      <c r="D60" s="126" t="s">
        <v>71</v>
      </c>
      <c r="E60" s="124" t="s">
        <v>12</v>
      </c>
      <c r="F60" s="126" t="s">
        <v>415</v>
      </c>
      <c r="G60" s="176">
        <v>-6</v>
      </c>
      <c r="H60" s="247"/>
      <c r="I60" s="248"/>
      <c r="J60" s="247"/>
      <c r="K60" s="256"/>
      <c r="L60" s="258"/>
    </row>
    <row r="61" spans="1:12" s="57" customFormat="1" ht="28.5" x14ac:dyDescent="0.45">
      <c r="A61" s="244"/>
      <c r="B61" s="253"/>
      <c r="C61" s="124" t="s">
        <v>520</v>
      </c>
      <c r="D61" s="126" t="s">
        <v>71</v>
      </c>
      <c r="E61" s="124" t="s">
        <v>12</v>
      </c>
      <c r="F61" s="126" t="s">
        <v>521</v>
      </c>
      <c r="G61" s="176">
        <v>17.899999999999999</v>
      </c>
      <c r="H61" s="247"/>
      <c r="I61" s="248"/>
      <c r="J61" s="247"/>
      <c r="K61" s="256"/>
      <c r="L61" s="258"/>
    </row>
    <row r="62" spans="1:12" s="57" customFormat="1" ht="28.5" x14ac:dyDescent="0.45">
      <c r="A62" s="244"/>
      <c r="B62" s="253"/>
      <c r="C62" s="124" t="s">
        <v>520</v>
      </c>
      <c r="D62" s="126" t="s">
        <v>73</v>
      </c>
      <c r="E62" s="124" t="s">
        <v>12</v>
      </c>
      <c r="F62" s="126" t="s">
        <v>521</v>
      </c>
      <c r="G62" s="178">
        <v>63.8</v>
      </c>
      <c r="H62" s="247"/>
      <c r="I62" s="248"/>
      <c r="J62" s="247"/>
      <c r="K62" s="256"/>
      <c r="L62" s="258"/>
    </row>
    <row r="63" spans="1:12" s="57" customFormat="1" ht="28.5" x14ac:dyDescent="0.45">
      <c r="A63" s="244"/>
      <c r="B63" s="253"/>
      <c r="C63" s="124" t="s">
        <v>520</v>
      </c>
      <c r="D63" s="126" t="s">
        <v>175</v>
      </c>
      <c r="E63" s="124" t="s">
        <v>18</v>
      </c>
      <c r="F63" s="126" t="s">
        <v>122</v>
      </c>
      <c r="G63" s="176">
        <v>0.75226300000000001</v>
      </c>
      <c r="H63" s="247"/>
      <c r="I63" s="248"/>
      <c r="J63" s="247"/>
      <c r="K63" s="256"/>
      <c r="L63" s="258"/>
    </row>
    <row r="64" spans="1:12" s="57" customFormat="1" ht="57" x14ac:dyDescent="0.45">
      <c r="A64" s="244"/>
      <c r="B64" s="253"/>
      <c r="C64" s="168" t="s">
        <v>520</v>
      </c>
      <c r="D64" s="167" t="s">
        <v>175</v>
      </c>
      <c r="E64" s="168" t="s">
        <v>12</v>
      </c>
      <c r="F64" s="167" t="s">
        <v>415</v>
      </c>
      <c r="G64" s="176">
        <v>-0.75226300000000001</v>
      </c>
      <c r="H64" s="247"/>
      <c r="I64" s="248"/>
      <c r="J64" s="247"/>
      <c r="K64" s="256"/>
      <c r="L64" s="258"/>
    </row>
    <row r="65" spans="1:12" ht="28.5" x14ac:dyDescent="0.45">
      <c r="A65" s="245"/>
      <c r="B65" s="254"/>
      <c r="C65" s="168" t="s">
        <v>520</v>
      </c>
      <c r="D65" s="168" t="s">
        <v>168</v>
      </c>
      <c r="E65" s="168" t="s">
        <v>12</v>
      </c>
      <c r="F65" s="167" t="s">
        <v>521</v>
      </c>
      <c r="G65" s="176">
        <v>20.3</v>
      </c>
      <c r="H65" s="230"/>
      <c r="I65" s="232"/>
      <c r="J65" s="230"/>
      <c r="K65" s="236"/>
      <c r="L65" s="259"/>
    </row>
    <row r="66" spans="1:12" ht="35.25" customHeight="1" x14ac:dyDescent="0.45">
      <c r="A66" s="120" t="s">
        <v>183</v>
      </c>
      <c r="B66" s="85">
        <v>3</v>
      </c>
      <c r="C66" s="168" t="s">
        <v>520</v>
      </c>
      <c r="D66" s="167" t="s">
        <v>169</v>
      </c>
      <c r="E66" s="168" t="s">
        <v>18</v>
      </c>
      <c r="F66" s="73" t="s">
        <v>122</v>
      </c>
      <c r="G66" s="178">
        <v>3</v>
      </c>
      <c r="H66" s="124" t="s">
        <v>13</v>
      </c>
      <c r="I66" s="125" t="s">
        <v>177</v>
      </c>
      <c r="J66" s="124" t="s">
        <v>15</v>
      </c>
      <c r="K66" s="127"/>
      <c r="L66" s="129"/>
    </row>
    <row r="67" spans="1:12" x14ac:dyDescent="0.45">
      <c r="A67" s="243" t="s">
        <v>134</v>
      </c>
      <c r="B67" s="233">
        <v>0</v>
      </c>
      <c r="C67" s="287" t="s">
        <v>47</v>
      </c>
      <c r="D67" s="168" t="s">
        <v>223</v>
      </c>
      <c r="E67" s="168" t="s">
        <v>122</v>
      </c>
      <c r="F67" s="167" t="s">
        <v>122</v>
      </c>
      <c r="G67" s="176" t="s">
        <v>122</v>
      </c>
      <c r="H67" s="124" t="s">
        <v>434</v>
      </c>
      <c r="I67" s="124"/>
      <c r="J67" s="124"/>
      <c r="K67" s="127"/>
      <c r="L67" s="129"/>
    </row>
    <row r="68" spans="1:12" s="57" customFormat="1" x14ac:dyDescent="0.45">
      <c r="A68" s="245"/>
      <c r="B68" s="234"/>
      <c r="C68" s="287"/>
      <c r="D68" s="168" t="s">
        <v>221</v>
      </c>
      <c r="E68" s="168" t="s">
        <v>122</v>
      </c>
      <c r="F68" s="167" t="s">
        <v>122</v>
      </c>
      <c r="G68" s="176" t="s">
        <v>122</v>
      </c>
      <c r="H68" s="124" t="s">
        <v>434</v>
      </c>
      <c r="I68" s="124"/>
      <c r="J68" s="124"/>
      <c r="K68" s="127"/>
      <c r="L68" s="129"/>
    </row>
    <row r="69" spans="1:12" ht="28.5" x14ac:dyDescent="0.45">
      <c r="A69" s="243" t="s">
        <v>135</v>
      </c>
      <c r="B69" s="233">
        <f>30+5+50</f>
        <v>85</v>
      </c>
      <c r="C69" s="168" t="s">
        <v>28</v>
      </c>
      <c r="D69" s="167" t="s">
        <v>136</v>
      </c>
      <c r="E69" s="168" t="s">
        <v>18</v>
      </c>
      <c r="F69" s="167" t="s">
        <v>122</v>
      </c>
      <c r="G69" s="176">
        <v>22.2</v>
      </c>
      <c r="H69" s="229" t="s">
        <v>13</v>
      </c>
      <c r="I69" s="231" t="s">
        <v>137</v>
      </c>
      <c r="J69" s="233" t="s">
        <v>21</v>
      </c>
      <c r="K69" s="235" t="s">
        <v>138</v>
      </c>
      <c r="L69" s="257"/>
    </row>
    <row r="70" spans="1:12" s="57" customFormat="1" ht="28.5" x14ac:dyDescent="0.45">
      <c r="A70" s="245"/>
      <c r="B70" s="234"/>
      <c r="C70" s="124" t="s">
        <v>520</v>
      </c>
      <c r="D70" s="126" t="s">
        <v>136</v>
      </c>
      <c r="E70" s="124" t="s">
        <v>18</v>
      </c>
      <c r="F70" s="126" t="s">
        <v>122</v>
      </c>
      <c r="G70" s="176">
        <v>50</v>
      </c>
      <c r="H70" s="230"/>
      <c r="I70" s="232"/>
      <c r="J70" s="234"/>
      <c r="K70" s="236"/>
      <c r="L70" s="259"/>
    </row>
    <row r="71" spans="1:12" x14ac:dyDescent="0.45">
      <c r="A71" s="120" t="s">
        <v>139</v>
      </c>
      <c r="B71" s="85">
        <v>5</v>
      </c>
      <c r="C71" s="124" t="s">
        <v>520</v>
      </c>
      <c r="D71" s="124" t="s">
        <v>481</v>
      </c>
      <c r="E71" s="124" t="s">
        <v>18</v>
      </c>
      <c r="F71" s="126" t="s">
        <v>122</v>
      </c>
      <c r="G71" s="182">
        <v>4.74</v>
      </c>
      <c r="H71" s="124" t="s">
        <v>434</v>
      </c>
      <c r="I71" s="124"/>
      <c r="J71" s="124"/>
      <c r="K71" s="127"/>
      <c r="L71" s="129"/>
    </row>
    <row r="72" spans="1:12" ht="28.5" x14ac:dyDescent="0.45">
      <c r="A72" s="243" t="s">
        <v>140</v>
      </c>
      <c r="B72" s="233">
        <v>50</v>
      </c>
      <c r="C72" s="124" t="s">
        <v>10</v>
      </c>
      <c r="D72" s="126" t="s">
        <v>141</v>
      </c>
      <c r="E72" s="124" t="s">
        <v>12</v>
      </c>
      <c r="F72" s="126" t="s">
        <v>413</v>
      </c>
      <c r="G72" s="176">
        <v>50</v>
      </c>
      <c r="H72" s="229" t="s">
        <v>13</v>
      </c>
      <c r="I72" s="231" t="s">
        <v>142</v>
      </c>
      <c r="J72" s="233" t="s">
        <v>21</v>
      </c>
      <c r="K72" s="235" t="s">
        <v>44</v>
      </c>
      <c r="L72" s="226">
        <v>44153</v>
      </c>
    </row>
    <row r="73" spans="1:12" s="57" customFormat="1" ht="28.5" x14ac:dyDescent="0.45">
      <c r="A73" s="244"/>
      <c r="B73" s="246"/>
      <c r="C73" s="124" t="s">
        <v>520</v>
      </c>
      <c r="D73" s="126" t="s">
        <v>141</v>
      </c>
      <c r="E73" s="124" t="s">
        <v>12</v>
      </c>
      <c r="F73" s="126" t="s">
        <v>413</v>
      </c>
      <c r="G73" s="176">
        <v>-49.654000000000003</v>
      </c>
      <c r="H73" s="247"/>
      <c r="I73" s="248"/>
      <c r="J73" s="246"/>
      <c r="K73" s="256"/>
      <c r="L73" s="227"/>
    </row>
    <row r="74" spans="1:12" s="57" customFormat="1" x14ac:dyDescent="0.45">
      <c r="A74" s="245"/>
      <c r="B74" s="234"/>
      <c r="C74" s="124" t="s">
        <v>520</v>
      </c>
      <c r="D74" s="126" t="s">
        <v>141</v>
      </c>
      <c r="E74" s="124" t="s">
        <v>18</v>
      </c>
      <c r="F74" s="126" t="s">
        <v>122</v>
      </c>
      <c r="G74" s="176">
        <v>49.654000000000003</v>
      </c>
      <c r="H74" s="230"/>
      <c r="I74" s="232"/>
      <c r="J74" s="234"/>
      <c r="K74" s="236"/>
      <c r="L74" s="228"/>
    </row>
    <row r="75" spans="1:12" x14ac:dyDescent="0.45">
      <c r="A75" s="243" t="s">
        <v>143</v>
      </c>
      <c r="B75" s="233">
        <v>50</v>
      </c>
      <c r="C75" s="124" t="s">
        <v>520</v>
      </c>
      <c r="D75" s="124" t="s">
        <v>168</v>
      </c>
      <c r="E75" s="124" t="s">
        <v>18</v>
      </c>
      <c r="F75" s="126" t="s">
        <v>122</v>
      </c>
      <c r="G75" s="182">
        <v>10</v>
      </c>
      <c r="H75" s="229" t="s">
        <v>13</v>
      </c>
      <c r="I75" s="231" t="s">
        <v>177</v>
      </c>
      <c r="J75" s="229" t="s">
        <v>15</v>
      </c>
      <c r="K75" s="235"/>
      <c r="L75" s="257"/>
    </row>
    <row r="76" spans="1:12" s="57" customFormat="1" x14ac:dyDescent="0.45">
      <c r="A76" s="244"/>
      <c r="B76" s="246"/>
      <c r="C76" s="124" t="s">
        <v>520</v>
      </c>
      <c r="D76" s="126" t="s">
        <v>169</v>
      </c>
      <c r="E76" s="124" t="s">
        <v>18</v>
      </c>
      <c r="F76" s="126" t="s">
        <v>122</v>
      </c>
      <c r="G76" s="182">
        <v>0.625</v>
      </c>
      <c r="H76" s="247"/>
      <c r="I76" s="248"/>
      <c r="J76" s="247"/>
      <c r="K76" s="256"/>
      <c r="L76" s="258"/>
    </row>
    <row r="77" spans="1:12" s="57" customFormat="1" x14ac:dyDescent="0.45">
      <c r="A77" s="244"/>
      <c r="B77" s="246"/>
      <c r="C77" s="124" t="s">
        <v>520</v>
      </c>
      <c r="D77" s="124" t="s">
        <v>71</v>
      </c>
      <c r="E77" s="124" t="s">
        <v>18</v>
      </c>
      <c r="F77" s="126" t="s">
        <v>122</v>
      </c>
      <c r="G77" s="182">
        <v>5.875</v>
      </c>
      <c r="H77" s="247"/>
      <c r="I77" s="248"/>
      <c r="J77" s="247"/>
      <c r="K77" s="256"/>
      <c r="L77" s="258"/>
    </row>
    <row r="78" spans="1:12" s="57" customFormat="1" x14ac:dyDescent="0.45">
      <c r="A78" s="244"/>
      <c r="B78" s="246"/>
      <c r="C78" s="124" t="s">
        <v>520</v>
      </c>
      <c r="D78" s="126" t="s">
        <v>73</v>
      </c>
      <c r="E78" s="124" t="s">
        <v>18</v>
      </c>
      <c r="F78" s="126" t="s">
        <v>122</v>
      </c>
      <c r="G78" s="182">
        <v>13.25</v>
      </c>
      <c r="H78" s="247"/>
      <c r="I78" s="248"/>
      <c r="J78" s="247"/>
      <c r="K78" s="256"/>
      <c r="L78" s="258"/>
    </row>
    <row r="79" spans="1:12" s="57" customFormat="1" ht="28.5" x14ac:dyDescent="0.45">
      <c r="A79" s="245"/>
      <c r="B79" s="234"/>
      <c r="C79" s="124" t="s">
        <v>520</v>
      </c>
      <c r="D79" s="126" t="s">
        <v>173</v>
      </c>
      <c r="E79" s="124" t="s">
        <v>18</v>
      </c>
      <c r="F79" s="126" t="s">
        <v>122</v>
      </c>
      <c r="G79" s="182">
        <v>14.375</v>
      </c>
      <c r="H79" s="230"/>
      <c r="I79" s="232"/>
      <c r="J79" s="230"/>
      <c r="K79" s="236"/>
      <c r="L79" s="259"/>
    </row>
    <row r="80" spans="1:12" x14ac:dyDescent="0.45">
      <c r="A80" s="120" t="s">
        <v>144</v>
      </c>
      <c r="B80" s="85">
        <v>0</v>
      </c>
      <c r="C80" s="124" t="s">
        <v>47</v>
      </c>
      <c r="D80" s="124" t="s">
        <v>34</v>
      </c>
      <c r="E80" s="124" t="s">
        <v>122</v>
      </c>
      <c r="F80" s="168" t="s">
        <v>122</v>
      </c>
      <c r="G80" s="176" t="s">
        <v>122</v>
      </c>
      <c r="H80" s="124" t="s">
        <v>434</v>
      </c>
      <c r="I80" s="124"/>
      <c r="J80" s="124"/>
      <c r="K80" s="127"/>
      <c r="L80" s="129"/>
    </row>
    <row r="81" spans="1:12" x14ac:dyDescent="0.45">
      <c r="A81" s="120" t="s">
        <v>145</v>
      </c>
      <c r="B81" s="85">
        <v>0</v>
      </c>
      <c r="C81" s="124" t="s">
        <v>47</v>
      </c>
      <c r="D81" s="124" t="s">
        <v>34</v>
      </c>
      <c r="E81" s="124" t="s">
        <v>122</v>
      </c>
      <c r="F81" s="168" t="s">
        <v>122</v>
      </c>
      <c r="G81" s="176" t="s">
        <v>122</v>
      </c>
      <c r="H81" s="124" t="s">
        <v>434</v>
      </c>
      <c r="I81" s="124"/>
      <c r="J81" s="124"/>
      <c r="K81" s="127"/>
      <c r="L81" s="129"/>
    </row>
    <row r="82" spans="1:12" x14ac:dyDescent="0.45">
      <c r="A82" s="120" t="s">
        <v>146</v>
      </c>
      <c r="B82" s="85">
        <v>57</v>
      </c>
      <c r="C82" s="124" t="s">
        <v>47</v>
      </c>
      <c r="D82" s="124" t="s">
        <v>34</v>
      </c>
      <c r="E82" s="124" t="s">
        <v>122</v>
      </c>
      <c r="F82" s="216" t="s">
        <v>428</v>
      </c>
      <c r="G82" s="176" t="s">
        <v>122</v>
      </c>
      <c r="H82" s="124" t="s">
        <v>13</v>
      </c>
      <c r="I82" s="125" t="s">
        <v>35</v>
      </c>
      <c r="J82" s="124" t="s">
        <v>15</v>
      </c>
      <c r="K82" s="127"/>
      <c r="L82" s="129"/>
    </row>
    <row r="83" spans="1:12" x14ac:dyDescent="0.45">
      <c r="A83" s="120" t="s">
        <v>147</v>
      </c>
      <c r="B83" s="85">
        <v>0</v>
      </c>
      <c r="C83" s="124" t="s">
        <v>47</v>
      </c>
      <c r="D83" s="124" t="s">
        <v>34</v>
      </c>
      <c r="E83" s="124" t="s">
        <v>122</v>
      </c>
      <c r="F83" s="168" t="s">
        <v>122</v>
      </c>
      <c r="G83" s="176" t="s">
        <v>122</v>
      </c>
      <c r="H83" s="124" t="s">
        <v>434</v>
      </c>
      <c r="I83" s="125"/>
      <c r="J83" s="124"/>
      <c r="K83" s="127"/>
      <c r="L83" s="129"/>
    </row>
    <row r="84" spans="1:12" ht="57" x14ac:dyDescent="0.45">
      <c r="A84" s="120" t="s">
        <v>148</v>
      </c>
      <c r="B84" s="85">
        <v>331</v>
      </c>
      <c r="C84" s="124" t="s">
        <v>47</v>
      </c>
      <c r="D84" s="124" t="s">
        <v>34</v>
      </c>
      <c r="E84" s="126" t="s">
        <v>122</v>
      </c>
      <c r="F84" s="126" t="s">
        <v>428</v>
      </c>
      <c r="G84" s="176" t="s">
        <v>122</v>
      </c>
      <c r="H84" s="124" t="s">
        <v>13</v>
      </c>
      <c r="I84" s="125" t="s">
        <v>149</v>
      </c>
      <c r="J84" s="126" t="s">
        <v>21</v>
      </c>
      <c r="K84" s="138" t="s">
        <v>466</v>
      </c>
      <c r="L84" s="128">
        <v>44044</v>
      </c>
    </row>
    <row r="85" spans="1:12" s="57" customFormat="1" x14ac:dyDescent="0.45">
      <c r="A85" s="210" t="s">
        <v>561</v>
      </c>
      <c r="B85" s="102">
        <v>0</v>
      </c>
      <c r="C85" s="206" t="s">
        <v>47</v>
      </c>
      <c r="D85" s="206" t="s">
        <v>71</v>
      </c>
      <c r="E85" s="208" t="s">
        <v>122</v>
      </c>
      <c r="F85" s="208" t="s">
        <v>122</v>
      </c>
      <c r="G85" s="176" t="s">
        <v>122</v>
      </c>
      <c r="H85" s="205" t="s">
        <v>13</v>
      </c>
      <c r="I85" s="207" t="s">
        <v>177</v>
      </c>
      <c r="J85" s="209" t="s">
        <v>15</v>
      </c>
      <c r="K85" s="212"/>
      <c r="L85" s="211"/>
    </row>
    <row r="86" spans="1:12" ht="28.5" x14ac:dyDescent="0.45">
      <c r="A86" s="264" t="s">
        <v>150</v>
      </c>
      <c r="B86" s="233">
        <f>250+155</f>
        <v>405</v>
      </c>
      <c r="C86" s="124" t="s">
        <v>28</v>
      </c>
      <c r="D86" s="126" t="s">
        <v>75</v>
      </c>
      <c r="E86" s="124" t="s">
        <v>12</v>
      </c>
      <c r="F86" s="126" t="s">
        <v>413</v>
      </c>
      <c r="G86" s="176">
        <v>250</v>
      </c>
      <c r="H86" s="229" t="s">
        <v>13</v>
      </c>
      <c r="I86" s="231" t="s">
        <v>125</v>
      </c>
      <c r="J86" s="229" t="s">
        <v>21</v>
      </c>
      <c r="K86" s="249" t="s">
        <v>451</v>
      </c>
      <c r="L86" s="226">
        <v>44119</v>
      </c>
    </row>
    <row r="87" spans="1:12" ht="28.5" x14ac:dyDescent="0.45">
      <c r="A87" s="264"/>
      <c r="B87" s="246"/>
      <c r="C87" s="124" t="s">
        <v>10</v>
      </c>
      <c r="D87" s="126" t="s">
        <v>75</v>
      </c>
      <c r="E87" s="124" t="s">
        <v>12</v>
      </c>
      <c r="F87" s="126" t="s">
        <v>417</v>
      </c>
      <c r="G87" s="176">
        <v>124.16</v>
      </c>
      <c r="H87" s="247"/>
      <c r="I87" s="248"/>
      <c r="J87" s="247"/>
      <c r="K87" s="250"/>
      <c r="L87" s="227"/>
    </row>
    <row r="88" spans="1:12" s="57" customFormat="1" x14ac:dyDescent="0.45">
      <c r="A88" s="264"/>
      <c r="B88" s="246"/>
      <c r="C88" s="124" t="s">
        <v>10</v>
      </c>
      <c r="D88" s="126" t="s">
        <v>75</v>
      </c>
      <c r="E88" s="124" t="s">
        <v>18</v>
      </c>
      <c r="F88" s="126" t="s">
        <v>122</v>
      </c>
      <c r="G88" s="176">
        <v>31.04</v>
      </c>
      <c r="H88" s="247"/>
      <c r="I88" s="248"/>
      <c r="J88" s="247"/>
      <c r="K88" s="250"/>
      <c r="L88" s="227"/>
    </row>
    <row r="89" spans="1:12" s="57" customFormat="1" ht="28.5" x14ac:dyDescent="0.45">
      <c r="A89" s="264"/>
      <c r="B89" s="246"/>
      <c r="C89" s="124" t="s">
        <v>520</v>
      </c>
      <c r="D89" s="126" t="s">
        <v>75</v>
      </c>
      <c r="E89" s="124" t="s">
        <v>12</v>
      </c>
      <c r="F89" s="126" t="s">
        <v>417</v>
      </c>
      <c r="G89" s="176">
        <v>-118.67460699999999</v>
      </c>
      <c r="H89" s="247"/>
      <c r="I89" s="248"/>
      <c r="J89" s="247"/>
      <c r="K89" s="250"/>
      <c r="L89" s="227"/>
    </row>
    <row r="90" spans="1:12" x14ac:dyDescent="0.45">
      <c r="A90" s="264"/>
      <c r="B90" s="234"/>
      <c r="C90" s="139" t="s">
        <v>520</v>
      </c>
      <c r="D90" s="126" t="s">
        <v>75</v>
      </c>
      <c r="E90" s="139" t="s">
        <v>18</v>
      </c>
      <c r="F90" s="118" t="s">
        <v>122</v>
      </c>
      <c r="G90" s="178">
        <v>118.67460699999999</v>
      </c>
      <c r="H90" s="230"/>
      <c r="I90" s="232"/>
      <c r="J90" s="230"/>
      <c r="K90" s="251"/>
      <c r="L90" s="228"/>
    </row>
    <row r="91" spans="1:12" x14ac:dyDescent="0.45">
      <c r="A91" s="120" t="s">
        <v>151</v>
      </c>
      <c r="B91" s="85">
        <v>20</v>
      </c>
      <c r="C91" s="124" t="s">
        <v>28</v>
      </c>
      <c r="D91" s="126" t="s">
        <v>71</v>
      </c>
      <c r="E91" s="124" t="s">
        <v>18</v>
      </c>
      <c r="F91" s="126" t="s">
        <v>122</v>
      </c>
      <c r="G91" s="176">
        <v>11.154370999999999</v>
      </c>
      <c r="H91" s="124" t="s">
        <v>13</v>
      </c>
      <c r="I91" s="125" t="s">
        <v>72</v>
      </c>
      <c r="J91" s="124" t="s">
        <v>21</v>
      </c>
      <c r="K91" s="138" t="s">
        <v>455</v>
      </c>
      <c r="L91" s="123">
        <v>44104</v>
      </c>
    </row>
    <row r="92" spans="1:12" ht="28.5" x14ac:dyDescent="0.45">
      <c r="A92" s="120" t="s">
        <v>184</v>
      </c>
      <c r="B92" s="96">
        <f>2080+425</f>
        <v>2505</v>
      </c>
      <c r="C92" s="124" t="s">
        <v>47</v>
      </c>
      <c r="D92" s="124" t="s">
        <v>153</v>
      </c>
      <c r="E92" s="124" t="s">
        <v>122</v>
      </c>
      <c r="F92" s="126" t="s">
        <v>413</v>
      </c>
      <c r="G92" s="176" t="s">
        <v>122</v>
      </c>
      <c r="H92" s="124" t="s">
        <v>13</v>
      </c>
      <c r="I92" s="125" t="s">
        <v>185</v>
      </c>
      <c r="J92" s="126" t="s">
        <v>252</v>
      </c>
      <c r="K92" s="127"/>
      <c r="L92" s="129"/>
    </row>
    <row r="93" spans="1:12" ht="28.5" x14ac:dyDescent="0.45">
      <c r="A93" s="264" t="s">
        <v>186</v>
      </c>
      <c r="B93" s="252">
        <v>3000</v>
      </c>
      <c r="C93" s="124" t="s">
        <v>10</v>
      </c>
      <c r="D93" s="124" t="s">
        <v>16</v>
      </c>
      <c r="E93" s="124" t="s">
        <v>12</v>
      </c>
      <c r="F93" s="126" t="s">
        <v>413</v>
      </c>
      <c r="G93" s="176">
        <v>2538.9999889999999</v>
      </c>
      <c r="H93" s="287" t="s">
        <v>13</v>
      </c>
      <c r="I93" s="255" t="s">
        <v>17</v>
      </c>
      <c r="J93" s="283" t="s">
        <v>21</v>
      </c>
      <c r="K93" s="242" t="s">
        <v>572</v>
      </c>
      <c r="L93" s="286">
        <v>44245</v>
      </c>
    </row>
    <row r="94" spans="1:12" x14ac:dyDescent="0.45">
      <c r="A94" s="264"/>
      <c r="B94" s="234"/>
      <c r="C94" s="124" t="s">
        <v>10</v>
      </c>
      <c r="D94" s="124" t="s">
        <v>16</v>
      </c>
      <c r="E94" s="124" t="s">
        <v>18</v>
      </c>
      <c r="F94" s="126" t="s">
        <v>122</v>
      </c>
      <c r="G94" s="176">
        <v>461.00001099999997</v>
      </c>
      <c r="H94" s="287"/>
      <c r="I94" s="255"/>
      <c r="J94" s="283"/>
      <c r="K94" s="242"/>
      <c r="L94" s="285"/>
    </row>
    <row r="95" spans="1:12" ht="28.5" x14ac:dyDescent="0.45">
      <c r="A95" s="264" t="s">
        <v>187</v>
      </c>
      <c r="B95" s="252">
        <f>72625+8000-4570</f>
        <v>76055</v>
      </c>
      <c r="C95" s="124" t="s">
        <v>28</v>
      </c>
      <c r="D95" s="126" t="s">
        <v>40</v>
      </c>
      <c r="E95" s="124" t="s">
        <v>12</v>
      </c>
      <c r="F95" s="126" t="s">
        <v>413</v>
      </c>
      <c r="G95" s="176">
        <v>60000</v>
      </c>
      <c r="H95" s="287" t="s">
        <v>13</v>
      </c>
      <c r="I95" s="255" t="s">
        <v>188</v>
      </c>
      <c r="J95" s="241" t="s">
        <v>189</v>
      </c>
      <c r="K95" s="242" t="s">
        <v>459</v>
      </c>
      <c r="L95" s="286">
        <v>44108</v>
      </c>
    </row>
    <row r="96" spans="1:12" s="57" customFormat="1" ht="28.5" x14ac:dyDescent="0.45">
      <c r="A96" s="264"/>
      <c r="B96" s="253"/>
      <c r="C96" s="124" t="s">
        <v>10</v>
      </c>
      <c r="D96" s="126" t="s">
        <v>40</v>
      </c>
      <c r="E96" s="124" t="s">
        <v>12</v>
      </c>
      <c r="F96" s="126" t="s">
        <v>413</v>
      </c>
      <c r="G96" s="176">
        <v>28467.769</v>
      </c>
      <c r="H96" s="287"/>
      <c r="I96" s="255"/>
      <c r="J96" s="241"/>
      <c r="K96" s="242"/>
      <c r="L96" s="286"/>
    </row>
    <row r="97" spans="1:12" s="57" customFormat="1" ht="28.5" x14ac:dyDescent="0.45">
      <c r="A97" s="264"/>
      <c r="B97" s="253"/>
      <c r="C97" s="124" t="s">
        <v>520</v>
      </c>
      <c r="D97" s="126" t="s">
        <v>40</v>
      </c>
      <c r="E97" s="124" t="s">
        <v>12</v>
      </c>
      <c r="F97" s="126" t="s">
        <v>413</v>
      </c>
      <c r="G97" s="176">
        <v>-12445</v>
      </c>
      <c r="H97" s="287"/>
      <c r="I97" s="255"/>
      <c r="J97" s="241"/>
      <c r="K97" s="242"/>
      <c r="L97" s="286"/>
    </row>
    <row r="98" spans="1:12" ht="28.5" x14ac:dyDescent="0.45">
      <c r="A98" s="264"/>
      <c r="B98" s="234"/>
      <c r="C98" s="124" t="s">
        <v>520</v>
      </c>
      <c r="D98" s="126" t="s">
        <v>40</v>
      </c>
      <c r="E98" s="124" t="s">
        <v>12</v>
      </c>
      <c r="F98" s="126" t="s">
        <v>521</v>
      </c>
      <c r="G98" s="181">
        <v>500</v>
      </c>
      <c r="H98" s="287"/>
      <c r="I98" s="255"/>
      <c r="J98" s="241"/>
      <c r="K98" s="242"/>
      <c r="L98" s="285"/>
    </row>
    <row r="99" spans="1:12" ht="28.5" x14ac:dyDescent="0.45">
      <c r="A99" s="120" t="s">
        <v>190</v>
      </c>
      <c r="B99" s="85">
        <v>473</v>
      </c>
      <c r="C99" s="124" t="s">
        <v>10</v>
      </c>
      <c r="D99" s="124" t="s">
        <v>98</v>
      </c>
      <c r="E99" s="124" t="s">
        <v>12</v>
      </c>
      <c r="F99" s="126" t="s">
        <v>413</v>
      </c>
      <c r="G99" s="176">
        <v>9.9640000000000004</v>
      </c>
      <c r="H99" s="124" t="s">
        <v>13</v>
      </c>
      <c r="I99" s="125" t="s">
        <v>99</v>
      </c>
      <c r="J99" s="126" t="s">
        <v>21</v>
      </c>
      <c r="K99" s="127" t="s">
        <v>462</v>
      </c>
      <c r="L99" s="123">
        <v>44196</v>
      </c>
    </row>
    <row r="100" spans="1:12" ht="57" x14ac:dyDescent="0.45">
      <c r="A100" s="243" t="s">
        <v>191</v>
      </c>
      <c r="B100" s="252">
        <f>5250-2240+20</f>
        <v>3030</v>
      </c>
      <c r="C100" s="124" t="s">
        <v>28</v>
      </c>
      <c r="D100" s="126" t="s">
        <v>40</v>
      </c>
      <c r="E100" s="124" t="s">
        <v>12</v>
      </c>
      <c r="F100" s="126" t="s">
        <v>415</v>
      </c>
      <c r="G100" s="176">
        <v>5250</v>
      </c>
      <c r="H100" s="229" t="s">
        <v>574</v>
      </c>
      <c r="I100" s="229" t="s">
        <v>122</v>
      </c>
      <c r="J100" s="326" t="s">
        <v>192</v>
      </c>
      <c r="K100" s="249" t="s">
        <v>193</v>
      </c>
      <c r="L100" s="226">
        <v>44124</v>
      </c>
    </row>
    <row r="101" spans="1:12" s="57" customFormat="1" ht="28.5" x14ac:dyDescent="0.45">
      <c r="A101" s="244"/>
      <c r="B101" s="253"/>
      <c r="C101" s="124" t="s">
        <v>520</v>
      </c>
      <c r="D101" s="126" t="s">
        <v>40</v>
      </c>
      <c r="E101" s="124" t="s">
        <v>18</v>
      </c>
      <c r="F101" s="126" t="s">
        <v>122</v>
      </c>
      <c r="G101" s="176">
        <v>8</v>
      </c>
      <c r="H101" s="247"/>
      <c r="I101" s="247"/>
      <c r="J101" s="327"/>
      <c r="K101" s="250"/>
      <c r="L101" s="227"/>
    </row>
    <row r="102" spans="1:12" s="57" customFormat="1" ht="57" x14ac:dyDescent="0.45">
      <c r="A102" s="245"/>
      <c r="B102" s="254"/>
      <c r="C102" s="124" t="s">
        <v>520</v>
      </c>
      <c r="D102" s="126" t="s">
        <v>40</v>
      </c>
      <c r="E102" s="124" t="s">
        <v>12</v>
      </c>
      <c r="F102" s="126" t="s">
        <v>415</v>
      </c>
      <c r="G102" s="176">
        <v>-2227.805848</v>
      </c>
      <c r="H102" s="230"/>
      <c r="I102" s="230"/>
      <c r="J102" s="328"/>
      <c r="K102" s="251"/>
      <c r="L102" s="228"/>
    </row>
    <row r="103" spans="1:12" ht="57" x14ac:dyDescent="0.45">
      <c r="A103" s="243" t="s">
        <v>194</v>
      </c>
      <c r="B103" s="252">
        <f>2974-811</f>
        <v>2163</v>
      </c>
      <c r="C103" s="124" t="s">
        <v>28</v>
      </c>
      <c r="D103" s="126" t="s">
        <v>196</v>
      </c>
      <c r="E103" s="124" t="s">
        <v>12</v>
      </c>
      <c r="F103" s="126" t="s">
        <v>415</v>
      </c>
      <c r="G103" s="176">
        <v>2972.9</v>
      </c>
      <c r="H103" s="229" t="s">
        <v>13</v>
      </c>
      <c r="I103" s="231" t="s">
        <v>197</v>
      </c>
      <c r="J103" s="329" t="s">
        <v>21</v>
      </c>
      <c r="K103" s="341" t="s">
        <v>514</v>
      </c>
      <c r="L103" s="344">
        <v>44224</v>
      </c>
    </row>
    <row r="104" spans="1:12" ht="57" x14ac:dyDescent="0.45">
      <c r="A104" s="244"/>
      <c r="B104" s="253"/>
      <c r="C104" s="124" t="s">
        <v>10</v>
      </c>
      <c r="D104" s="126" t="s">
        <v>196</v>
      </c>
      <c r="E104" s="124" t="s">
        <v>12</v>
      </c>
      <c r="F104" s="126" t="s">
        <v>415</v>
      </c>
      <c r="G104" s="176">
        <v>-5</v>
      </c>
      <c r="H104" s="247"/>
      <c r="I104" s="248"/>
      <c r="J104" s="330"/>
      <c r="K104" s="342"/>
      <c r="L104" s="345"/>
    </row>
    <row r="105" spans="1:12" x14ac:dyDescent="0.45">
      <c r="A105" s="244"/>
      <c r="B105" s="253"/>
      <c r="C105" s="124" t="s">
        <v>10</v>
      </c>
      <c r="D105" s="126" t="s">
        <v>196</v>
      </c>
      <c r="E105" s="124" t="s">
        <v>18</v>
      </c>
      <c r="F105" s="126" t="s">
        <v>122</v>
      </c>
      <c r="G105" s="176">
        <v>5</v>
      </c>
      <c r="H105" s="247"/>
      <c r="I105" s="248"/>
      <c r="J105" s="330"/>
      <c r="K105" s="342"/>
      <c r="L105" s="345"/>
    </row>
    <row r="106" spans="1:12" s="57" customFormat="1" ht="57" x14ac:dyDescent="0.45">
      <c r="A106" s="244"/>
      <c r="B106" s="253"/>
      <c r="C106" s="124" t="s">
        <v>520</v>
      </c>
      <c r="D106" s="126" t="s">
        <v>196</v>
      </c>
      <c r="E106" s="124" t="s">
        <v>12</v>
      </c>
      <c r="F106" s="126" t="s">
        <v>415</v>
      </c>
      <c r="G106" s="176">
        <v>-825.35683400000005</v>
      </c>
      <c r="H106" s="247"/>
      <c r="I106" s="248"/>
      <c r="J106" s="330"/>
      <c r="K106" s="342"/>
      <c r="L106" s="345"/>
    </row>
    <row r="107" spans="1:12" s="57" customFormat="1" x14ac:dyDescent="0.45">
      <c r="A107" s="245"/>
      <c r="B107" s="254"/>
      <c r="C107" s="124" t="s">
        <v>520</v>
      </c>
      <c r="D107" s="126" t="s">
        <v>196</v>
      </c>
      <c r="E107" s="124" t="s">
        <v>18</v>
      </c>
      <c r="F107" s="126" t="s">
        <v>122</v>
      </c>
      <c r="G107" s="176">
        <v>13.456834000000001</v>
      </c>
      <c r="H107" s="230"/>
      <c r="I107" s="232"/>
      <c r="J107" s="331"/>
      <c r="K107" s="343"/>
      <c r="L107" s="346"/>
    </row>
    <row r="108" spans="1:12" x14ac:dyDescent="0.45">
      <c r="A108" s="179" t="s">
        <v>195</v>
      </c>
      <c r="B108" s="108">
        <f>-569+62</f>
        <v>-507</v>
      </c>
      <c r="C108" s="124"/>
      <c r="D108" s="124"/>
      <c r="E108" s="124"/>
      <c r="F108" s="126"/>
      <c r="G108" s="182"/>
      <c r="H108" s="124"/>
      <c r="I108" s="124"/>
      <c r="J108" s="124"/>
      <c r="K108" s="127"/>
      <c r="L108" s="129"/>
    </row>
    <row r="109" spans="1:12" ht="71.25" x14ac:dyDescent="0.45">
      <c r="A109" s="120" t="s">
        <v>198</v>
      </c>
      <c r="B109" s="85">
        <v>133</v>
      </c>
      <c r="C109" s="124" t="s">
        <v>520</v>
      </c>
      <c r="D109" s="124" t="s">
        <v>42</v>
      </c>
      <c r="E109" s="124" t="s">
        <v>18</v>
      </c>
      <c r="F109" s="126" t="s">
        <v>122</v>
      </c>
      <c r="G109" s="176">
        <v>58</v>
      </c>
      <c r="H109" s="124" t="s">
        <v>13</v>
      </c>
      <c r="I109" s="125" t="s">
        <v>43</v>
      </c>
      <c r="J109" s="124" t="s">
        <v>21</v>
      </c>
      <c r="K109" s="138" t="s">
        <v>199</v>
      </c>
      <c r="L109" s="128">
        <v>43983</v>
      </c>
    </row>
    <row r="110" spans="1:12" ht="28.5" x14ac:dyDescent="0.45">
      <c r="A110" s="120" t="s">
        <v>200</v>
      </c>
      <c r="B110" s="85">
        <v>17</v>
      </c>
      <c r="C110" s="124" t="s">
        <v>47</v>
      </c>
      <c r="D110" s="126" t="s">
        <v>29</v>
      </c>
      <c r="E110" s="124" t="s">
        <v>122</v>
      </c>
      <c r="F110" s="126" t="s">
        <v>122</v>
      </c>
      <c r="G110" s="176" t="s">
        <v>122</v>
      </c>
      <c r="H110" s="124" t="s">
        <v>13</v>
      </c>
      <c r="I110" s="125" t="s">
        <v>201</v>
      </c>
      <c r="J110" s="124" t="s">
        <v>21</v>
      </c>
      <c r="K110" s="138" t="s">
        <v>202</v>
      </c>
      <c r="L110" s="128">
        <v>44136</v>
      </c>
    </row>
    <row r="111" spans="1:12" ht="28.5" x14ac:dyDescent="0.45">
      <c r="A111" s="264" t="s">
        <v>203</v>
      </c>
      <c r="B111" s="233">
        <v>307</v>
      </c>
      <c r="C111" s="124" t="s">
        <v>10</v>
      </c>
      <c r="D111" s="124" t="s">
        <v>42</v>
      </c>
      <c r="E111" s="124" t="s">
        <v>12</v>
      </c>
      <c r="F111" s="126" t="s">
        <v>413</v>
      </c>
      <c r="G111" s="176">
        <v>75</v>
      </c>
      <c r="H111" s="287" t="s">
        <v>13</v>
      </c>
      <c r="I111" s="255" t="s">
        <v>43</v>
      </c>
      <c r="J111" s="287" t="s">
        <v>21</v>
      </c>
      <c r="K111" s="242" t="s">
        <v>204</v>
      </c>
      <c r="L111" s="262">
        <v>43983</v>
      </c>
    </row>
    <row r="112" spans="1:12" s="57" customFormat="1" x14ac:dyDescent="0.45">
      <c r="A112" s="264"/>
      <c r="B112" s="246"/>
      <c r="C112" s="124" t="s">
        <v>10</v>
      </c>
      <c r="D112" s="124" t="s">
        <v>42</v>
      </c>
      <c r="E112" s="124" t="s">
        <v>18</v>
      </c>
      <c r="F112" s="126" t="s">
        <v>122</v>
      </c>
      <c r="G112" s="176">
        <v>298.3</v>
      </c>
      <c r="H112" s="287"/>
      <c r="I112" s="255"/>
      <c r="J112" s="287"/>
      <c r="K112" s="242"/>
      <c r="L112" s="262"/>
    </row>
    <row r="113" spans="1:12" s="57" customFormat="1" ht="28.5" x14ac:dyDescent="0.45">
      <c r="A113" s="264"/>
      <c r="B113" s="246"/>
      <c r="C113" s="124" t="s">
        <v>520</v>
      </c>
      <c r="D113" s="124" t="s">
        <v>42</v>
      </c>
      <c r="E113" s="124" t="s">
        <v>12</v>
      </c>
      <c r="F113" s="126" t="s">
        <v>413</v>
      </c>
      <c r="G113" s="176">
        <v>-1.8091630000000001</v>
      </c>
      <c r="H113" s="287"/>
      <c r="I113" s="255"/>
      <c r="J113" s="287"/>
      <c r="K113" s="242"/>
      <c r="L113" s="262"/>
    </row>
    <row r="114" spans="1:12" x14ac:dyDescent="0.45">
      <c r="A114" s="264"/>
      <c r="B114" s="234"/>
      <c r="C114" s="139" t="s">
        <v>520</v>
      </c>
      <c r="D114" s="124" t="s">
        <v>42</v>
      </c>
      <c r="E114" s="139" t="s">
        <v>18</v>
      </c>
      <c r="F114" s="118" t="s">
        <v>122</v>
      </c>
      <c r="G114" s="178">
        <v>1.8091630000000001</v>
      </c>
      <c r="H114" s="287"/>
      <c r="I114" s="255"/>
      <c r="J114" s="287"/>
      <c r="K114" s="242"/>
      <c r="L114" s="285"/>
    </row>
    <row r="115" spans="1:12" x14ac:dyDescent="0.45">
      <c r="A115" s="120" t="s">
        <v>206</v>
      </c>
      <c r="B115" s="85">
        <v>46</v>
      </c>
      <c r="C115" s="124" t="s">
        <v>520</v>
      </c>
      <c r="D115" s="124" t="s">
        <v>71</v>
      </c>
      <c r="E115" s="124" t="s">
        <v>18</v>
      </c>
      <c r="F115" s="126" t="s">
        <v>122</v>
      </c>
      <c r="G115" s="176">
        <f>0.66123+21</f>
        <v>21.66123</v>
      </c>
      <c r="H115" s="124" t="s">
        <v>13</v>
      </c>
      <c r="I115" s="125" t="s">
        <v>177</v>
      </c>
      <c r="J115" s="124" t="s">
        <v>15</v>
      </c>
      <c r="K115" s="138"/>
      <c r="L115" s="129"/>
    </row>
    <row r="116" spans="1:12" x14ac:dyDescent="0.45">
      <c r="A116" s="264" t="s">
        <v>207</v>
      </c>
      <c r="B116" s="233">
        <v>16</v>
      </c>
      <c r="C116" s="124" t="s">
        <v>10</v>
      </c>
      <c r="D116" s="124" t="s">
        <v>168</v>
      </c>
      <c r="E116" s="124" t="s">
        <v>18</v>
      </c>
      <c r="F116" s="126" t="s">
        <v>122</v>
      </c>
      <c r="G116" s="176">
        <v>1.1479999999999999</v>
      </c>
      <c r="H116" s="287" t="s">
        <v>13</v>
      </c>
      <c r="I116" s="255" t="s">
        <v>177</v>
      </c>
      <c r="J116" s="283" t="s">
        <v>453</v>
      </c>
      <c r="K116" s="284"/>
      <c r="L116" s="285"/>
    </row>
    <row r="117" spans="1:12" x14ac:dyDescent="0.45">
      <c r="A117" s="264"/>
      <c r="B117" s="246"/>
      <c r="C117" s="124" t="s">
        <v>10</v>
      </c>
      <c r="D117" s="126" t="s">
        <v>169</v>
      </c>
      <c r="E117" s="124" t="s">
        <v>18</v>
      </c>
      <c r="F117" s="126" t="s">
        <v>122</v>
      </c>
      <c r="G117" s="213">
        <f>0.008+0.143</f>
        <v>0.151</v>
      </c>
      <c r="H117" s="287"/>
      <c r="I117" s="255"/>
      <c r="J117" s="283"/>
      <c r="K117" s="284"/>
      <c r="L117" s="285"/>
    </row>
    <row r="118" spans="1:12" x14ac:dyDescent="0.45">
      <c r="A118" s="264"/>
      <c r="B118" s="246"/>
      <c r="C118" s="124" t="s">
        <v>10</v>
      </c>
      <c r="D118" s="126" t="s">
        <v>71</v>
      </c>
      <c r="E118" s="124" t="s">
        <v>18</v>
      </c>
      <c r="F118" s="126" t="s">
        <v>122</v>
      </c>
      <c r="G118" s="176">
        <v>0.86299999999999999</v>
      </c>
      <c r="H118" s="287"/>
      <c r="I118" s="255"/>
      <c r="J118" s="283"/>
      <c r="K118" s="284"/>
      <c r="L118" s="285"/>
    </row>
    <row r="119" spans="1:12" x14ac:dyDescent="0.45">
      <c r="A119" s="264"/>
      <c r="B119" s="246"/>
      <c r="C119" s="124" t="s">
        <v>10</v>
      </c>
      <c r="D119" s="126" t="s">
        <v>73</v>
      </c>
      <c r="E119" s="124" t="s">
        <v>18</v>
      </c>
      <c r="F119" s="126" t="s">
        <v>122</v>
      </c>
      <c r="G119" s="176">
        <f>0.191667+5</f>
        <v>5.1916669999999998</v>
      </c>
      <c r="H119" s="287"/>
      <c r="I119" s="255"/>
      <c r="J119" s="283"/>
      <c r="K119" s="284"/>
      <c r="L119" s="285"/>
    </row>
    <row r="120" spans="1:12" ht="28.5" x14ac:dyDescent="0.45">
      <c r="A120" s="264"/>
      <c r="B120" s="246"/>
      <c r="C120" s="124" t="s">
        <v>10</v>
      </c>
      <c r="D120" s="126" t="s">
        <v>173</v>
      </c>
      <c r="E120" s="124" t="s">
        <v>18</v>
      </c>
      <c r="F120" s="126" t="s">
        <v>122</v>
      </c>
      <c r="G120" s="176">
        <v>3.1459999999999999</v>
      </c>
      <c r="H120" s="287"/>
      <c r="I120" s="255"/>
      <c r="J120" s="283"/>
      <c r="K120" s="284"/>
      <c r="L120" s="285"/>
    </row>
    <row r="121" spans="1:12" ht="28.5" x14ac:dyDescent="0.45">
      <c r="A121" s="264"/>
      <c r="B121" s="234"/>
      <c r="C121" s="124" t="s">
        <v>10</v>
      </c>
      <c r="D121" s="126" t="s">
        <v>175</v>
      </c>
      <c r="E121" s="124" t="s">
        <v>18</v>
      </c>
      <c r="F121" s="126" t="s">
        <v>122</v>
      </c>
      <c r="G121" s="176">
        <v>4.7</v>
      </c>
      <c r="H121" s="287"/>
      <c r="I121" s="255"/>
      <c r="J121" s="283"/>
      <c r="K121" s="284"/>
      <c r="L121" s="285"/>
    </row>
    <row r="122" spans="1:12" ht="57" x14ac:dyDescent="0.45">
      <c r="A122" s="243" t="s">
        <v>208</v>
      </c>
      <c r="B122" s="233">
        <v>17</v>
      </c>
      <c r="C122" s="124" t="s">
        <v>10</v>
      </c>
      <c r="D122" s="126" t="s">
        <v>196</v>
      </c>
      <c r="E122" s="124" t="s">
        <v>12</v>
      </c>
      <c r="F122" s="126" t="s">
        <v>415</v>
      </c>
      <c r="G122" s="176">
        <v>11.105299</v>
      </c>
      <c r="H122" s="229" t="s">
        <v>13</v>
      </c>
      <c r="I122" s="231" t="s">
        <v>209</v>
      </c>
      <c r="J122" s="233" t="s">
        <v>21</v>
      </c>
      <c r="K122" s="249" t="s">
        <v>546</v>
      </c>
      <c r="L122" s="226">
        <v>44239</v>
      </c>
    </row>
    <row r="123" spans="1:12" x14ac:dyDescent="0.45">
      <c r="A123" s="244"/>
      <c r="B123" s="246"/>
      <c r="C123" s="124" t="s">
        <v>10</v>
      </c>
      <c r="D123" s="126" t="s">
        <v>196</v>
      </c>
      <c r="E123" s="124" t="s">
        <v>18</v>
      </c>
      <c r="F123" s="126" t="s">
        <v>122</v>
      </c>
      <c r="G123" s="176">
        <v>5.5947009999999997</v>
      </c>
      <c r="H123" s="247"/>
      <c r="I123" s="248"/>
      <c r="J123" s="246"/>
      <c r="K123" s="250"/>
      <c r="L123" s="227"/>
    </row>
    <row r="124" spans="1:12" s="57" customFormat="1" ht="57" x14ac:dyDescent="0.45">
      <c r="A124" s="244"/>
      <c r="B124" s="246"/>
      <c r="C124" s="124" t="s">
        <v>520</v>
      </c>
      <c r="D124" s="126" t="s">
        <v>196</v>
      </c>
      <c r="E124" s="124" t="s">
        <v>12</v>
      </c>
      <c r="F124" s="126" t="s">
        <v>415</v>
      </c>
      <c r="G124" s="176">
        <v>-0.79312800000000006</v>
      </c>
      <c r="H124" s="247"/>
      <c r="I124" s="248"/>
      <c r="J124" s="246"/>
      <c r="K124" s="250"/>
      <c r="L124" s="227"/>
    </row>
    <row r="125" spans="1:12" s="57" customFormat="1" x14ac:dyDescent="0.45">
      <c r="A125" s="245"/>
      <c r="B125" s="234"/>
      <c r="C125" s="124" t="s">
        <v>520</v>
      </c>
      <c r="D125" s="126" t="s">
        <v>196</v>
      </c>
      <c r="E125" s="124" t="s">
        <v>18</v>
      </c>
      <c r="F125" s="126" t="s">
        <v>122</v>
      </c>
      <c r="G125" s="176">
        <v>0.79312800000000006</v>
      </c>
      <c r="H125" s="230"/>
      <c r="I125" s="232"/>
      <c r="J125" s="234"/>
      <c r="K125" s="251"/>
      <c r="L125" s="228"/>
    </row>
    <row r="126" spans="1:12" ht="28.5" x14ac:dyDescent="0.45">
      <c r="A126" s="120" t="s">
        <v>210</v>
      </c>
      <c r="B126" s="85">
        <v>10</v>
      </c>
      <c r="C126" s="124" t="s">
        <v>28</v>
      </c>
      <c r="D126" s="126" t="s">
        <v>16</v>
      </c>
      <c r="E126" s="124" t="s">
        <v>12</v>
      </c>
      <c r="F126" s="126" t="s">
        <v>413</v>
      </c>
      <c r="G126" s="176">
        <v>10</v>
      </c>
      <c r="H126" s="124" t="s">
        <v>13</v>
      </c>
      <c r="I126" s="125" t="s">
        <v>211</v>
      </c>
      <c r="J126" s="126" t="s">
        <v>21</v>
      </c>
      <c r="K126" s="127" t="s">
        <v>412</v>
      </c>
      <c r="L126" s="123">
        <v>44154</v>
      </c>
    </row>
    <row r="127" spans="1:12" ht="15" customHeight="1" x14ac:dyDescent="0.45">
      <c r="A127" s="243" t="s">
        <v>212</v>
      </c>
      <c r="B127" s="233">
        <v>50</v>
      </c>
      <c r="C127" s="124" t="s">
        <v>28</v>
      </c>
      <c r="D127" s="126" t="s">
        <v>213</v>
      </c>
      <c r="E127" s="124" t="s">
        <v>18</v>
      </c>
      <c r="F127" s="126" t="s">
        <v>122</v>
      </c>
      <c r="G127" s="176">
        <v>48.710504</v>
      </c>
      <c r="H127" s="229" t="s">
        <v>13</v>
      </c>
      <c r="I127" s="231" t="s">
        <v>214</v>
      </c>
      <c r="J127" s="233" t="s">
        <v>215</v>
      </c>
      <c r="K127" s="235"/>
      <c r="L127" s="257"/>
    </row>
    <row r="128" spans="1:12" x14ac:dyDescent="0.45">
      <c r="A128" s="244"/>
      <c r="B128" s="246"/>
      <c r="C128" s="124" t="s">
        <v>10</v>
      </c>
      <c r="D128" s="126" t="s">
        <v>213</v>
      </c>
      <c r="E128" s="124" t="s">
        <v>18</v>
      </c>
      <c r="F128" s="126" t="s">
        <v>122</v>
      </c>
      <c r="G128" s="176">
        <f>-12+-10+-10+-0.9</f>
        <v>-32.9</v>
      </c>
      <c r="H128" s="247"/>
      <c r="I128" s="248"/>
      <c r="J128" s="246"/>
      <c r="K128" s="256"/>
      <c r="L128" s="258"/>
    </row>
    <row r="129" spans="1:12" s="57" customFormat="1" x14ac:dyDescent="0.45">
      <c r="A129" s="244"/>
      <c r="B129" s="246"/>
      <c r="C129" s="124" t="s">
        <v>520</v>
      </c>
      <c r="D129" s="126" t="s">
        <v>213</v>
      </c>
      <c r="E129" s="124" t="s">
        <v>18</v>
      </c>
      <c r="F129" s="126" t="s">
        <v>122</v>
      </c>
      <c r="G129" s="176">
        <f>-7.4+-3+-0.3</f>
        <v>-10.700000000000001</v>
      </c>
      <c r="H129" s="230"/>
      <c r="I129" s="232"/>
      <c r="J129" s="234"/>
      <c r="K129" s="236"/>
      <c r="L129" s="259"/>
    </row>
    <row r="130" spans="1:12" ht="28.5" x14ac:dyDescent="0.45">
      <c r="A130" s="244"/>
      <c r="B130" s="246"/>
      <c r="C130" s="124" t="s">
        <v>10</v>
      </c>
      <c r="D130" s="126" t="s">
        <v>40</v>
      </c>
      <c r="E130" s="124" t="s">
        <v>18</v>
      </c>
      <c r="F130" s="126" t="s">
        <v>122</v>
      </c>
      <c r="G130" s="176">
        <v>0.9</v>
      </c>
      <c r="H130" s="124" t="s">
        <v>13</v>
      </c>
      <c r="I130" s="125" t="s">
        <v>41</v>
      </c>
      <c r="J130" s="126" t="s">
        <v>21</v>
      </c>
      <c r="K130" s="127" t="s">
        <v>438</v>
      </c>
      <c r="L130" s="123">
        <v>44152</v>
      </c>
    </row>
    <row r="131" spans="1:12" x14ac:dyDescent="0.45">
      <c r="A131" s="244"/>
      <c r="B131" s="246"/>
      <c r="C131" s="124" t="s">
        <v>10</v>
      </c>
      <c r="D131" s="126" t="s">
        <v>16</v>
      </c>
      <c r="E131" s="124" t="s">
        <v>18</v>
      </c>
      <c r="F131" s="126" t="s">
        <v>122</v>
      </c>
      <c r="G131" s="176">
        <v>12</v>
      </c>
      <c r="H131" s="124" t="s">
        <v>13</v>
      </c>
      <c r="I131" s="125" t="s">
        <v>17</v>
      </c>
      <c r="J131" s="126" t="s">
        <v>21</v>
      </c>
      <c r="K131" s="127" t="s">
        <v>543</v>
      </c>
      <c r="L131" s="123">
        <v>44208</v>
      </c>
    </row>
    <row r="132" spans="1:12" x14ac:dyDescent="0.45">
      <c r="A132" s="244"/>
      <c r="B132" s="246"/>
      <c r="C132" s="124" t="s">
        <v>10</v>
      </c>
      <c r="D132" s="126" t="s">
        <v>22</v>
      </c>
      <c r="E132" s="124" t="s">
        <v>18</v>
      </c>
      <c r="F132" s="126" t="s">
        <v>122</v>
      </c>
      <c r="G132" s="176">
        <v>10</v>
      </c>
      <c r="H132" s="229" t="s">
        <v>13</v>
      </c>
      <c r="I132" s="231" t="s">
        <v>23</v>
      </c>
      <c r="J132" s="233" t="s">
        <v>21</v>
      </c>
      <c r="K132" s="235" t="s">
        <v>401</v>
      </c>
      <c r="L132" s="226">
        <v>44160</v>
      </c>
    </row>
    <row r="133" spans="1:12" s="57" customFormat="1" x14ac:dyDescent="0.45">
      <c r="A133" s="244"/>
      <c r="B133" s="246"/>
      <c r="C133" s="124" t="s">
        <v>520</v>
      </c>
      <c r="D133" s="126" t="s">
        <v>22</v>
      </c>
      <c r="E133" s="124" t="s">
        <v>18</v>
      </c>
      <c r="F133" s="126" t="s">
        <v>122</v>
      </c>
      <c r="G133" s="176">
        <v>7.4</v>
      </c>
      <c r="H133" s="230"/>
      <c r="I133" s="232"/>
      <c r="J133" s="234"/>
      <c r="K133" s="236"/>
      <c r="L133" s="228"/>
    </row>
    <row r="134" spans="1:12" s="57" customFormat="1" x14ac:dyDescent="0.45">
      <c r="A134" s="244"/>
      <c r="B134" s="246"/>
      <c r="C134" s="124" t="s">
        <v>10</v>
      </c>
      <c r="D134" s="126" t="s">
        <v>19</v>
      </c>
      <c r="E134" s="124" t="s">
        <v>18</v>
      </c>
      <c r="F134" s="126" t="s">
        <v>122</v>
      </c>
      <c r="G134" s="176">
        <v>10</v>
      </c>
      <c r="H134" s="287" t="s">
        <v>13</v>
      </c>
      <c r="I134" s="255" t="s">
        <v>20</v>
      </c>
      <c r="J134" s="283" t="s">
        <v>21</v>
      </c>
      <c r="K134" s="284" t="s">
        <v>44</v>
      </c>
      <c r="L134" s="286">
        <v>44227</v>
      </c>
    </row>
    <row r="135" spans="1:12" x14ac:dyDescent="0.45">
      <c r="A135" s="244"/>
      <c r="B135" s="246"/>
      <c r="C135" s="124" t="s">
        <v>520</v>
      </c>
      <c r="D135" s="126" t="s">
        <v>19</v>
      </c>
      <c r="E135" s="124" t="s">
        <v>18</v>
      </c>
      <c r="F135" s="126" t="s">
        <v>122</v>
      </c>
      <c r="G135" s="176">
        <v>3</v>
      </c>
      <c r="H135" s="287"/>
      <c r="I135" s="255"/>
      <c r="J135" s="283"/>
      <c r="K135" s="284"/>
      <c r="L135" s="286"/>
    </row>
    <row r="136" spans="1:12" s="57" customFormat="1" x14ac:dyDescent="0.45">
      <c r="A136" s="245"/>
      <c r="B136" s="234"/>
      <c r="C136" s="124" t="s">
        <v>520</v>
      </c>
      <c r="D136" s="126" t="s">
        <v>37</v>
      </c>
      <c r="E136" s="124" t="s">
        <v>18</v>
      </c>
      <c r="F136" s="126" t="s">
        <v>122</v>
      </c>
      <c r="G136" s="213">
        <v>0.3</v>
      </c>
      <c r="H136" s="124" t="s">
        <v>13</v>
      </c>
      <c r="I136" s="125" t="s">
        <v>43</v>
      </c>
      <c r="J136" s="126" t="s">
        <v>15</v>
      </c>
      <c r="K136" s="127"/>
      <c r="L136" s="123"/>
    </row>
    <row r="137" spans="1:12" x14ac:dyDescent="0.45">
      <c r="A137" s="120" t="s">
        <v>216</v>
      </c>
      <c r="B137" s="85">
        <v>6</v>
      </c>
      <c r="C137" s="124" t="s">
        <v>47</v>
      </c>
      <c r="D137" s="124"/>
      <c r="E137" s="124"/>
      <c r="F137" s="126"/>
      <c r="G137" s="176" t="s">
        <v>122</v>
      </c>
      <c r="H137" s="124" t="s">
        <v>90</v>
      </c>
      <c r="I137" s="124"/>
      <c r="J137" s="124"/>
      <c r="K137" s="127"/>
      <c r="L137" s="129"/>
    </row>
    <row r="138" spans="1:12" x14ac:dyDescent="0.45">
      <c r="A138" s="120" t="s">
        <v>217</v>
      </c>
      <c r="B138" s="85">
        <v>20</v>
      </c>
      <c r="C138" s="124" t="s">
        <v>28</v>
      </c>
      <c r="D138" s="126" t="s">
        <v>218</v>
      </c>
      <c r="E138" s="124" t="s">
        <v>18</v>
      </c>
      <c r="F138" s="126" t="s">
        <v>122</v>
      </c>
      <c r="G138" s="176">
        <v>16.147818999999998</v>
      </c>
      <c r="H138" s="124" t="s">
        <v>13</v>
      </c>
      <c r="I138" s="125" t="s">
        <v>219</v>
      </c>
      <c r="J138" s="126" t="s">
        <v>21</v>
      </c>
      <c r="K138" s="127" t="s">
        <v>508</v>
      </c>
      <c r="L138" s="123">
        <v>44196</v>
      </c>
    </row>
    <row r="139" spans="1:12" ht="57" x14ac:dyDescent="0.45">
      <c r="A139" s="264" t="s">
        <v>220</v>
      </c>
      <c r="B139" s="233">
        <v>500</v>
      </c>
      <c r="C139" s="124" t="s">
        <v>28</v>
      </c>
      <c r="D139" s="126" t="s">
        <v>221</v>
      </c>
      <c r="E139" s="124" t="s">
        <v>12</v>
      </c>
      <c r="F139" s="126" t="s">
        <v>415</v>
      </c>
      <c r="G139" s="176">
        <v>55</v>
      </c>
      <c r="H139" s="287" t="s">
        <v>13</v>
      </c>
      <c r="I139" s="255" t="s">
        <v>222</v>
      </c>
      <c r="J139" s="283" t="s">
        <v>21</v>
      </c>
      <c r="K139" s="242" t="s">
        <v>452</v>
      </c>
      <c r="L139" s="286">
        <v>44196</v>
      </c>
    </row>
    <row r="140" spans="1:12" ht="57" x14ac:dyDescent="0.45">
      <c r="A140" s="264"/>
      <c r="B140" s="246"/>
      <c r="C140" s="124" t="s">
        <v>10</v>
      </c>
      <c r="D140" s="126" t="s">
        <v>221</v>
      </c>
      <c r="E140" s="124" t="s">
        <v>12</v>
      </c>
      <c r="F140" s="126" t="s">
        <v>415</v>
      </c>
      <c r="G140" s="176">
        <v>7.8</v>
      </c>
      <c r="H140" s="287"/>
      <c r="I140" s="255"/>
      <c r="J140" s="283"/>
      <c r="K140" s="242"/>
      <c r="L140" s="285"/>
    </row>
    <row r="141" spans="1:12" ht="57" x14ac:dyDescent="0.45">
      <c r="A141" s="264"/>
      <c r="B141" s="246"/>
      <c r="C141" s="124" t="s">
        <v>28</v>
      </c>
      <c r="D141" s="126" t="s">
        <v>223</v>
      </c>
      <c r="E141" s="124" t="s">
        <v>12</v>
      </c>
      <c r="F141" s="126" t="s">
        <v>415</v>
      </c>
      <c r="G141" s="176">
        <v>418</v>
      </c>
      <c r="H141" s="287"/>
      <c r="I141" s="255"/>
      <c r="J141" s="283"/>
      <c r="K141" s="242"/>
      <c r="L141" s="285"/>
    </row>
    <row r="142" spans="1:12" ht="57" x14ac:dyDescent="0.45">
      <c r="A142" s="264"/>
      <c r="B142" s="246"/>
      <c r="C142" s="124" t="s">
        <v>10</v>
      </c>
      <c r="D142" s="126" t="s">
        <v>223</v>
      </c>
      <c r="E142" s="124" t="s">
        <v>12</v>
      </c>
      <c r="F142" s="126" t="s">
        <v>415</v>
      </c>
      <c r="G142" s="176">
        <v>-10.555</v>
      </c>
      <c r="H142" s="287"/>
      <c r="I142" s="255"/>
      <c r="J142" s="283"/>
      <c r="K142" s="242"/>
      <c r="L142" s="285"/>
    </row>
    <row r="143" spans="1:12" s="57" customFormat="1" ht="57" x14ac:dyDescent="0.45">
      <c r="A143" s="264"/>
      <c r="B143" s="246"/>
      <c r="C143" s="124" t="s">
        <v>520</v>
      </c>
      <c r="D143" s="126" t="s">
        <v>223</v>
      </c>
      <c r="E143" s="124" t="s">
        <v>12</v>
      </c>
      <c r="F143" s="126" t="s">
        <v>415</v>
      </c>
      <c r="G143" s="213">
        <v>-0.34</v>
      </c>
      <c r="H143" s="287"/>
      <c r="I143" s="255"/>
      <c r="J143" s="283"/>
      <c r="K143" s="242"/>
      <c r="L143" s="285"/>
    </row>
    <row r="144" spans="1:12" s="57" customFormat="1" x14ac:dyDescent="0.45">
      <c r="A144" s="264"/>
      <c r="B144" s="246"/>
      <c r="C144" s="124" t="s">
        <v>520</v>
      </c>
      <c r="D144" s="126" t="s">
        <v>223</v>
      </c>
      <c r="E144" s="124" t="s">
        <v>18</v>
      </c>
      <c r="F144" s="126" t="s">
        <v>122</v>
      </c>
      <c r="G144" s="213">
        <v>0.34</v>
      </c>
      <c r="H144" s="287"/>
      <c r="I144" s="255"/>
      <c r="J144" s="283"/>
      <c r="K144" s="242"/>
      <c r="L144" s="285"/>
    </row>
    <row r="145" spans="1:12" ht="57" x14ac:dyDescent="0.45">
      <c r="A145" s="264"/>
      <c r="B145" s="246"/>
      <c r="C145" s="124" t="s">
        <v>28</v>
      </c>
      <c r="D145" s="126" t="s">
        <v>141</v>
      </c>
      <c r="E145" s="124" t="s">
        <v>12</v>
      </c>
      <c r="F145" s="126" t="s">
        <v>415</v>
      </c>
      <c r="G145" s="176">
        <v>27</v>
      </c>
      <c r="H145" s="287"/>
      <c r="I145" s="255"/>
      <c r="J145" s="283"/>
      <c r="K145" s="242"/>
      <c r="L145" s="285"/>
    </row>
    <row r="146" spans="1:12" ht="57" x14ac:dyDescent="0.45">
      <c r="A146" s="264"/>
      <c r="B146" s="234"/>
      <c r="C146" s="124" t="s">
        <v>10</v>
      </c>
      <c r="D146" s="126" t="s">
        <v>141</v>
      </c>
      <c r="E146" s="124" t="s">
        <v>12</v>
      </c>
      <c r="F146" s="126" t="s">
        <v>415</v>
      </c>
      <c r="G146" s="176">
        <v>2.7549999999999999</v>
      </c>
      <c r="H146" s="287"/>
      <c r="I146" s="255"/>
      <c r="J146" s="283"/>
      <c r="K146" s="242"/>
      <c r="L146" s="285"/>
    </row>
    <row r="147" spans="1:12" ht="57" x14ac:dyDescent="0.45">
      <c r="A147" s="264" t="s">
        <v>224</v>
      </c>
      <c r="B147" s="233">
        <v>26</v>
      </c>
      <c r="C147" s="124" t="s">
        <v>10</v>
      </c>
      <c r="D147" s="126" t="s">
        <v>225</v>
      </c>
      <c r="E147" s="124" t="s">
        <v>12</v>
      </c>
      <c r="F147" s="126" t="s">
        <v>413</v>
      </c>
      <c r="G147" s="176">
        <v>2.2065860000000002</v>
      </c>
      <c r="H147" s="223" t="s">
        <v>575</v>
      </c>
      <c r="I147" s="124" t="s">
        <v>122</v>
      </c>
      <c r="J147" s="224" t="s">
        <v>122</v>
      </c>
      <c r="K147" s="127" t="s">
        <v>226</v>
      </c>
      <c r="L147" s="262">
        <v>44044</v>
      </c>
    </row>
    <row r="148" spans="1:12" ht="57" x14ac:dyDescent="0.45">
      <c r="A148" s="264"/>
      <c r="B148" s="246"/>
      <c r="C148" s="124" t="s">
        <v>10</v>
      </c>
      <c r="D148" s="126" t="s">
        <v>227</v>
      </c>
      <c r="E148" s="124" t="s">
        <v>12</v>
      </c>
      <c r="F148" s="126" t="s">
        <v>413</v>
      </c>
      <c r="G148" s="176">
        <v>4.2565629999999999</v>
      </c>
      <c r="H148" s="223" t="s">
        <v>575</v>
      </c>
      <c r="I148" s="224" t="s">
        <v>122</v>
      </c>
      <c r="J148" s="224" t="s">
        <v>122</v>
      </c>
      <c r="K148" s="127" t="s">
        <v>228</v>
      </c>
      <c r="L148" s="285"/>
    </row>
    <row r="149" spans="1:12" ht="57" x14ac:dyDescent="0.45">
      <c r="A149" s="264"/>
      <c r="B149" s="246"/>
      <c r="C149" s="124" t="s">
        <v>10</v>
      </c>
      <c r="D149" s="126" t="s">
        <v>229</v>
      </c>
      <c r="E149" s="124" t="s">
        <v>12</v>
      </c>
      <c r="F149" s="126" t="s">
        <v>413</v>
      </c>
      <c r="G149" s="176">
        <v>2.0495749999999999</v>
      </c>
      <c r="H149" s="223" t="s">
        <v>575</v>
      </c>
      <c r="I149" s="224" t="s">
        <v>122</v>
      </c>
      <c r="J149" s="224" t="s">
        <v>122</v>
      </c>
      <c r="K149" s="127" t="s">
        <v>230</v>
      </c>
      <c r="L149" s="285"/>
    </row>
    <row r="150" spans="1:12" ht="57" x14ac:dyDescent="0.45">
      <c r="A150" s="264"/>
      <c r="B150" s="246"/>
      <c r="C150" s="124" t="s">
        <v>10</v>
      </c>
      <c r="D150" s="126" t="s">
        <v>231</v>
      </c>
      <c r="E150" s="124" t="s">
        <v>12</v>
      </c>
      <c r="F150" s="126" t="s">
        <v>413</v>
      </c>
      <c r="G150" s="176">
        <v>5.9272629999999999</v>
      </c>
      <c r="H150" s="223" t="s">
        <v>575</v>
      </c>
      <c r="I150" s="224" t="s">
        <v>122</v>
      </c>
      <c r="J150" s="224" t="s">
        <v>122</v>
      </c>
      <c r="K150" s="127" t="s">
        <v>232</v>
      </c>
      <c r="L150" s="285"/>
    </row>
    <row r="151" spans="1:12" ht="57" x14ac:dyDescent="0.45">
      <c r="A151" s="264"/>
      <c r="B151" s="246"/>
      <c r="C151" s="124" t="s">
        <v>10</v>
      </c>
      <c r="D151" s="126" t="s">
        <v>233</v>
      </c>
      <c r="E151" s="124" t="s">
        <v>12</v>
      </c>
      <c r="F151" s="126" t="s">
        <v>413</v>
      </c>
      <c r="G151" s="176">
        <v>4.8087109999999997</v>
      </c>
      <c r="H151" s="223" t="s">
        <v>575</v>
      </c>
      <c r="I151" s="224" t="s">
        <v>122</v>
      </c>
      <c r="J151" s="224" t="s">
        <v>122</v>
      </c>
      <c r="K151" s="127" t="s">
        <v>234</v>
      </c>
      <c r="L151" s="285"/>
    </row>
    <row r="152" spans="1:12" ht="57" x14ac:dyDescent="0.45">
      <c r="A152" s="264"/>
      <c r="B152" s="246"/>
      <c r="C152" s="124" t="s">
        <v>10</v>
      </c>
      <c r="D152" s="126" t="s">
        <v>235</v>
      </c>
      <c r="E152" s="124" t="s">
        <v>12</v>
      </c>
      <c r="F152" s="126" t="s">
        <v>413</v>
      </c>
      <c r="G152" s="176">
        <v>5.3389740000000003</v>
      </c>
      <c r="H152" s="223" t="s">
        <v>575</v>
      </c>
      <c r="I152" s="224" t="s">
        <v>122</v>
      </c>
      <c r="J152" s="224" t="s">
        <v>122</v>
      </c>
      <c r="K152" s="127" t="s">
        <v>236</v>
      </c>
      <c r="L152" s="285"/>
    </row>
    <row r="153" spans="1:12" ht="57" x14ac:dyDescent="0.45">
      <c r="A153" s="264"/>
      <c r="B153" s="234"/>
      <c r="C153" s="124" t="s">
        <v>10</v>
      </c>
      <c r="D153" s="126" t="s">
        <v>237</v>
      </c>
      <c r="E153" s="124" t="s">
        <v>12</v>
      </c>
      <c r="F153" s="126" t="s">
        <v>413</v>
      </c>
      <c r="G153" s="176">
        <v>1.112328</v>
      </c>
      <c r="H153" s="223" t="s">
        <v>575</v>
      </c>
      <c r="I153" s="224" t="s">
        <v>122</v>
      </c>
      <c r="J153" s="224" t="s">
        <v>122</v>
      </c>
      <c r="K153" s="127" t="s">
        <v>238</v>
      </c>
      <c r="L153" s="285"/>
    </row>
    <row r="154" spans="1:12" ht="57" x14ac:dyDescent="0.45">
      <c r="A154" s="120" t="s">
        <v>239</v>
      </c>
      <c r="B154" s="85">
        <v>18</v>
      </c>
      <c r="C154" s="124" t="s">
        <v>10</v>
      </c>
      <c r="D154" s="126" t="s">
        <v>240</v>
      </c>
      <c r="E154" s="124" t="s">
        <v>12</v>
      </c>
      <c r="F154" s="126" t="s">
        <v>413</v>
      </c>
      <c r="G154" s="176">
        <v>18.2</v>
      </c>
      <c r="H154" s="223" t="s">
        <v>575</v>
      </c>
      <c r="I154" s="224" t="s">
        <v>122</v>
      </c>
      <c r="J154" s="224" t="s">
        <v>122</v>
      </c>
      <c r="K154" s="127" t="s">
        <v>472</v>
      </c>
      <c r="L154" s="128">
        <v>44135</v>
      </c>
    </row>
    <row r="155" spans="1:12" ht="15" customHeight="1" x14ac:dyDescent="0.45">
      <c r="A155" s="264" t="s">
        <v>241</v>
      </c>
      <c r="B155" s="252">
        <v>1720</v>
      </c>
      <c r="C155" s="124" t="s">
        <v>28</v>
      </c>
      <c r="D155" s="126" t="s">
        <v>16</v>
      </c>
      <c r="E155" s="126" t="s">
        <v>242</v>
      </c>
      <c r="F155" s="126" t="s">
        <v>413</v>
      </c>
      <c r="G155" s="176">
        <v>200</v>
      </c>
      <c r="H155" s="287" t="s">
        <v>13</v>
      </c>
      <c r="I155" s="255" t="s">
        <v>243</v>
      </c>
      <c r="J155" s="283" t="s">
        <v>252</v>
      </c>
      <c r="K155" s="242"/>
      <c r="L155" s="339"/>
    </row>
    <row r="156" spans="1:12" ht="28.5" x14ac:dyDescent="0.45">
      <c r="A156" s="264"/>
      <c r="B156" s="246"/>
      <c r="C156" s="124" t="s">
        <v>28</v>
      </c>
      <c r="D156" s="126" t="s">
        <v>16</v>
      </c>
      <c r="E156" s="124" t="s">
        <v>12</v>
      </c>
      <c r="F156" s="126" t="s">
        <v>413</v>
      </c>
      <c r="G156" s="176">
        <v>1000</v>
      </c>
      <c r="H156" s="287"/>
      <c r="I156" s="255"/>
      <c r="J156" s="283"/>
      <c r="K156" s="242"/>
      <c r="L156" s="339"/>
    </row>
    <row r="157" spans="1:12" ht="28.5" x14ac:dyDescent="0.45">
      <c r="A157" s="264"/>
      <c r="B157" s="246"/>
      <c r="C157" s="124" t="s">
        <v>10</v>
      </c>
      <c r="D157" s="126" t="s">
        <v>16</v>
      </c>
      <c r="E157" s="124" t="s">
        <v>12</v>
      </c>
      <c r="F157" s="126" t="s">
        <v>413</v>
      </c>
      <c r="G157" s="176">
        <v>-1000</v>
      </c>
      <c r="H157" s="287"/>
      <c r="I157" s="255"/>
      <c r="J157" s="283"/>
      <c r="K157" s="242"/>
      <c r="L157" s="339"/>
    </row>
    <row r="158" spans="1:12" x14ac:dyDescent="0.45">
      <c r="A158" s="264"/>
      <c r="B158" s="246"/>
      <c r="C158" s="124" t="s">
        <v>10</v>
      </c>
      <c r="D158" s="126" t="s">
        <v>16</v>
      </c>
      <c r="E158" s="124" t="s">
        <v>18</v>
      </c>
      <c r="F158" s="126" t="s">
        <v>122</v>
      </c>
      <c r="G158" s="176">
        <v>1000</v>
      </c>
      <c r="H158" s="287"/>
      <c r="I158" s="255"/>
      <c r="J158" s="283"/>
      <c r="K158" s="242"/>
      <c r="L158" s="339"/>
    </row>
    <row r="159" spans="1:12" ht="28.5" x14ac:dyDescent="0.45">
      <c r="A159" s="264"/>
      <c r="B159" s="246"/>
      <c r="C159" s="124" t="s">
        <v>28</v>
      </c>
      <c r="D159" s="126" t="s">
        <v>16</v>
      </c>
      <c r="E159" s="124" t="s">
        <v>12</v>
      </c>
      <c r="F159" s="126" t="s">
        <v>413</v>
      </c>
      <c r="G159" s="176">
        <v>120</v>
      </c>
      <c r="H159" s="287"/>
      <c r="I159" s="255"/>
      <c r="J159" s="283"/>
      <c r="K159" s="242"/>
      <c r="L159" s="339"/>
    </row>
    <row r="160" spans="1:12" ht="28.5" x14ac:dyDescent="0.45">
      <c r="A160" s="264"/>
      <c r="B160" s="234"/>
      <c r="C160" s="124" t="s">
        <v>28</v>
      </c>
      <c r="D160" s="126" t="s">
        <v>16</v>
      </c>
      <c r="E160" s="124" t="s">
        <v>12</v>
      </c>
      <c r="F160" s="126" t="s">
        <v>413</v>
      </c>
      <c r="G160" s="176">
        <v>400</v>
      </c>
      <c r="H160" s="287"/>
      <c r="I160" s="255"/>
      <c r="J160" s="283"/>
      <c r="K160" s="242"/>
      <c r="L160" s="339"/>
    </row>
    <row r="161" spans="1:12" ht="31.5" customHeight="1" x14ac:dyDescent="0.45">
      <c r="A161" s="120" t="s">
        <v>244</v>
      </c>
      <c r="B161" s="85">
        <v>376</v>
      </c>
      <c r="C161" s="124" t="s">
        <v>47</v>
      </c>
      <c r="D161" s="124" t="s">
        <v>245</v>
      </c>
      <c r="E161" s="124" t="s">
        <v>122</v>
      </c>
      <c r="F161" s="216" t="s">
        <v>122</v>
      </c>
      <c r="G161" s="176" t="s">
        <v>122</v>
      </c>
      <c r="H161" s="124" t="s">
        <v>13</v>
      </c>
      <c r="I161" s="125" t="s">
        <v>246</v>
      </c>
      <c r="J161" s="126" t="s">
        <v>21</v>
      </c>
      <c r="K161" s="127" t="s">
        <v>509</v>
      </c>
      <c r="L161" s="123">
        <v>44196</v>
      </c>
    </row>
    <row r="162" spans="1:12" ht="57" x14ac:dyDescent="0.45">
      <c r="A162" s="264" t="s">
        <v>247</v>
      </c>
      <c r="B162" s="233">
        <v>253</v>
      </c>
      <c r="C162" s="124" t="s">
        <v>28</v>
      </c>
      <c r="D162" s="126" t="s">
        <v>96</v>
      </c>
      <c r="E162" s="124" t="s">
        <v>12</v>
      </c>
      <c r="F162" s="126" t="s">
        <v>415</v>
      </c>
      <c r="G162" s="176">
        <v>50</v>
      </c>
      <c r="H162" s="283" t="s">
        <v>13</v>
      </c>
      <c r="I162" s="241" t="s">
        <v>97</v>
      </c>
      <c r="J162" s="283" t="s">
        <v>21</v>
      </c>
      <c r="K162" s="249" t="s">
        <v>477</v>
      </c>
      <c r="L162" s="349">
        <v>44195</v>
      </c>
    </row>
    <row r="163" spans="1:12" s="57" customFormat="1" x14ac:dyDescent="0.45">
      <c r="A163" s="264"/>
      <c r="B163" s="246"/>
      <c r="C163" s="124" t="s">
        <v>520</v>
      </c>
      <c r="D163" s="126" t="s">
        <v>96</v>
      </c>
      <c r="E163" s="124" t="s">
        <v>18</v>
      </c>
      <c r="F163" s="126" t="s">
        <v>122</v>
      </c>
      <c r="G163" s="176">
        <v>1.456952</v>
      </c>
      <c r="H163" s="283"/>
      <c r="I163" s="241"/>
      <c r="J163" s="283"/>
      <c r="K163" s="250"/>
      <c r="L163" s="350"/>
    </row>
    <row r="164" spans="1:12" s="57" customFormat="1" ht="57" x14ac:dyDescent="0.45">
      <c r="A164" s="264"/>
      <c r="B164" s="246"/>
      <c r="C164" s="124" t="s">
        <v>520</v>
      </c>
      <c r="D164" s="126" t="s">
        <v>96</v>
      </c>
      <c r="E164" s="124" t="s">
        <v>12</v>
      </c>
      <c r="F164" s="126" t="s">
        <v>415</v>
      </c>
      <c r="G164" s="176">
        <v>-1.456952</v>
      </c>
      <c r="H164" s="283"/>
      <c r="I164" s="241"/>
      <c r="J164" s="283"/>
      <c r="K164" s="251"/>
      <c r="L164" s="351"/>
    </row>
    <row r="165" spans="1:12" x14ac:dyDescent="0.45">
      <c r="A165" s="264"/>
      <c r="B165" s="246"/>
      <c r="C165" s="124" t="s">
        <v>28</v>
      </c>
      <c r="D165" s="126" t="s">
        <v>96</v>
      </c>
      <c r="E165" s="124" t="s">
        <v>18</v>
      </c>
      <c r="F165" s="126" t="s">
        <v>122</v>
      </c>
      <c r="G165" s="176">
        <v>15</v>
      </c>
      <c r="H165" s="283"/>
      <c r="I165" s="241"/>
      <c r="J165" s="283"/>
      <c r="K165" s="242" t="s">
        <v>476</v>
      </c>
      <c r="L165" s="338">
        <v>44195</v>
      </c>
    </row>
    <row r="166" spans="1:12" ht="57" x14ac:dyDescent="0.45">
      <c r="A166" s="264"/>
      <c r="B166" s="234"/>
      <c r="C166" s="124" t="s">
        <v>28</v>
      </c>
      <c r="D166" s="126" t="s">
        <v>96</v>
      </c>
      <c r="E166" s="124" t="s">
        <v>12</v>
      </c>
      <c r="F166" s="126" t="s">
        <v>415</v>
      </c>
      <c r="G166" s="176">
        <v>62.5</v>
      </c>
      <c r="H166" s="283"/>
      <c r="I166" s="241"/>
      <c r="J166" s="283"/>
      <c r="K166" s="242"/>
      <c r="L166" s="339"/>
    </row>
    <row r="167" spans="1:12" ht="15" customHeight="1" x14ac:dyDescent="0.45">
      <c r="A167" s="334" t="s">
        <v>249</v>
      </c>
      <c r="B167" s="233">
        <v>63</v>
      </c>
      <c r="C167" s="124" t="s">
        <v>28</v>
      </c>
      <c r="D167" s="126" t="s">
        <v>250</v>
      </c>
      <c r="E167" s="124" t="s">
        <v>12</v>
      </c>
      <c r="F167" s="126" t="s">
        <v>418</v>
      </c>
      <c r="G167" s="176">
        <v>62.5</v>
      </c>
      <c r="H167" s="229" t="s">
        <v>13</v>
      </c>
      <c r="I167" s="231" t="s">
        <v>251</v>
      </c>
      <c r="J167" s="233" t="s">
        <v>252</v>
      </c>
      <c r="K167" s="229"/>
      <c r="L167" s="257"/>
    </row>
    <row r="168" spans="1:12" ht="57" x14ac:dyDescent="0.45">
      <c r="A168" s="335"/>
      <c r="B168" s="246"/>
      <c r="C168" s="124" t="s">
        <v>10</v>
      </c>
      <c r="D168" s="126" t="s">
        <v>250</v>
      </c>
      <c r="E168" s="124" t="s">
        <v>12</v>
      </c>
      <c r="F168" s="126" t="s">
        <v>415</v>
      </c>
      <c r="G168" s="176">
        <v>-56.8</v>
      </c>
      <c r="H168" s="247"/>
      <c r="I168" s="248"/>
      <c r="J168" s="246"/>
      <c r="K168" s="247"/>
      <c r="L168" s="258"/>
    </row>
    <row r="169" spans="1:12" s="57" customFormat="1" ht="57" x14ac:dyDescent="0.45">
      <c r="A169" s="335"/>
      <c r="B169" s="246"/>
      <c r="C169" s="124" t="s">
        <v>520</v>
      </c>
      <c r="D169" s="126" t="s">
        <v>250</v>
      </c>
      <c r="E169" s="124" t="s">
        <v>12</v>
      </c>
      <c r="F169" s="126" t="s">
        <v>415</v>
      </c>
      <c r="G169" s="176">
        <v>-5.7</v>
      </c>
      <c r="H169" s="230"/>
      <c r="I169" s="232"/>
      <c r="J169" s="234"/>
      <c r="K169" s="230"/>
      <c r="L169" s="259"/>
    </row>
    <row r="170" spans="1:12" ht="15" customHeight="1" x14ac:dyDescent="0.45">
      <c r="A170" s="335"/>
      <c r="B170" s="246"/>
      <c r="C170" s="124" t="s">
        <v>10</v>
      </c>
      <c r="D170" s="126" t="s">
        <v>168</v>
      </c>
      <c r="E170" s="124" t="s">
        <v>18</v>
      </c>
      <c r="F170" s="126" t="s">
        <v>122</v>
      </c>
      <c r="G170" s="176">
        <v>17.037134999999999</v>
      </c>
      <c r="H170" s="229" t="s">
        <v>13</v>
      </c>
      <c r="I170" s="231" t="s">
        <v>253</v>
      </c>
      <c r="J170" s="233" t="s">
        <v>453</v>
      </c>
      <c r="K170" s="249"/>
      <c r="L170" s="324"/>
    </row>
    <row r="171" spans="1:12" ht="57" x14ac:dyDescent="0.45">
      <c r="A171" s="335"/>
      <c r="B171" s="246"/>
      <c r="C171" s="124" t="s">
        <v>10</v>
      </c>
      <c r="D171" s="126" t="s">
        <v>168</v>
      </c>
      <c r="E171" s="124" t="s">
        <v>12</v>
      </c>
      <c r="F171" s="126" t="s">
        <v>415</v>
      </c>
      <c r="G171" s="176">
        <v>21.102865000000001</v>
      </c>
      <c r="H171" s="247"/>
      <c r="I171" s="248"/>
      <c r="J171" s="246"/>
      <c r="K171" s="250"/>
      <c r="L171" s="340"/>
    </row>
    <row r="172" spans="1:12" ht="28.5" x14ac:dyDescent="0.45">
      <c r="A172" s="335"/>
      <c r="B172" s="246"/>
      <c r="C172" s="124" t="s">
        <v>10</v>
      </c>
      <c r="D172" s="126" t="s">
        <v>173</v>
      </c>
      <c r="E172" s="124" t="s">
        <v>18</v>
      </c>
      <c r="F172" s="126" t="s">
        <v>122</v>
      </c>
      <c r="G172" s="176">
        <v>6.992</v>
      </c>
      <c r="H172" s="247"/>
      <c r="I172" s="248"/>
      <c r="J172" s="246"/>
      <c r="K172" s="250"/>
      <c r="L172" s="340"/>
    </row>
    <row r="173" spans="1:12" ht="57" x14ac:dyDescent="0.45">
      <c r="A173" s="335"/>
      <c r="B173" s="246"/>
      <c r="C173" s="124" t="s">
        <v>10</v>
      </c>
      <c r="D173" s="126" t="s">
        <v>173</v>
      </c>
      <c r="E173" s="124" t="s">
        <v>12</v>
      </c>
      <c r="F173" s="126" t="s">
        <v>415</v>
      </c>
      <c r="G173" s="176">
        <v>2.15</v>
      </c>
      <c r="H173" s="247"/>
      <c r="I173" s="248"/>
      <c r="J173" s="246"/>
      <c r="K173" s="250"/>
      <c r="L173" s="340"/>
    </row>
    <row r="174" spans="1:12" ht="57" x14ac:dyDescent="0.45">
      <c r="A174" s="335"/>
      <c r="B174" s="246"/>
      <c r="C174" s="124" t="s">
        <v>10</v>
      </c>
      <c r="D174" s="126" t="s">
        <v>73</v>
      </c>
      <c r="E174" s="124" t="s">
        <v>12</v>
      </c>
      <c r="F174" s="126" t="s">
        <v>415</v>
      </c>
      <c r="G174" s="176">
        <v>9.5180000000000007</v>
      </c>
      <c r="H174" s="247"/>
      <c r="I174" s="248"/>
      <c r="J174" s="246"/>
      <c r="K174" s="250"/>
      <c r="L174" s="340"/>
    </row>
    <row r="175" spans="1:12" s="57" customFormat="1" x14ac:dyDescent="0.45">
      <c r="A175" s="335"/>
      <c r="B175" s="246"/>
      <c r="C175" s="124" t="s">
        <v>520</v>
      </c>
      <c r="D175" s="126" t="s">
        <v>168</v>
      </c>
      <c r="E175" s="124" t="s">
        <v>18</v>
      </c>
      <c r="F175" s="126" t="s">
        <v>122</v>
      </c>
      <c r="G175" s="176">
        <v>4.5599999999999996</v>
      </c>
      <c r="H175" s="247"/>
      <c r="I175" s="248"/>
      <c r="J175" s="246"/>
      <c r="K175" s="250"/>
      <c r="L175" s="340"/>
    </row>
    <row r="176" spans="1:12" s="57" customFormat="1" x14ac:dyDescent="0.45">
      <c r="A176" s="335"/>
      <c r="B176" s="246"/>
      <c r="C176" s="124" t="s">
        <v>520</v>
      </c>
      <c r="D176" s="126" t="s">
        <v>73</v>
      </c>
      <c r="E176" s="124" t="s">
        <v>18</v>
      </c>
      <c r="F176" s="126" t="s">
        <v>122</v>
      </c>
      <c r="G176" s="176">
        <v>1.1399999999999999</v>
      </c>
      <c r="H176" s="247"/>
      <c r="I176" s="248"/>
      <c r="J176" s="246"/>
      <c r="K176" s="250"/>
      <c r="L176" s="340"/>
    </row>
    <row r="177" spans="1:12" s="57" customFormat="1" ht="28.5" x14ac:dyDescent="0.45">
      <c r="A177" s="335"/>
      <c r="B177" s="246"/>
      <c r="C177" s="124" t="s">
        <v>520</v>
      </c>
      <c r="D177" s="126" t="s">
        <v>173</v>
      </c>
      <c r="E177" s="124" t="s">
        <v>18</v>
      </c>
      <c r="F177" s="126" t="s">
        <v>122</v>
      </c>
      <c r="G177" s="176">
        <v>1.65</v>
      </c>
      <c r="H177" s="247"/>
      <c r="I177" s="248"/>
      <c r="J177" s="246"/>
      <c r="K177" s="250"/>
      <c r="L177" s="340"/>
    </row>
    <row r="178" spans="1:12" s="57" customFormat="1" ht="57" x14ac:dyDescent="0.45">
      <c r="A178" s="336"/>
      <c r="B178" s="234"/>
      <c r="C178" s="124" t="s">
        <v>520</v>
      </c>
      <c r="D178" s="126" t="s">
        <v>173</v>
      </c>
      <c r="E178" s="124" t="s">
        <v>12</v>
      </c>
      <c r="F178" s="126" t="s">
        <v>415</v>
      </c>
      <c r="G178" s="176">
        <v>-1.65</v>
      </c>
      <c r="H178" s="230"/>
      <c r="I178" s="232"/>
      <c r="J178" s="234"/>
      <c r="K178" s="251"/>
      <c r="L178" s="325"/>
    </row>
    <row r="179" spans="1:12" ht="57" x14ac:dyDescent="0.45">
      <c r="A179" s="243" t="s">
        <v>248</v>
      </c>
      <c r="B179" s="233">
        <v>469</v>
      </c>
      <c r="C179" s="124" t="s">
        <v>28</v>
      </c>
      <c r="D179" s="126" t="s">
        <v>250</v>
      </c>
      <c r="E179" s="124" t="s">
        <v>12</v>
      </c>
      <c r="F179" s="126" t="s">
        <v>415</v>
      </c>
      <c r="G179" s="176">
        <v>469.4</v>
      </c>
      <c r="H179" s="229" t="s">
        <v>13</v>
      </c>
      <c r="I179" s="231" t="s">
        <v>251</v>
      </c>
      <c r="J179" s="233" t="s">
        <v>252</v>
      </c>
      <c r="K179" s="235"/>
      <c r="L179" s="257"/>
    </row>
    <row r="180" spans="1:12" s="57" customFormat="1" x14ac:dyDescent="0.45">
      <c r="A180" s="244"/>
      <c r="B180" s="246"/>
      <c r="C180" s="124" t="s">
        <v>520</v>
      </c>
      <c r="D180" s="126" t="s">
        <v>250</v>
      </c>
      <c r="E180" s="124" t="s">
        <v>18</v>
      </c>
      <c r="F180" s="118" t="s">
        <v>122</v>
      </c>
      <c r="G180" s="176">
        <f>1.109394+3.5</f>
        <v>4.609394</v>
      </c>
      <c r="H180" s="247"/>
      <c r="I180" s="248"/>
      <c r="J180" s="246"/>
      <c r="K180" s="256"/>
      <c r="L180" s="258"/>
    </row>
    <row r="181" spans="1:12" s="57" customFormat="1" ht="57" x14ac:dyDescent="0.45">
      <c r="A181" s="245"/>
      <c r="B181" s="234"/>
      <c r="C181" s="124" t="s">
        <v>520</v>
      </c>
      <c r="D181" s="126" t="s">
        <v>250</v>
      </c>
      <c r="E181" s="124" t="s">
        <v>12</v>
      </c>
      <c r="F181" s="126" t="s">
        <v>415</v>
      </c>
      <c r="G181" s="176">
        <v>-334.04422499999998</v>
      </c>
      <c r="H181" s="230"/>
      <c r="I181" s="232"/>
      <c r="J181" s="234"/>
      <c r="K181" s="236"/>
      <c r="L181" s="259"/>
    </row>
    <row r="182" spans="1:12" ht="57" x14ac:dyDescent="0.45">
      <c r="A182" s="264" t="s">
        <v>254</v>
      </c>
      <c r="B182" s="233">
        <v>450</v>
      </c>
      <c r="C182" s="124" t="s">
        <v>10</v>
      </c>
      <c r="D182" s="126" t="s">
        <v>255</v>
      </c>
      <c r="E182" s="124" t="s">
        <v>12</v>
      </c>
      <c r="F182" s="126" t="s">
        <v>415</v>
      </c>
      <c r="G182" s="176">
        <v>325</v>
      </c>
      <c r="H182" s="287" t="s">
        <v>13</v>
      </c>
      <c r="I182" s="255" t="s">
        <v>256</v>
      </c>
      <c r="J182" s="283" t="s">
        <v>453</v>
      </c>
      <c r="K182" s="284"/>
      <c r="L182" s="285"/>
    </row>
    <row r="183" spans="1:12" x14ac:dyDescent="0.45">
      <c r="A183" s="264"/>
      <c r="B183" s="234"/>
      <c r="C183" s="124" t="s">
        <v>10</v>
      </c>
      <c r="D183" s="126" t="s">
        <v>255</v>
      </c>
      <c r="E183" s="124" t="s">
        <v>18</v>
      </c>
      <c r="F183" s="126" t="s">
        <v>122</v>
      </c>
      <c r="G183" s="176">
        <v>125</v>
      </c>
      <c r="H183" s="287"/>
      <c r="I183" s="255"/>
      <c r="J183" s="283"/>
      <c r="K183" s="284"/>
      <c r="L183" s="285"/>
    </row>
    <row r="184" spans="1:12" ht="57" x14ac:dyDescent="0.45">
      <c r="A184" s="264" t="s">
        <v>257</v>
      </c>
      <c r="B184" s="233">
        <v>2</v>
      </c>
      <c r="C184" s="124" t="s">
        <v>10</v>
      </c>
      <c r="D184" s="124" t="s">
        <v>258</v>
      </c>
      <c r="E184" s="124" t="s">
        <v>12</v>
      </c>
      <c r="F184" s="126" t="s">
        <v>415</v>
      </c>
      <c r="G184" s="176">
        <v>1.7242409999999999</v>
      </c>
      <c r="H184" s="287" t="s">
        <v>13</v>
      </c>
      <c r="I184" s="255" t="s">
        <v>35</v>
      </c>
      <c r="J184" s="283" t="s">
        <v>21</v>
      </c>
      <c r="K184" s="332" t="s">
        <v>259</v>
      </c>
      <c r="L184" s="262">
        <v>44013</v>
      </c>
    </row>
    <row r="185" spans="1:12" s="57" customFormat="1" x14ac:dyDescent="0.45">
      <c r="A185" s="264"/>
      <c r="B185" s="246"/>
      <c r="C185" s="124" t="s">
        <v>10</v>
      </c>
      <c r="D185" s="124" t="s">
        <v>258</v>
      </c>
      <c r="E185" s="124" t="s">
        <v>18</v>
      </c>
      <c r="F185" s="126" t="s">
        <v>122</v>
      </c>
      <c r="G185" s="176">
        <v>0.83208300000000002</v>
      </c>
      <c r="H185" s="287"/>
      <c r="I185" s="255"/>
      <c r="J185" s="283"/>
      <c r="K185" s="332"/>
      <c r="L185" s="262"/>
    </row>
    <row r="186" spans="1:12" s="57" customFormat="1" ht="57" x14ac:dyDescent="0.45">
      <c r="A186" s="264"/>
      <c r="B186" s="246"/>
      <c r="C186" s="124" t="s">
        <v>520</v>
      </c>
      <c r="D186" s="124" t="s">
        <v>258</v>
      </c>
      <c r="E186" s="124" t="s">
        <v>12</v>
      </c>
      <c r="F186" s="126" t="s">
        <v>415</v>
      </c>
      <c r="G186" s="213">
        <v>-0.24385399999999999</v>
      </c>
      <c r="H186" s="287"/>
      <c r="I186" s="255"/>
      <c r="J186" s="283"/>
      <c r="K186" s="332"/>
      <c r="L186" s="262"/>
    </row>
    <row r="187" spans="1:12" x14ac:dyDescent="0.45">
      <c r="A187" s="264"/>
      <c r="B187" s="234"/>
      <c r="C187" s="139" t="s">
        <v>520</v>
      </c>
      <c r="D187" s="124" t="s">
        <v>258</v>
      </c>
      <c r="E187" s="139" t="s">
        <v>18</v>
      </c>
      <c r="F187" s="118" t="s">
        <v>122</v>
      </c>
      <c r="G187" s="214">
        <v>0.24385399999999999</v>
      </c>
      <c r="H187" s="287"/>
      <c r="I187" s="255"/>
      <c r="J187" s="283"/>
      <c r="K187" s="284"/>
      <c r="L187" s="285"/>
    </row>
    <row r="188" spans="1:12" ht="28.5" x14ac:dyDescent="0.45">
      <c r="A188" s="120" t="s">
        <v>260</v>
      </c>
      <c r="B188" s="85">
        <v>320</v>
      </c>
      <c r="C188" s="124" t="s">
        <v>520</v>
      </c>
      <c r="D188" s="124" t="s">
        <v>16</v>
      </c>
      <c r="E188" s="124" t="s">
        <v>12</v>
      </c>
      <c r="F188" s="216" t="s">
        <v>562</v>
      </c>
      <c r="G188" s="183">
        <v>320</v>
      </c>
      <c r="H188" s="124" t="s">
        <v>13</v>
      </c>
      <c r="I188" s="125" t="s">
        <v>17</v>
      </c>
      <c r="J188" s="124" t="s">
        <v>21</v>
      </c>
      <c r="K188" s="127" t="s">
        <v>573</v>
      </c>
      <c r="L188" s="220">
        <v>44075</v>
      </c>
    </row>
    <row r="189" spans="1:12" ht="30" customHeight="1" x14ac:dyDescent="0.45">
      <c r="A189" s="264" t="s">
        <v>261</v>
      </c>
      <c r="B189" s="233">
        <v>99</v>
      </c>
      <c r="C189" s="124" t="s">
        <v>10</v>
      </c>
      <c r="D189" s="126" t="s">
        <v>165</v>
      </c>
      <c r="E189" s="124" t="s">
        <v>18</v>
      </c>
      <c r="F189" s="126" t="s">
        <v>122</v>
      </c>
      <c r="G189" s="183">
        <v>9.7100000000000009</v>
      </c>
      <c r="H189" s="229" t="s">
        <v>13</v>
      </c>
      <c r="I189" s="231" t="s">
        <v>185</v>
      </c>
      <c r="J189" s="233" t="s">
        <v>21</v>
      </c>
      <c r="K189" s="235" t="s">
        <v>502</v>
      </c>
      <c r="L189" s="237">
        <v>44166</v>
      </c>
    </row>
    <row r="190" spans="1:12" ht="28.5" x14ac:dyDescent="0.45">
      <c r="A190" s="264"/>
      <c r="B190" s="246"/>
      <c r="C190" s="124" t="s">
        <v>10</v>
      </c>
      <c r="D190" s="124" t="s">
        <v>165</v>
      </c>
      <c r="E190" s="124" t="s">
        <v>12</v>
      </c>
      <c r="F190" s="126" t="s">
        <v>417</v>
      </c>
      <c r="G190" s="183">
        <v>87.39</v>
      </c>
      <c r="H190" s="247"/>
      <c r="I190" s="248"/>
      <c r="J190" s="246"/>
      <c r="K190" s="256"/>
      <c r="L190" s="261"/>
    </row>
    <row r="191" spans="1:12" s="57" customFormat="1" ht="28.5" x14ac:dyDescent="0.45">
      <c r="A191" s="264"/>
      <c r="B191" s="246"/>
      <c r="C191" s="124" t="s">
        <v>520</v>
      </c>
      <c r="D191" s="124" t="s">
        <v>165</v>
      </c>
      <c r="E191" s="124" t="s">
        <v>12</v>
      </c>
      <c r="F191" s="126" t="s">
        <v>417</v>
      </c>
      <c r="G191" s="183">
        <v>-2.678509</v>
      </c>
      <c r="H191" s="247"/>
      <c r="I191" s="248"/>
      <c r="J191" s="246"/>
      <c r="K191" s="256"/>
      <c r="L191" s="261"/>
    </row>
    <row r="192" spans="1:12" s="57" customFormat="1" x14ac:dyDescent="0.45">
      <c r="A192" s="264"/>
      <c r="B192" s="246"/>
      <c r="C192" s="124" t="s">
        <v>520</v>
      </c>
      <c r="D192" s="124" t="s">
        <v>165</v>
      </c>
      <c r="E192" s="124" t="s">
        <v>18</v>
      </c>
      <c r="F192" s="126" t="s">
        <v>122</v>
      </c>
      <c r="G192" s="183">
        <v>2.678509</v>
      </c>
      <c r="H192" s="230"/>
      <c r="I192" s="232"/>
      <c r="J192" s="234"/>
      <c r="K192" s="236"/>
      <c r="L192" s="238"/>
    </row>
    <row r="193" spans="1:12" ht="28.5" x14ac:dyDescent="0.45">
      <c r="A193" s="264"/>
      <c r="B193" s="234"/>
      <c r="C193" s="124" t="s">
        <v>10</v>
      </c>
      <c r="D193" s="124" t="s">
        <v>98</v>
      </c>
      <c r="E193" s="124" t="s">
        <v>12</v>
      </c>
      <c r="F193" s="126" t="s">
        <v>417</v>
      </c>
      <c r="G193" s="183">
        <v>2.4</v>
      </c>
      <c r="H193" s="124" t="s">
        <v>13</v>
      </c>
      <c r="I193" s="125" t="s">
        <v>99</v>
      </c>
      <c r="J193" s="126" t="s">
        <v>21</v>
      </c>
      <c r="K193" s="127" t="s">
        <v>460</v>
      </c>
      <c r="L193" s="123">
        <v>44196</v>
      </c>
    </row>
    <row r="194" spans="1:12" ht="28.5" x14ac:dyDescent="0.45">
      <c r="A194" s="243" t="s">
        <v>262</v>
      </c>
      <c r="B194" s="233">
        <v>130</v>
      </c>
      <c r="C194" s="124" t="s">
        <v>10</v>
      </c>
      <c r="D194" s="124" t="s">
        <v>165</v>
      </c>
      <c r="E194" s="124" t="s">
        <v>12</v>
      </c>
      <c r="F194" s="126" t="s">
        <v>417</v>
      </c>
      <c r="G194" s="183">
        <v>60.2</v>
      </c>
      <c r="H194" s="229" t="s">
        <v>13</v>
      </c>
      <c r="I194" s="231" t="s">
        <v>185</v>
      </c>
      <c r="J194" s="233" t="s">
        <v>21</v>
      </c>
      <c r="K194" s="235" t="s">
        <v>503</v>
      </c>
      <c r="L194" s="237">
        <v>44166</v>
      </c>
    </row>
    <row r="195" spans="1:12" s="57" customFormat="1" ht="28.5" x14ac:dyDescent="0.45">
      <c r="A195" s="244"/>
      <c r="B195" s="246"/>
      <c r="C195" s="124" t="s">
        <v>520</v>
      </c>
      <c r="D195" s="124" t="s">
        <v>165</v>
      </c>
      <c r="E195" s="124" t="s">
        <v>12</v>
      </c>
      <c r="F195" s="126" t="s">
        <v>417</v>
      </c>
      <c r="G195" s="183">
        <v>-25.508465999999999</v>
      </c>
      <c r="H195" s="247"/>
      <c r="I195" s="248"/>
      <c r="J195" s="246"/>
      <c r="K195" s="256"/>
      <c r="L195" s="261"/>
    </row>
    <row r="196" spans="1:12" s="57" customFormat="1" x14ac:dyDescent="0.45">
      <c r="A196" s="245"/>
      <c r="B196" s="234"/>
      <c r="C196" s="124" t="s">
        <v>520</v>
      </c>
      <c r="D196" s="124" t="s">
        <v>165</v>
      </c>
      <c r="E196" s="124" t="s">
        <v>18</v>
      </c>
      <c r="F196" s="126" t="s">
        <v>122</v>
      </c>
      <c r="G196" s="182">
        <v>21.287790000000001</v>
      </c>
      <c r="H196" s="230"/>
      <c r="I196" s="232"/>
      <c r="J196" s="234"/>
      <c r="K196" s="236"/>
      <c r="L196" s="238"/>
    </row>
    <row r="197" spans="1:12" ht="28.5" x14ac:dyDescent="0.45">
      <c r="A197" s="120" t="s">
        <v>263</v>
      </c>
      <c r="B197" s="96">
        <v>5515</v>
      </c>
      <c r="C197" s="124" t="s">
        <v>47</v>
      </c>
      <c r="D197" s="124" t="s">
        <v>153</v>
      </c>
      <c r="E197" s="124" t="s">
        <v>122</v>
      </c>
      <c r="F197" s="126" t="s">
        <v>414</v>
      </c>
      <c r="G197" s="176" t="s">
        <v>122</v>
      </c>
      <c r="H197" s="124" t="s">
        <v>13</v>
      </c>
      <c r="I197" s="125" t="s">
        <v>188</v>
      </c>
      <c r="J197" s="126" t="s">
        <v>21</v>
      </c>
      <c r="K197" s="127" t="s">
        <v>138</v>
      </c>
      <c r="L197" s="129"/>
    </row>
    <row r="198" spans="1:12" ht="28.5" x14ac:dyDescent="0.45">
      <c r="A198" s="120" t="s">
        <v>264</v>
      </c>
      <c r="B198" s="96">
        <v>1997</v>
      </c>
      <c r="C198" s="124" t="s">
        <v>47</v>
      </c>
      <c r="D198" s="124" t="s">
        <v>153</v>
      </c>
      <c r="E198" s="124" t="s">
        <v>122</v>
      </c>
      <c r="F198" s="126" t="s">
        <v>414</v>
      </c>
      <c r="G198" s="176" t="s">
        <v>122</v>
      </c>
      <c r="H198" s="124" t="s">
        <v>13</v>
      </c>
      <c r="I198" s="125" t="s">
        <v>188</v>
      </c>
      <c r="J198" s="126" t="s">
        <v>21</v>
      </c>
      <c r="K198" s="127" t="s">
        <v>138</v>
      </c>
      <c r="L198" s="129"/>
    </row>
    <row r="199" spans="1:12" ht="28.5" x14ac:dyDescent="0.45">
      <c r="A199" s="120" t="s">
        <v>265</v>
      </c>
      <c r="B199" s="96">
        <f>2509-54</f>
        <v>2455</v>
      </c>
      <c r="C199" s="124" t="s">
        <v>28</v>
      </c>
      <c r="D199" s="126" t="s">
        <v>40</v>
      </c>
      <c r="E199" s="124" t="s">
        <v>12</v>
      </c>
      <c r="F199" s="126" t="s">
        <v>414</v>
      </c>
      <c r="G199" s="176">
        <v>2501.3000000000002</v>
      </c>
      <c r="H199" s="124" t="s">
        <v>13</v>
      </c>
      <c r="I199" s="125" t="s">
        <v>266</v>
      </c>
      <c r="J199" s="126" t="s">
        <v>21</v>
      </c>
      <c r="K199" s="138" t="s">
        <v>267</v>
      </c>
      <c r="L199" s="123">
        <v>44043</v>
      </c>
    </row>
    <row r="200" spans="1:12" ht="28.5" x14ac:dyDescent="0.45">
      <c r="A200" s="243" t="s">
        <v>268</v>
      </c>
      <c r="B200" s="233">
        <f>292+572</f>
        <v>864</v>
      </c>
      <c r="C200" s="124" t="s">
        <v>10</v>
      </c>
      <c r="D200" s="126" t="s">
        <v>40</v>
      </c>
      <c r="E200" s="124" t="s">
        <v>12</v>
      </c>
      <c r="F200" s="126" t="s">
        <v>417</v>
      </c>
      <c r="G200" s="176">
        <v>15</v>
      </c>
      <c r="H200" s="229" t="s">
        <v>13</v>
      </c>
      <c r="I200" s="231" t="s">
        <v>41</v>
      </c>
      <c r="J200" s="233" t="s">
        <v>21</v>
      </c>
      <c r="K200" s="235" t="s">
        <v>443</v>
      </c>
      <c r="L200" s="226">
        <v>44151</v>
      </c>
    </row>
    <row r="201" spans="1:12" ht="28.5" x14ac:dyDescent="0.45">
      <c r="A201" s="244"/>
      <c r="B201" s="246"/>
      <c r="C201" s="124" t="s">
        <v>10</v>
      </c>
      <c r="D201" s="126" t="s">
        <v>40</v>
      </c>
      <c r="E201" s="124" t="s">
        <v>12</v>
      </c>
      <c r="F201" s="126" t="s">
        <v>421</v>
      </c>
      <c r="G201" s="176">
        <v>848.6</v>
      </c>
      <c r="H201" s="247"/>
      <c r="I201" s="248"/>
      <c r="J201" s="246"/>
      <c r="K201" s="256"/>
      <c r="L201" s="227"/>
    </row>
    <row r="202" spans="1:12" s="57" customFormat="1" ht="28.5" x14ac:dyDescent="0.45">
      <c r="A202" s="245"/>
      <c r="B202" s="234"/>
      <c r="C202" s="124" t="s">
        <v>520</v>
      </c>
      <c r="D202" s="126" t="s">
        <v>40</v>
      </c>
      <c r="E202" s="124" t="s">
        <v>12</v>
      </c>
      <c r="F202" s="204" t="s">
        <v>421</v>
      </c>
      <c r="G202" s="213">
        <v>0.395866</v>
      </c>
      <c r="H202" s="230"/>
      <c r="I202" s="232"/>
      <c r="J202" s="234"/>
      <c r="K202" s="236"/>
      <c r="L202" s="228"/>
    </row>
    <row r="203" spans="1:12" x14ac:dyDescent="0.45">
      <c r="A203" s="120" t="s">
        <v>269</v>
      </c>
      <c r="B203" s="85">
        <v>1</v>
      </c>
      <c r="C203" s="124" t="s">
        <v>520</v>
      </c>
      <c r="D203" s="126" t="s">
        <v>288</v>
      </c>
      <c r="E203" s="124" t="s">
        <v>18</v>
      </c>
      <c r="F203" s="126" t="s">
        <v>122</v>
      </c>
      <c r="G203" s="182">
        <v>0.6</v>
      </c>
      <c r="H203" s="124" t="s">
        <v>13</v>
      </c>
      <c r="I203" s="125" t="s">
        <v>289</v>
      </c>
      <c r="J203" s="124" t="s">
        <v>252</v>
      </c>
      <c r="K203" s="127"/>
      <c r="L203" s="129"/>
    </row>
    <row r="204" spans="1:12" ht="57" x14ac:dyDescent="0.45">
      <c r="A204" s="264" t="s">
        <v>270</v>
      </c>
      <c r="B204" s="252">
        <v>1023</v>
      </c>
      <c r="C204" s="124" t="s">
        <v>28</v>
      </c>
      <c r="D204" s="126" t="s">
        <v>40</v>
      </c>
      <c r="E204" s="124" t="s">
        <v>12</v>
      </c>
      <c r="F204" s="126" t="s">
        <v>419</v>
      </c>
      <c r="G204" s="176">
        <v>728</v>
      </c>
      <c r="H204" s="287" t="s">
        <v>13</v>
      </c>
      <c r="I204" s="255" t="s">
        <v>41</v>
      </c>
      <c r="J204" s="283" t="s">
        <v>21</v>
      </c>
      <c r="K204" s="284" t="s">
        <v>444</v>
      </c>
      <c r="L204" s="262">
        <v>44166</v>
      </c>
    </row>
    <row r="205" spans="1:12" ht="57" x14ac:dyDescent="0.45">
      <c r="A205" s="264"/>
      <c r="B205" s="246"/>
      <c r="C205" s="124" t="s">
        <v>10</v>
      </c>
      <c r="D205" s="126" t="s">
        <v>40</v>
      </c>
      <c r="E205" s="124" t="s">
        <v>12</v>
      </c>
      <c r="F205" s="126" t="s">
        <v>415</v>
      </c>
      <c r="G205" s="176">
        <v>-269.19883299999998</v>
      </c>
      <c r="H205" s="287"/>
      <c r="I205" s="255"/>
      <c r="J205" s="283"/>
      <c r="K205" s="284"/>
      <c r="L205" s="285"/>
    </row>
    <row r="206" spans="1:12" ht="57" x14ac:dyDescent="0.45">
      <c r="A206" s="264"/>
      <c r="B206" s="246"/>
      <c r="C206" s="124" t="s">
        <v>10</v>
      </c>
      <c r="D206" s="124" t="s">
        <v>96</v>
      </c>
      <c r="E206" s="124" t="s">
        <v>12</v>
      </c>
      <c r="F206" s="126" t="s">
        <v>415</v>
      </c>
      <c r="G206" s="176">
        <v>5</v>
      </c>
      <c r="H206" s="229" t="s">
        <v>13</v>
      </c>
      <c r="I206" s="231" t="s">
        <v>97</v>
      </c>
      <c r="J206" s="233" t="s">
        <v>21</v>
      </c>
      <c r="K206" s="249" t="s">
        <v>478</v>
      </c>
      <c r="L206" s="226">
        <v>44195</v>
      </c>
    </row>
    <row r="207" spans="1:12" x14ac:dyDescent="0.45">
      <c r="A207" s="264"/>
      <c r="B207" s="246"/>
      <c r="C207" s="124" t="s">
        <v>10</v>
      </c>
      <c r="D207" s="124" t="s">
        <v>271</v>
      </c>
      <c r="E207" s="124" t="s">
        <v>18</v>
      </c>
      <c r="F207" s="126" t="s">
        <v>122</v>
      </c>
      <c r="G207" s="176">
        <v>4.2</v>
      </c>
      <c r="H207" s="247"/>
      <c r="I207" s="248"/>
      <c r="J207" s="246"/>
      <c r="K207" s="250"/>
      <c r="L207" s="227"/>
    </row>
    <row r="208" spans="1:12" s="57" customFormat="1" ht="57" x14ac:dyDescent="0.45">
      <c r="A208" s="264"/>
      <c r="B208" s="246"/>
      <c r="C208" s="124" t="s">
        <v>520</v>
      </c>
      <c r="D208" s="124" t="s">
        <v>271</v>
      </c>
      <c r="E208" s="124" t="s">
        <v>12</v>
      </c>
      <c r="F208" s="126" t="s">
        <v>415</v>
      </c>
      <c r="G208" s="176">
        <v>-3.2822070000000001</v>
      </c>
      <c r="H208" s="247"/>
      <c r="I208" s="248"/>
      <c r="J208" s="246"/>
      <c r="K208" s="250"/>
      <c r="L208" s="227"/>
    </row>
    <row r="209" spans="1:14" s="57" customFormat="1" x14ac:dyDescent="0.45">
      <c r="A209" s="264"/>
      <c r="B209" s="246"/>
      <c r="C209" s="124" t="s">
        <v>520</v>
      </c>
      <c r="D209" s="124" t="s">
        <v>271</v>
      </c>
      <c r="E209" s="124" t="s">
        <v>18</v>
      </c>
      <c r="F209" s="126" t="s">
        <v>122</v>
      </c>
      <c r="G209" s="176">
        <v>3.2822070000000001</v>
      </c>
      <c r="H209" s="230"/>
      <c r="I209" s="232"/>
      <c r="J209" s="234"/>
      <c r="K209" s="251"/>
      <c r="L209" s="228"/>
    </row>
    <row r="210" spans="1:14" x14ac:dyDescent="0.45">
      <c r="A210" s="264"/>
      <c r="B210" s="246"/>
      <c r="C210" s="124" t="s">
        <v>10</v>
      </c>
      <c r="D210" s="126" t="s">
        <v>196</v>
      </c>
      <c r="E210" s="124" t="s">
        <v>18</v>
      </c>
      <c r="F210" s="126" t="s">
        <v>122</v>
      </c>
      <c r="G210" s="176">
        <v>1.5</v>
      </c>
      <c r="H210" s="229" t="s">
        <v>13</v>
      </c>
      <c r="I210" s="231" t="s">
        <v>209</v>
      </c>
      <c r="J210" s="233" t="s">
        <v>21</v>
      </c>
      <c r="K210" s="235" t="s">
        <v>513</v>
      </c>
      <c r="L210" s="226">
        <v>44196</v>
      </c>
    </row>
    <row r="211" spans="1:14" ht="57" x14ac:dyDescent="0.45">
      <c r="A211" s="264"/>
      <c r="B211" s="246"/>
      <c r="C211" s="124" t="s">
        <v>10</v>
      </c>
      <c r="D211" s="126" t="s">
        <v>196</v>
      </c>
      <c r="E211" s="124" t="s">
        <v>12</v>
      </c>
      <c r="F211" s="126" t="s">
        <v>415</v>
      </c>
      <c r="G211" s="176">
        <v>2.5</v>
      </c>
      <c r="H211" s="247"/>
      <c r="I211" s="248"/>
      <c r="J211" s="246"/>
      <c r="K211" s="256"/>
      <c r="L211" s="227"/>
    </row>
    <row r="212" spans="1:14" s="57" customFormat="1" ht="57" x14ac:dyDescent="0.45">
      <c r="A212" s="264"/>
      <c r="B212" s="246"/>
      <c r="C212" s="124" t="s">
        <v>520</v>
      </c>
      <c r="D212" s="126" t="s">
        <v>196</v>
      </c>
      <c r="E212" s="124" t="s">
        <v>12</v>
      </c>
      <c r="F212" s="126" t="s">
        <v>415</v>
      </c>
      <c r="G212" s="176">
        <v>-1.3882749999999999</v>
      </c>
      <c r="H212" s="247"/>
      <c r="I212" s="248"/>
      <c r="J212" s="246"/>
      <c r="K212" s="256"/>
      <c r="L212" s="227"/>
    </row>
    <row r="213" spans="1:14" s="57" customFormat="1" x14ac:dyDescent="0.45">
      <c r="A213" s="264"/>
      <c r="B213" s="246"/>
      <c r="C213" s="124" t="s">
        <v>520</v>
      </c>
      <c r="D213" s="126" t="s">
        <v>196</v>
      </c>
      <c r="E213" s="124" t="s">
        <v>18</v>
      </c>
      <c r="F213" s="126" t="s">
        <v>122</v>
      </c>
      <c r="G213" s="176">
        <v>1.3882749999999999</v>
      </c>
      <c r="H213" s="230"/>
      <c r="I213" s="232"/>
      <c r="J213" s="234"/>
      <c r="K213" s="236"/>
      <c r="L213" s="228"/>
    </row>
    <row r="214" spans="1:14" ht="57" x14ac:dyDescent="0.45">
      <c r="A214" s="264"/>
      <c r="B214" s="246"/>
      <c r="C214" s="124" t="s">
        <v>10</v>
      </c>
      <c r="D214" s="124" t="s">
        <v>11</v>
      </c>
      <c r="E214" s="124" t="s">
        <v>12</v>
      </c>
      <c r="F214" s="126" t="s">
        <v>415</v>
      </c>
      <c r="G214" s="176">
        <v>87.5</v>
      </c>
      <c r="H214" s="124" t="s">
        <v>13</v>
      </c>
      <c r="I214" s="125" t="s">
        <v>14</v>
      </c>
      <c r="J214" s="126" t="s">
        <v>453</v>
      </c>
      <c r="K214" s="127"/>
      <c r="L214" s="129"/>
    </row>
    <row r="215" spans="1:14" ht="57" x14ac:dyDescent="0.45">
      <c r="A215" s="264"/>
      <c r="B215" s="246"/>
      <c r="C215" s="124" t="s">
        <v>10</v>
      </c>
      <c r="D215" s="124" t="s">
        <v>223</v>
      </c>
      <c r="E215" s="124" t="s">
        <v>12</v>
      </c>
      <c r="F215" s="126" t="s">
        <v>415</v>
      </c>
      <c r="G215" s="176">
        <v>15</v>
      </c>
      <c r="H215" s="124" t="s">
        <v>13</v>
      </c>
      <c r="I215" s="125" t="s">
        <v>142</v>
      </c>
      <c r="J215" s="126" t="s">
        <v>21</v>
      </c>
      <c r="K215" s="127" t="s">
        <v>467</v>
      </c>
      <c r="L215" s="123">
        <v>44153</v>
      </c>
    </row>
    <row r="216" spans="1:14" ht="57" x14ac:dyDescent="0.45">
      <c r="A216" s="264"/>
      <c r="B216" s="246"/>
      <c r="C216" s="124" t="s">
        <v>10</v>
      </c>
      <c r="D216" s="124" t="s">
        <v>272</v>
      </c>
      <c r="E216" s="124" t="s">
        <v>12</v>
      </c>
      <c r="F216" s="126" t="s">
        <v>415</v>
      </c>
      <c r="G216" s="176">
        <v>90.021000000000001</v>
      </c>
      <c r="H216" s="287" t="s">
        <v>13</v>
      </c>
      <c r="I216" s="255" t="s">
        <v>43</v>
      </c>
      <c r="J216" s="283" t="s">
        <v>205</v>
      </c>
      <c r="K216" s="284"/>
      <c r="L216" s="285"/>
    </row>
    <row r="217" spans="1:14" x14ac:dyDescent="0.45">
      <c r="A217" s="264"/>
      <c r="B217" s="246"/>
      <c r="C217" s="124" t="s">
        <v>10</v>
      </c>
      <c r="D217" s="124" t="s">
        <v>272</v>
      </c>
      <c r="E217" s="124" t="s">
        <v>18</v>
      </c>
      <c r="F217" s="126" t="s">
        <v>122</v>
      </c>
      <c r="G217" s="176">
        <v>15.879</v>
      </c>
      <c r="H217" s="287"/>
      <c r="I217" s="255"/>
      <c r="J217" s="283"/>
      <c r="K217" s="284"/>
      <c r="L217" s="285"/>
    </row>
    <row r="218" spans="1:14" ht="57" x14ac:dyDescent="0.45">
      <c r="A218" s="264"/>
      <c r="B218" s="246"/>
      <c r="C218" s="124" t="s">
        <v>10</v>
      </c>
      <c r="D218" s="124" t="s">
        <v>71</v>
      </c>
      <c r="E218" s="124" t="s">
        <v>12</v>
      </c>
      <c r="F218" s="126" t="s">
        <v>415</v>
      </c>
      <c r="G218" s="176">
        <v>26.923988000000001</v>
      </c>
      <c r="H218" s="229" t="s">
        <v>13</v>
      </c>
      <c r="I218" s="231" t="s">
        <v>177</v>
      </c>
      <c r="J218" s="233" t="s">
        <v>453</v>
      </c>
      <c r="K218" s="249"/>
      <c r="L218" s="226"/>
      <c r="N218" s="98"/>
    </row>
    <row r="219" spans="1:14" x14ac:dyDescent="0.45">
      <c r="A219" s="264"/>
      <c r="B219" s="246"/>
      <c r="C219" s="124" t="s">
        <v>10</v>
      </c>
      <c r="D219" s="124" t="s">
        <v>71</v>
      </c>
      <c r="E219" s="124" t="s">
        <v>18</v>
      </c>
      <c r="F219" s="126" t="s">
        <v>122</v>
      </c>
      <c r="G219" s="176">
        <v>19.776012000000001</v>
      </c>
      <c r="H219" s="247"/>
      <c r="I219" s="248"/>
      <c r="J219" s="246"/>
      <c r="K219" s="250"/>
      <c r="L219" s="227"/>
    </row>
    <row r="220" spans="1:14" s="57" customFormat="1" ht="57" x14ac:dyDescent="0.45">
      <c r="A220" s="264"/>
      <c r="B220" s="246"/>
      <c r="C220" s="124" t="s">
        <v>520</v>
      </c>
      <c r="D220" s="124" t="s">
        <v>71</v>
      </c>
      <c r="E220" s="124" t="s">
        <v>12</v>
      </c>
      <c r="F220" s="126" t="s">
        <v>415</v>
      </c>
      <c r="G220" s="176">
        <v>-9.4615969999999994</v>
      </c>
      <c r="H220" s="247"/>
      <c r="I220" s="248"/>
      <c r="J220" s="246"/>
      <c r="K220" s="250"/>
      <c r="L220" s="227"/>
    </row>
    <row r="221" spans="1:14" s="57" customFormat="1" x14ac:dyDescent="0.45">
      <c r="A221" s="264"/>
      <c r="B221" s="246"/>
      <c r="C221" s="124" t="s">
        <v>520</v>
      </c>
      <c r="D221" s="124" t="s">
        <v>71</v>
      </c>
      <c r="E221" s="124" t="s">
        <v>18</v>
      </c>
      <c r="F221" s="126" t="s">
        <v>122</v>
      </c>
      <c r="G221" s="176">
        <f>0.2+9.261597</f>
        <v>9.4615969999999994</v>
      </c>
      <c r="H221" s="230"/>
      <c r="I221" s="232"/>
      <c r="J221" s="234"/>
      <c r="K221" s="251"/>
      <c r="L221" s="228"/>
    </row>
    <row r="222" spans="1:14" ht="57" x14ac:dyDescent="0.45">
      <c r="A222" s="264"/>
      <c r="B222" s="246"/>
      <c r="C222" s="124" t="s">
        <v>10</v>
      </c>
      <c r="D222" s="124" t="s">
        <v>273</v>
      </c>
      <c r="E222" s="124" t="s">
        <v>12</v>
      </c>
      <c r="F222" s="126" t="s">
        <v>415</v>
      </c>
      <c r="G222" s="176">
        <v>14.522803</v>
      </c>
      <c r="H222" s="287" t="s">
        <v>13</v>
      </c>
      <c r="I222" s="255" t="s">
        <v>274</v>
      </c>
      <c r="J222" s="283" t="s">
        <v>21</v>
      </c>
      <c r="K222" s="242" t="s">
        <v>510</v>
      </c>
      <c r="L222" s="286">
        <v>44196</v>
      </c>
    </row>
    <row r="223" spans="1:14" x14ac:dyDescent="0.45">
      <c r="A223" s="264"/>
      <c r="B223" s="246"/>
      <c r="C223" s="124" t="s">
        <v>10</v>
      </c>
      <c r="D223" s="124" t="s">
        <v>273</v>
      </c>
      <c r="E223" s="124" t="s">
        <v>18</v>
      </c>
      <c r="F223" s="126" t="s">
        <v>122</v>
      </c>
      <c r="G223" s="176">
        <f>0.726319+0.444197</f>
        <v>1.1705160000000001</v>
      </c>
      <c r="H223" s="287"/>
      <c r="I223" s="255"/>
      <c r="J223" s="283"/>
      <c r="K223" s="242"/>
      <c r="L223" s="285"/>
    </row>
    <row r="224" spans="1:14" ht="57" x14ac:dyDescent="0.45">
      <c r="A224" s="264"/>
      <c r="B224" s="246"/>
      <c r="C224" s="124" t="s">
        <v>10</v>
      </c>
      <c r="D224" s="124" t="s">
        <v>275</v>
      </c>
      <c r="E224" s="124" t="s">
        <v>12</v>
      </c>
      <c r="F224" s="126" t="s">
        <v>415</v>
      </c>
      <c r="G224" s="176">
        <v>11.338509999999999</v>
      </c>
      <c r="H224" s="287" t="s">
        <v>13</v>
      </c>
      <c r="I224" s="255" t="s">
        <v>276</v>
      </c>
      <c r="J224" s="283" t="s">
        <v>21</v>
      </c>
      <c r="K224" s="242" t="s">
        <v>435</v>
      </c>
      <c r="L224" s="286">
        <v>44135</v>
      </c>
    </row>
    <row r="225" spans="1:12" x14ac:dyDescent="0.45">
      <c r="A225" s="264"/>
      <c r="B225" s="246"/>
      <c r="C225" s="124" t="s">
        <v>10</v>
      </c>
      <c r="D225" s="124" t="s">
        <v>275</v>
      </c>
      <c r="E225" s="124" t="s">
        <v>18</v>
      </c>
      <c r="F225" s="126" t="s">
        <v>122</v>
      </c>
      <c r="G225" s="213">
        <v>5.0575000000000002E-2</v>
      </c>
      <c r="H225" s="287"/>
      <c r="I225" s="255"/>
      <c r="J225" s="283"/>
      <c r="K225" s="242"/>
      <c r="L225" s="285"/>
    </row>
    <row r="226" spans="1:12" ht="57" x14ac:dyDescent="0.45">
      <c r="A226" s="264"/>
      <c r="B226" s="246"/>
      <c r="C226" s="124" t="s">
        <v>10</v>
      </c>
      <c r="D226" s="124" t="s">
        <v>75</v>
      </c>
      <c r="E226" s="124" t="s">
        <v>12</v>
      </c>
      <c r="F226" s="126" t="s">
        <v>415</v>
      </c>
      <c r="G226" s="176">
        <v>9</v>
      </c>
      <c r="H226" s="287" t="s">
        <v>13</v>
      </c>
      <c r="I226" s="255" t="s">
        <v>80</v>
      </c>
      <c r="J226" s="283" t="s">
        <v>453</v>
      </c>
      <c r="K226" s="284"/>
      <c r="L226" s="285"/>
    </row>
    <row r="227" spans="1:12" x14ac:dyDescent="0.45">
      <c r="A227" s="264"/>
      <c r="B227" s="246"/>
      <c r="C227" s="124" t="s">
        <v>10</v>
      </c>
      <c r="D227" s="124" t="s">
        <v>75</v>
      </c>
      <c r="E227" s="124" t="s">
        <v>18</v>
      </c>
      <c r="F227" s="126" t="s">
        <v>122</v>
      </c>
      <c r="G227" s="176">
        <v>6</v>
      </c>
      <c r="H227" s="287"/>
      <c r="I227" s="255"/>
      <c r="J227" s="283"/>
      <c r="K227" s="284"/>
      <c r="L227" s="285"/>
    </row>
    <row r="228" spans="1:12" ht="57" x14ac:dyDescent="0.45">
      <c r="A228" s="264"/>
      <c r="B228" s="246"/>
      <c r="C228" s="124" t="s">
        <v>10</v>
      </c>
      <c r="D228" s="126" t="s">
        <v>277</v>
      </c>
      <c r="E228" s="124" t="s">
        <v>12</v>
      </c>
      <c r="F228" s="126" t="s">
        <v>415</v>
      </c>
      <c r="G228" s="176">
        <v>153.4</v>
      </c>
      <c r="H228" s="124" t="s">
        <v>13</v>
      </c>
      <c r="I228" s="125" t="s">
        <v>256</v>
      </c>
      <c r="J228" s="126" t="s">
        <v>453</v>
      </c>
      <c r="K228" s="127"/>
      <c r="L228" s="129"/>
    </row>
    <row r="229" spans="1:12" ht="57" x14ac:dyDescent="0.45">
      <c r="A229" s="264"/>
      <c r="B229" s="246"/>
      <c r="C229" s="124" t="s">
        <v>10</v>
      </c>
      <c r="D229" s="124" t="s">
        <v>98</v>
      </c>
      <c r="E229" s="124" t="s">
        <v>12</v>
      </c>
      <c r="F229" s="126" t="s">
        <v>415</v>
      </c>
      <c r="G229" s="215">
        <v>1.6E-2</v>
      </c>
      <c r="H229" s="124" t="s">
        <v>13</v>
      </c>
      <c r="I229" s="125" t="s">
        <v>99</v>
      </c>
      <c r="J229" s="126" t="s">
        <v>21</v>
      </c>
      <c r="K229" s="127" t="s">
        <v>461</v>
      </c>
      <c r="L229" s="123">
        <v>44196</v>
      </c>
    </row>
    <row r="230" spans="1:12" ht="57" x14ac:dyDescent="0.45">
      <c r="A230" s="264"/>
      <c r="B230" s="234"/>
      <c r="C230" s="124" t="s">
        <v>10</v>
      </c>
      <c r="D230" s="126" t="s">
        <v>255</v>
      </c>
      <c r="E230" s="124" t="s">
        <v>12</v>
      </c>
      <c r="F230" s="126" t="s">
        <v>415</v>
      </c>
      <c r="G230" s="176">
        <v>50.7</v>
      </c>
      <c r="H230" s="124" t="s">
        <v>13</v>
      </c>
      <c r="I230" s="125" t="s">
        <v>256</v>
      </c>
      <c r="J230" s="126" t="s">
        <v>453</v>
      </c>
      <c r="K230" s="127"/>
      <c r="L230" s="129"/>
    </row>
    <row r="231" spans="1:12" ht="28.5" x14ac:dyDescent="0.45">
      <c r="A231" s="120" t="s">
        <v>436</v>
      </c>
      <c r="B231" s="85">
        <v>369</v>
      </c>
      <c r="C231" s="124" t="s">
        <v>47</v>
      </c>
      <c r="D231" s="126" t="s">
        <v>40</v>
      </c>
      <c r="E231" s="124" t="s">
        <v>122</v>
      </c>
      <c r="F231" s="126" t="s">
        <v>413</v>
      </c>
      <c r="G231" s="176" t="s">
        <v>122</v>
      </c>
      <c r="H231" s="124" t="s">
        <v>13</v>
      </c>
      <c r="I231" s="125" t="s">
        <v>41</v>
      </c>
      <c r="J231" s="126" t="s">
        <v>473</v>
      </c>
      <c r="K231" s="127"/>
      <c r="L231" s="129"/>
    </row>
    <row r="232" spans="1:12" ht="28.5" x14ac:dyDescent="0.45">
      <c r="A232" s="120" t="s">
        <v>278</v>
      </c>
      <c r="B232" s="96">
        <v>1019</v>
      </c>
      <c r="C232" s="124" t="s">
        <v>47</v>
      </c>
      <c r="D232" s="126" t="s">
        <v>40</v>
      </c>
      <c r="E232" s="124" t="s">
        <v>122</v>
      </c>
      <c r="F232" s="126" t="s">
        <v>413</v>
      </c>
      <c r="G232" s="176" t="s">
        <v>122</v>
      </c>
      <c r="H232" s="124" t="s">
        <v>13</v>
      </c>
      <c r="I232" s="125" t="s">
        <v>41</v>
      </c>
      <c r="J232" s="126" t="s">
        <v>473</v>
      </c>
      <c r="K232" s="127"/>
      <c r="L232" s="129"/>
    </row>
    <row r="233" spans="1:12" ht="28.5" x14ac:dyDescent="0.45">
      <c r="A233" s="264" t="s">
        <v>279</v>
      </c>
      <c r="B233" s="233">
        <v>900</v>
      </c>
      <c r="C233" s="124" t="s">
        <v>28</v>
      </c>
      <c r="D233" s="126" t="s">
        <v>40</v>
      </c>
      <c r="E233" s="124" t="s">
        <v>12</v>
      </c>
      <c r="F233" s="126" t="s">
        <v>413</v>
      </c>
      <c r="G233" s="184">
        <v>912</v>
      </c>
      <c r="H233" s="229" t="s">
        <v>90</v>
      </c>
      <c r="I233" s="229"/>
      <c r="J233" s="233"/>
      <c r="K233" s="231"/>
      <c r="L233" s="257"/>
    </row>
    <row r="234" spans="1:12" ht="28.5" x14ac:dyDescent="0.45">
      <c r="A234" s="264"/>
      <c r="B234" s="234"/>
      <c r="C234" s="124" t="s">
        <v>10</v>
      </c>
      <c r="D234" s="126" t="s">
        <v>40</v>
      </c>
      <c r="E234" s="124" t="s">
        <v>12</v>
      </c>
      <c r="F234" s="126" t="s">
        <v>413</v>
      </c>
      <c r="G234" s="176">
        <v>-912</v>
      </c>
      <c r="H234" s="230"/>
      <c r="I234" s="230"/>
      <c r="J234" s="234"/>
      <c r="K234" s="232"/>
      <c r="L234" s="259"/>
    </row>
    <row r="235" spans="1:12" ht="28.5" x14ac:dyDescent="0.45">
      <c r="A235" s="264" t="s">
        <v>280</v>
      </c>
      <c r="B235" s="233">
        <v>270</v>
      </c>
      <c r="C235" s="124" t="s">
        <v>28</v>
      </c>
      <c r="D235" s="126" t="s">
        <v>37</v>
      </c>
      <c r="E235" s="124" t="s">
        <v>12</v>
      </c>
      <c r="F235" s="126" t="s">
        <v>413</v>
      </c>
      <c r="G235" s="176">
        <v>269.98689999999999</v>
      </c>
      <c r="H235" s="287" t="s">
        <v>13</v>
      </c>
      <c r="I235" s="255" t="s">
        <v>43</v>
      </c>
      <c r="J235" s="283" t="s">
        <v>21</v>
      </c>
      <c r="K235" s="284" t="s">
        <v>281</v>
      </c>
      <c r="L235" s="286">
        <v>44069</v>
      </c>
    </row>
    <row r="236" spans="1:12" ht="28.5" x14ac:dyDescent="0.45">
      <c r="A236" s="264"/>
      <c r="B236" s="246"/>
      <c r="C236" s="124" t="s">
        <v>10</v>
      </c>
      <c r="D236" s="126" t="s">
        <v>37</v>
      </c>
      <c r="E236" s="124" t="s">
        <v>12</v>
      </c>
      <c r="F236" s="126" t="s">
        <v>413</v>
      </c>
      <c r="G236" s="176">
        <v>-7.2362219999999997</v>
      </c>
      <c r="H236" s="287"/>
      <c r="I236" s="255"/>
      <c r="J236" s="283"/>
      <c r="K236" s="284"/>
      <c r="L236" s="285"/>
    </row>
    <row r="237" spans="1:12" s="57" customFormat="1" x14ac:dyDescent="0.45">
      <c r="A237" s="264"/>
      <c r="B237" s="246"/>
      <c r="C237" s="124" t="s">
        <v>10</v>
      </c>
      <c r="D237" s="126" t="s">
        <v>37</v>
      </c>
      <c r="E237" s="124" t="s">
        <v>18</v>
      </c>
      <c r="F237" s="126" t="s">
        <v>122</v>
      </c>
      <c r="G237" s="176">
        <v>7.2362219999999997</v>
      </c>
      <c r="H237" s="287"/>
      <c r="I237" s="255"/>
      <c r="J237" s="283"/>
      <c r="K237" s="284"/>
      <c r="L237" s="285"/>
    </row>
    <row r="238" spans="1:12" s="57" customFormat="1" ht="28.5" x14ac:dyDescent="0.45">
      <c r="A238" s="264"/>
      <c r="B238" s="246"/>
      <c r="C238" s="124" t="s">
        <v>520</v>
      </c>
      <c r="D238" s="126" t="s">
        <v>37</v>
      </c>
      <c r="E238" s="124" t="s">
        <v>12</v>
      </c>
      <c r="F238" s="126" t="s">
        <v>413</v>
      </c>
      <c r="G238" s="176">
        <v>-2.5944470000000002</v>
      </c>
      <c r="H238" s="287"/>
      <c r="I238" s="255"/>
      <c r="J238" s="283"/>
      <c r="K238" s="284"/>
      <c r="L238" s="285"/>
    </row>
    <row r="239" spans="1:12" x14ac:dyDescent="0.45">
      <c r="A239" s="264"/>
      <c r="B239" s="234"/>
      <c r="C239" s="139" t="s">
        <v>520</v>
      </c>
      <c r="D239" s="126" t="s">
        <v>37</v>
      </c>
      <c r="E239" s="139" t="s">
        <v>18</v>
      </c>
      <c r="F239" s="118" t="s">
        <v>122</v>
      </c>
      <c r="G239" s="185">
        <f>0.397689+2.104984</f>
        <v>2.5026730000000001</v>
      </c>
      <c r="H239" s="287"/>
      <c r="I239" s="255"/>
      <c r="J239" s="283"/>
      <c r="K239" s="284"/>
      <c r="L239" s="285"/>
    </row>
    <row r="240" spans="1:12" ht="57" x14ac:dyDescent="0.45">
      <c r="A240" s="264" t="s">
        <v>282</v>
      </c>
      <c r="B240" s="233">
        <v>8</v>
      </c>
      <c r="C240" s="124" t="s">
        <v>28</v>
      </c>
      <c r="D240" s="126" t="s">
        <v>19</v>
      </c>
      <c r="E240" s="124" t="s">
        <v>12</v>
      </c>
      <c r="F240" s="126" t="s">
        <v>415</v>
      </c>
      <c r="G240" s="176">
        <v>7.5</v>
      </c>
      <c r="H240" s="287" t="s">
        <v>13</v>
      </c>
      <c r="I240" s="255" t="s">
        <v>85</v>
      </c>
      <c r="J240" s="283" t="s">
        <v>21</v>
      </c>
      <c r="K240" s="284" t="s">
        <v>449</v>
      </c>
      <c r="L240" s="286">
        <v>44227</v>
      </c>
    </row>
    <row r="241" spans="1:12" ht="57" x14ac:dyDescent="0.45">
      <c r="A241" s="264"/>
      <c r="B241" s="246"/>
      <c r="C241" s="124" t="s">
        <v>10</v>
      </c>
      <c r="D241" s="126" t="s">
        <v>19</v>
      </c>
      <c r="E241" s="124" t="s">
        <v>12</v>
      </c>
      <c r="F241" s="126" t="s">
        <v>415</v>
      </c>
      <c r="G241" s="176">
        <v>-3.299229</v>
      </c>
      <c r="H241" s="287"/>
      <c r="I241" s="255"/>
      <c r="J241" s="283"/>
      <c r="K241" s="284"/>
      <c r="L241" s="285"/>
    </row>
    <row r="242" spans="1:12" x14ac:dyDescent="0.45">
      <c r="A242" s="264"/>
      <c r="B242" s="234"/>
      <c r="C242" s="124" t="s">
        <v>10</v>
      </c>
      <c r="D242" s="126" t="s">
        <v>19</v>
      </c>
      <c r="E242" s="124" t="s">
        <v>18</v>
      </c>
      <c r="F242" s="126" t="s">
        <v>122</v>
      </c>
      <c r="G242" s="176">
        <v>3.299229</v>
      </c>
      <c r="H242" s="287"/>
      <c r="I242" s="255"/>
      <c r="J242" s="283"/>
      <c r="K242" s="284"/>
      <c r="L242" s="285"/>
    </row>
    <row r="243" spans="1:12" ht="57" x14ac:dyDescent="0.45">
      <c r="A243" s="120" t="s">
        <v>283</v>
      </c>
      <c r="B243" s="85">
        <v>20</v>
      </c>
      <c r="C243" s="124" t="s">
        <v>28</v>
      </c>
      <c r="D243" s="126" t="s">
        <v>40</v>
      </c>
      <c r="E243" s="124" t="s">
        <v>12</v>
      </c>
      <c r="F243" s="126" t="s">
        <v>415</v>
      </c>
      <c r="G243" s="176">
        <v>20</v>
      </c>
      <c r="H243" s="124" t="s">
        <v>574</v>
      </c>
      <c r="I243" s="124" t="s">
        <v>122</v>
      </c>
      <c r="J243" s="137" t="s">
        <v>284</v>
      </c>
      <c r="K243" s="138" t="s">
        <v>285</v>
      </c>
      <c r="L243" s="129" t="s">
        <v>93</v>
      </c>
    </row>
    <row r="244" spans="1:12" ht="28.5" x14ac:dyDescent="0.45">
      <c r="A244" s="120" t="s">
        <v>286</v>
      </c>
      <c r="B244" s="85">
        <v>365</v>
      </c>
      <c r="C244" s="124" t="s">
        <v>47</v>
      </c>
      <c r="D244" s="124" t="s">
        <v>153</v>
      </c>
      <c r="E244" s="124" t="s">
        <v>122</v>
      </c>
      <c r="F244" s="126" t="s">
        <v>413</v>
      </c>
      <c r="G244" s="176" t="s">
        <v>122</v>
      </c>
      <c r="H244" s="124" t="s">
        <v>13</v>
      </c>
      <c r="I244" s="125" t="s">
        <v>185</v>
      </c>
      <c r="J244" s="126" t="s">
        <v>21</v>
      </c>
      <c r="K244" s="127" t="s">
        <v>138</v>
      </c>
      <c r="L244" s="129"/>
    </row>
    <row r="245" spans="1:12" ht="28.5" x14ac:dyDescent="0.45">
      <c r="A245" s="120" t="s">
        <v>287</v>
      </c>
      <c r="B245" s="85">
        <v>20</v>
      </c>
      <c r="C245" s="124" t="s">
        <v>10</v>
      </c>
      <c r="D245" s="126" t="s">
        <v>288</v>
      </c>
      <c r="E245" s="124" t="s">
        <v>12</v>
      </c>
      <c r="F245" s="126" t="s">
        <v>417</v>
      </c>
      <c r="G245" s="176">
        <v>20</v>
      </c>
      <c r="H245" s="124" t="s">
        <v>13</v>
      </c>
      <c r="I245" s="125" t="s">
        <v>289</v>
      </c>
      <c r="J245" s="126" t="s">
        <v>21</v>
      </c>
      <c r="K245" s="138" t="s">
        <v>512</v>
      </c>
      <c r="L245" s="123">
        <v>44210</v>
      </c>
    </row>
    <row r="246" spans="1:12" ht="60" customHeight="1" x14ac:dyDescent="0.45">
      <c r="A246" s="264" t="s">
        <v>290</v>
      </c>
      <c r="B246" s="233">
        <v>350</v>
      </c>
      <c r="C246" s="287" t="s">
        <v>28</v>
      </c>
      <c r="D246" s="283" t="s">
        <v>40</v>
      </c>
      <c r="E246" s="287" t="s">
        <v>12</v>
      </c>
      <c r="F246" s="283" t="s">
        <v>415</v>
      </c>
      <c r="G246" s="337">
        <v>350</v>
      </c>
      <c r="H246" s="287" t="s">
        <v>574</v>
      </c>
      <c r="I246" s="333" t="s">
        <v>122</v>
      </c>
      <c r="J246" s="137" t="s">
        <v>291</v>
      </c>
      <c r="K246" s="138" t="s">
        <v>292</v>
      </c>
      <c r="L246" s="123" t="s">
        <v>93</v>
      </c>
    </row>
    <row r="247" spans="1:12" ht="42.75" x14ac:dyDescent="0.45">
      <c r="A247" s="264"/>
      <c r="B247" s="246"/>
      <c r="C247" s="287"/>
      <c r="D247" s="283"/>
      <c r="E247" s="287"/>
      <c r="F247" s="283"/>
      <c r="G247" s="337"/>
      <c r="H247" s="287"/>
      <c r="I247" s="333"/>
      <c r="J247" s="137" t="s">
        <v>293</v>
      </c>
      <c r="K247" s="138" t="s">
        <v>294</v>
      </c>
      <c r="L247" s="123" t="s">
        <v>93</v>
      </c>
    </row>
    <row r="248" spans="1:12" ht="42.75" x14ac:dyDescent="0.45">
      <c r="A248" s="264"/>
      <c r="B248" s="234"/>
      <c r="C248" s="287"/>
      <c r="D248" s="283"/>
      <c r="E248" s="287"/>
      <c r="F248" s="283"/>
      <c r="G248" s="337"/>
      <c r="H248" s="287"/>
      <c r="I248" s="333"/>
      <c r="J248" s="137" t="s">
        <v>295</v>
      </c>
      <c r="K248" s="138" t="s">
        <v>296</v>
      </c>
      <c r="L248" s="123">
        <v>44102</v>
      </c>
    </row>
    <row r="249" spans="1:12" ht="28.5" x14ac:dyDescent="0.45">
      <c r="A249" s="264" t="s">
        <v>297</v>
      </c>
      <c r="B249" s="233">
        <f>75+100</f>
        <v>175</v>
      </c>
      <c r="C249" s="124" t="s">
        <v>28</v>
      </c>
      <c r="D249" s="126" t="s">
        <v>96</v>
      </c>
      <c r="E249" s="124" t="s">
        <v>12</v>
      </c>
      <c r="F249" s="126" t="s">
        <v>413</v>
      </c>
      <c r="G249" s="176">
        <v>75</v>
      </c>
      <c r="H249" s="287" t="s">
        <v>13</v>
      </c>
      <c r="I249" s="255" t="s">
        <v>97</v>
      </c>
      <c r="J249" s="283" t="s">
        <v>21</v>
      </c>
      <c r="K249" s="242" t="s">
        <v>479</v>
      </c>
      <c r="L249" s="286">
        <v>44195</v>
      </c>
    </row>
    <row r="250" spans="1:12" x14ac:dyDescent="0.45">
      <c r="A250" s="264"/>
      <c r="B250" s="246"/>
      <c r="C250" s="124" t="s">
        <v>10</v>
      </c>
      <c r="D250" s="126" t="s">
        <v>271</v>
      </c>
      <c r="E250" s="124" t="s">
        <v>18</v>
      </c>
      <c r="F250" s="126" t="s">
        <v>122</v>
      </c>
      <c r="G250" s="176">
        <v>50</v>
      </c>
      <c r="H250" s="287"/>
      <c r="I250" s="255"/>
      <c r="J250" s="283"/>
      <c r="K250" s="242"/>
      <c r="L250" s="286"/>
    </row>
    <row r="251" spans="1:12" ht="28.5" x14ac:dyDescent="0.45">
      <c r="A251" s="264"/>
      <c r="B251" s="234"/>
      <c r="C251" s="124" t="s">
        <v>10</v>
      </c>
      <c r="D251" s="126" t="s">
        <v>271</v>
      </c>
      <c r="E251" s="124" t="s">
        <v>12</v>
      </c>
      <c r="F251" s="126" t="s">
        <v>417</v>
      </c>
      <c r="G251" s="176">
        <v>50</v>
      </c>
      <c r="H251" s="287"/>
      <c r="I251" s="255"/>
      <c r="J251" s="283"/>
      <c r="K251" s="242"/>
      <c r="L251" s="286"/>
    </row>
    <row r="252" spans="1:12" ht="28.5" x14ac:dyDescent="0.45">
      <c r="A252" s="243" t="s">
        <v>298</v>
      </c>
      <c r="B252" s="233">
        <v>50</v>
      </c>
      <c r="C252" s="124" t="s">
        <v>10</v>
      </c>
      <c r="D252" s="124" t="s">
        <v>299</v>
      </c>
      <c r="E252" s="124" t="s">
        <v>12</v>
      </c>
      <c r="F252" s="126" t="s">
        <v>417</v>
      </c>
      <c r="G252" s="176">
        <v>50</v>
      </c>
      <c r="H252" s="229" t="s">
        <v>13</v>
      </c>
      <c r="I252" s="231" t="s">
        <v>300</v>
      </c>
      <c r="J252" s="229" t="s">
        <v>21</v>
      </c>
      <c r="K252" s="235" t="s">
        <v>545</v>
      </c>
      <c r="L252" s="226">
        <v>44214</v>
      </c>
    </row>
    <row r="253" spans="1:12" s="57" customFormat="1" ht="28.5" x14ac:dyDescent="0.45">
      <c r="A253" s="244"/>
      <c r="B253" s="246"/>
      <c r="C253" s="124" t="s">
        <v>520</v>
      </c>
      <c r="D253" s="124" t="s">
        <v>299</v>
      </c>
      <c r="E253" s="124" t="s">
        <v>12</v>
      </c>
      <c r="F253" s="126" t="s">
        <v>417</v>
      </c>
      <c r="G253" s="176">
        <v>-8.6999999999999993</v>
      </c>
      <c r="H253" s="247"/>
      <c r="I253" s="248"/>
      <c r="J253" s="247"/>
      <c r="K253" s="256"/>
      <c r="L253" s="227"/>
    </row>
    <row r="254" spans="1:12" s="57" customFormat="1" x14ac:dyDescent="0.45">
      <c r="A254" s="245"/>
      <c r="B254" s="234"/>
      <c r="C254" s="124" t="s">
        <v>520</v>
      </c>
      <c r="D254" s="124" t="s">
        <v>299</v>
      </c>
      <c r="E254" s="124" t="s">
        <v>18</v>
      </c>
      <c r="F254" s="126" t="s">
        <v>122</v>
      </c>
      <c r="G254" s="176">
        <v>8.6999999999999993</v>
      </c>
      <c r="H254" s="230"/>
      <c r="I254" s="232"/>
      <c r="J254" s="230"/>
      <c r="K254" s="236"/>
      <c r="L254" s="228"/>
    </row>
    <row r="255" spans="1:12" x14ac:dyDescent="0.45">
      <c r="A255" s="264" t="s">
        <v>301</v>
      </c>
      <c r="B255" s="233">
        <v>50</v>
      </c>
      <c r="C255" s="124" t="s">
        <v>28</v>
      </c>
      <c r="D255" s="126" t="s">
        <v>299</v>
      </c>
      <c r="E255" s="124" t="s">
        <v>18</v>
      </c>
      <c r="F255" s="126" t="s">
        <v>122</v>
      </c>
      <c r="G255" s="176">
        <v>10</v>
      </c>
      <c r="H255" s="287" t="s">
        <v>13</v>
      </c>
      <c r="I255" s="255" t="s">
        <v>300</v>
      </c>
      <c r="J255" s="283" t="s">
        <v>21</v>
      </c>
      <c r="K255" s="249" t="s">
        <v>544</v>
      </c>
      <c r="L255" s="226">
        <v>44214</v>
      </c>
    </row>
    <row r="256" spans="1:12" ht="28.5" x14ac:dyDescent="0.45">
      <c r="A256" s="264"/>
      <c r="B256" s="246"/>
      <c r="C256" s="124" t="s">
        <v>28</v>
      </c>
      <c r="D256" s="126" t="s">
        <v>299</v>
      </c>
      <c r="E256" s="124" t="s">
        <v>12</v>
      </c>
      <c r="F256" s="126" t="s">
        <v>413</v>
      </c>
      <c r="G256" s="176">
        <v>30</v>
      </c>
      <c r="H256" s="287"/>
      <c r="I256" s="255"/>
      <c r="J256" s="283"/>
      <c r="K256" s="251"/>
      <c r="L256" s="228"/>
    </row>
    <row r="257" spans="1:12" ht="28.5" x14ac:dyDescent="0.45">
      <c r="A257" s="264"/>
      <c r="B257" s="234"/>
      <c r="C257" s="124" t="s">
        <v>28</v>
      </c>
      <c r="D257" s="126" t="s">
        <v>37</v>
      </c>
      <c r="E257" s="124" t="s">
        <v>12</v>
      </c>
      <c r="F257" s="126" t="s">
        <v>413</v>
      </c>
      <c r="G257" s="176">
        <v>10</v>
      </c>
      <c r="H257" s="124" t="s">
        <v>13</v>
      </c>
      <c r="I257" s="125" t="s">
        <v>43</v>
      </c>
      <c r="J257" s="126" t="s">
        <v>252</v>
      </c>
      <c r="K257" s="127" t="s">
        <v>302</v>
      </c>
      <c r="L257" s="129"/>
    </row>
    <row r="258" spans="1:12" ht="29.25" customHeight="1" x14ac:dyDescent="0.45">
      <c r="A258" s="120" t="s">
        <v>303</v>
      </c>
      <c r="B258" s="85">
        <v>5</v>
      </c>
      <c r="C258" s="124" t="s">
        <v>47</v>
      </c>
      <c r="D258" s="124" t="s">
        <v>37</v>
      </c>
      <c r="E258" s="124" t="s">
        <v>122</v>
      </c>
      <c r="F258" s="126" t="s">
        <v>122</v>
      </c>
      <c r="G258" s="176" t="s">
        <v>122</v>
      </c>
      <c r="H258" s="124" t="s">
        <v>13</v>
      </c>
      <c r="I258" s="125" t="s">
        <v>43</v>
      </c>
      <c r="J258" s="126" t="s">
        <v>252</v>
      </c>
      <c r="K258" s="127" t="s">
        <v>302</v>
      </c>
      <c r="L258" s="129"/>
    </row>
    <row r="259" spans="1:12" ht="28.5" x14ac:dyDescent="0.45">
      <c r="A259" s="120" t="s">
        <v>304</v>
      </c>
      <c r="B259" s="96">
        <v>1500</v>
      </c>
      <c r="C259" s="124" t="s">
        <v>10</v>
      </c>
      <c r="D259" s="126" t="s">
        <v>40</v>
      </c>
      <c r="E259" s="124" t="s">
        <v>12</v>
      </c>
      <c r="F259" s="126" t="s">
        <v>417</v>
      </c>
      <c r="G259" s="182">
        <v>1500</v>
      </c>
      <c r="H259" s="124" t="s">
        <v>13</v>
      </c>
      <c r="I259" s="125" t="s">
        <v>41</v>
      </c>
      <c r="J259" s="126" t="s">
        <v>21</v>
      </c>
      <c r="K259" s="138" t="s">
        <v>447</v>
      </c>
      <c r="L259" s="123">
        <v>44160</v>
      </c>
    </row>
    <row r="260" spans="1:12" x14ac:dyDescent="0.45">
      <c r="A260" s="243" t="s">
        <v>305</v>
      </c>
      <c r="B260" s="233">
        <v>758</v>
      </c>
      <c r="C260" s="124" t="s">
        <v>10</v>
      </c>
      <c r="D260" s="126" t="s">
        <v>196</v>
      </c>
      <c r="E260" s="124" t="s">
        <v>18</v>
      </c>
      <c r="F260" s="126" t="s">
        <v>122</v>
      </c>
      <c r="G260" s="182">
        <v>253.75</v>
      </c>
      <c r="H260" s="229" t="s">
        <v>13</v>
      </c>
      <c r="I260" s="231" t="s">
        <v>209</v>
      </c>
      <c r="J260" s="233" t="s">
        <v>21</v>
      </c>
      <c r="K260" s="249" t="s">
        <v>576</v>
      </c>
      <c r="L260" s="226">
        <v>44243</v>
      </c>
    </row>
    <row r="261" spans="1:12" ht="28.5" x14ac:dyDescent="0.45">
      <c r="A261" s="244"/>
      <c r="B261" s="246"/>
      <c r="C261" s="124" t="s">
        <v>10</v>
      </c>
      <c r="D261" s="126" t="s">
        <v>196</v>
      </c>
      <c r="E261" s="124" t="s">
        <v>12</v>
      </c>
      <c r="F261" s="126" t="s">
        <v>417</v>
      </c>
      <c r="G261" s="182">
        <v>503.75</v>
      </c>
      <c r="H261" s="247"/>
      <c r="I261" s="248"/>
      <c r="J261" s="246"/>
      <c r="K261" s="250"/>
      <c r="L261" s="227"/>
    </row>
    <row r="262" spans="1:12" s="57" customFormat="1" ht="28.5" x14ac:dyDescent="0.45">
      <c r="A262" s="244"/>
      <c r="B262" s="246"/>
      <c r="C262" s="124" t="s">
        <v>520</v>
      </c>
      <c r="D262" s="126" t="s">
        <v>196</v>
      </c>
      <c r="E262" s="124" t="s">
        <v>12</v>
      </c>
      <c r="F262" s="126" t="s">
        <v>417</v>
      </c>
      <c r="G262" s="182">
        <v>-3.4807480000000002</v>
      </c>
      <c r="H262" s="247"/>
      <c r="I262" s="248"/>
      <c r="J262" s="246"/>
      <c r="K262" s="250"/>
      <c r="L262" s="227"/>
    </row>
    <row r="263" spans="1:12" s="57" customFormat="1" x14ac:dyDescent="0.45">
      <c r="A263" s="245"/>
      <c r="B263" s="234"/>
      <c r="C263" s="124" t="s">
        <v>520</v>
      </c>
      <c r="D263" s="126" t="s">
        <v>196</v>
      </c>
      <c r="E263" s="124" t="s">
        <v>18</v>
      </c>
      <c r="F263" s="126" t="s">
        <v>122</v>
      </c>
      <c r="G263" s="182">
        <v>3.4807480000000002</v>
      </c>
      <c r="H263" s="230"/>
      <c r="I263" s="232"/>
      <c r="J263" s="234"/>
      <c r="K263" s="251"/>
      <c r="L263" s="228"/>
    </row>
    <row r="264" spans="1:12" x14ac:dyDescent="0.45">
      <c r="A264" s="120" t="s">
        <v>306</v>
      </c>
      <c r="B264" s="85">
        <v>31</v>
      </c>
      <c r="C264" s="124" t="s">
        <v>10</v>
      </c>
      <c r="D264" s="126" t="s">
        <v>245</v>
      </c>
      <c r="E264" s="124" t="s">
        <v>18</v>
      </c>
      <c r="F264" s="126" t="s">
        <v>122</v>
      </c>
      <c r="G264" s="182">
        <f>30+0.511094</f>
        <v>30.511094</v>
      </c>
      <c r="H264" s="124" t="s">
        <v>13</v>
      </c>
      <c r="I264" s="125" t="s">
        <v>274</v>
      </c>
      <c r="J264" s="126" t="s">
        <v>21</v>
      </c>
      <c r="K264" s="127" t="s">
        <v>511</v>
      </c>
      <c r="L264" s="123">
        <v>44196</v>
      </c>
    </row>
    <row r="265" spans="1:12" x14ac:dyDescent="0.45">
      <c r="A265" s="243" t="s">
        <v>307</v>
      </c>
      <c r="B265" s="233">
        <v>10</v>
      </c>
      <c r="C265" s="124" t="s">
        <v>520</v>
      </c>
      <c r="D265" s="126" t="s">
        <v>168</v>
      </c>
      <c r="E265" s="124" t="s">
        <v>18</v>
      </c>
      <c r="F265" s="126" t="s">
        <v>122</v>
      </c>
      <c r="G265" s="213">
        <f>0.235939+0.024684</f>
        <v>0.26062299999999999</v>
      </c>
      <c r="H265" s="229" t="s">
        <v>13</v>
      </c>
      <c r="I265" s="231" t="s">
        <v>177</v>
      </c>
      <c r="J265" s="233" t="s">
        <v>252</v>
      </c>
      <c r="K265" s="235"/>
      <c r="L265" s="257"/>
    </row>
    <row r="266" spans="1:12" s="57" customFormat="1" ht="28.5" x14ac:dyDescent="0.45">
      <c r="A266" s="245"/>
      <c r="B266" s="234"/>
      <c r="C266" s="124" t="s">
        <v>520</v>
      </c>
      <c r="D266" s="126" t="s">
        <v>173</v>
      </c>
      <c r="E266" s="124" t="s">
        <v>18</v>
      </c>
      <c r="F266" s="126" t="s">
        <v>122</v>
      </c>
      <c r="G266" s="213">
        <v>0.10349999999999999</v>
      </c>
      <c r="H266" s="230"/>
      <c r="I266" s="232"/>
      <c r="J266" s="234"/>
      <c r="K266" s="236"/>
      <c r="L266" s="259"/>
    </row>
    <row r="267" spans="1:12" x14ac:dyDescent="0.45">
      <c r="A267" s="120" t="s">
        <v>308</v>
      </c>
      <c r="B267" s="85">
        <v>151</v>
      </c>
      <c r="C267" s="124" t="s">
        <v>520</v>
      </c>
      <c r="D267" s="124" t="s">
        <v>410</v>
      </c>
      <c r="E267" s="124" t="s">
        <v>18</v>
      </c>
      <c r="F267" s="126" t="s">
        <v>122</v>
      </c>
      <c r="G267" s="176">
        <v>135.75823500000001</v>
      </c>
      <c r="H267" s="124" t="s">
        <v>13</v>
      </c>
      <c r="I267" s="125" t="s">
        <v>486</v>
      </c>
      <c r="J267" s="126" t="s">
        <v>21</v>
      </c>
      <c r="K267" s="127" t="s">
        <v>557</v>
      </c>
      <c r="L267" s="192">
        <v>44227</v>
      </c>
    </row>
    <row r="268" spans="1:12" x14ac:dyDescent="0.45">
      <c r="A268" s="243" t="s">
        <v>309</v>
      </c>
      <c r="B268" s="233">
        <f>74+54</f>
        <v>128</v>
      </c>
      <c r="C268" s="124" t="s">
        <v>10</v>
      </c>
      <c r="D268" s="124" t="s">
        <v>310</v>
      </c>
      <c r="E268" s="124" t="s">
        <v>18</v>
      </c>
      <c r="F268" s="126" t="s">
        <v>122</v>
      </c>
      <c r="G268" s="176">
        <v>74.099999999999994</v>
      </c>
      <c r="H268" s="229" t="s">
        <v>13</v>
      </c>
      <c r="I268" s="231" t="s">
        <v>311</v>
      </c>
      <c r="J268" s="233" t="s">
        <v>252</v>
      </c>
      <c r="K268" s="249"/>
      <c r="L268" s="324"/>
    </row>
    <row r="269" spans="1:12" s="57" customFormat="1" x14ac:dyDescent="0.45">
      <c r="A269" s="245"/>
      <c r="B269" s="234"/>
      <c r="C269" s="124" t="s">
        <v>520</v>
      </c>
      <c r="D269" s="124" t="s">
        <v>310</v>
      </c>
      <c r="E269" s="124" t="s">
        <v>18</v>
      </c>
      <c r="F269" s="204" t="s">
        <v>122</v>
      </c>
      <c r="G269" s="176">
        <v>54.1</v>
      </c>
      <c r="H269" s="230"/>
      <c r="I269" s="232"/>
      <c r="J269" s="234"/>
      <c r="K269" s="251"/>
      <c r="L269" s="325"/>
    </row>
    <row r="270" spans="1:12" x14ac:dyDescent="0.45">
      <c r="A270" s="120" t="s">
        <v>312</v>
      </c>
      <c r="B270" s="85">
        <v>5</v>
      </c>
      <c r="C270" s="124" t="s">
        <v>520</v>
      </c>
      <c r="D270" s="126" t="s">
        <v>408</v>
      </c>
      <c r="E270" s="124" t="s">
        <v>18</v>
      </c>
      <c r="F270" s="204" t="s">
        <v>122</v>
      </c>
      <c r="G270" s="176">
        <v>1.944599</v>
      </c>
      <c r="H270" s="124" t="s">
        <v>13</v>
      </c>
      <c r="I270" s="125" t="s">
        <v>487</v>
      </c>
      <c r="J270" s="126" t="s">
        <v>15</v>
      </c>
      <c r="K270" s="127"/>
      <c r="L270" s="129"/>
    </row>
    <row r="271" spans="1:12" ht="28.5" x14ac:dyDescent="0.45">
      <c r="A271" s="120" t="s">
        <v>313</v>
      </c>
      <c r="B271" s="85">
        <v>25</v>
      </c>
      <c r="C271" s="124" t="s">
        <v>47</v>
      </c>
      <c r="D271" s="126" t="s">
        <v>24</v>
      </c>
      <c r="E271" s="124" t="s">
        <v>122</v>
      </c>
      <c r="F271" s="204" t="s">
        <v>122</v>
      </c>
      <c r="G271" s="176" t="s">
        <v>122</v>
      </c>
      <c r="H271" s="124" t="s">
        <v>13</v>
      </c>
      <c r="I271" s="131" t="s">
        <v>25</v>
      </c>
      <c r="J271" s="124" t="s">
        <v>15</v>
      </c>
      <c r="K271" s="127"/>
      <c r="L271" s="129"/>
    </row>
    <row r="272" spans="1:12" ht="28.5" x14ac:dyDescent="0.45">
      <c r="A272" s="120" t="s">
        <v>314</v>
      </c>
      <c r="B272" s="85">
        <v>26</v>
      </c>
      <c r="C272" s="124" t="s">
        <v>520</v>
      </c>
      <c r="D272" s="126" t="s">
        <v>40</v>
      </c>
      <c r="E272" s="124" t="s">
        <v>18</v>
      </c>
      <c r="F272" s="204" t="s">
        <v>122</v>
      </c>
      <c r="G272" s="176">
        <v>2.5999460000000001</v>
      </c>
      <c r="H272" s="124" t="s">
        <v>13</v>
      </c>
      <c r="I272" s="125" t="s">
        <v>488</v>
      </c>
      <c r="J272" s="126" t="s">
        <v>484</v>
      </c>
      <c r="K272" s="127"/>
      <c r="L272" s="129"/>
    </row>
    <row r="273" spans="1:12" ht="28.5" x14ac:dyDescent="0.45">
      <c r="A273" s="120" t="s">
        <v>315</v>
      </c>
      <c r="B273" s="85">
        <v>16</v>
      </c>
      <c r="C273" s="124" t="s">
        <v>47</v>
      </c>
      <c r="D273" s="126" t="s">
        <v>40</v>
      </c>
      <c r="E273" s="124" t="s">
        <v>122</v>
      </c>
      <c r="F273" s="204" t="s">
        <v>122</v>
      </c>
      <c r="G273" s="176" t="s">
        <v>122</v>
      </c>
      <c r="H273" s="124" t="s">
        <v>13</v>
      </c>
      <c r="I273" s="125" t="s">
        <v>488</v>
      </c>
      <c r="J273" s="126" t="s">
        <v>484</v>
      </c>
      <c r="K273" s="127"/>
      <c r="L273" s="129"/>
    </row>
    <row r="274" spans="1:12" x14ac:dyDescent="0.45">
      <c r="A274" s="120" t="s">
        <v>316</v>
      </c>
      <c r="B274" s="85">
        <v>46</v>
      </c>
      <c r="C274" s="124" t="s">
        <v>520</v>
      </c>
      <c r="D274" s="126" t="s">
        <v>320</v>
      </c>
      <c r="E274" s="124" t="s">
        <v>18</v>
      </c>
      <c r="F274" s="204" t="s">
        <v>122</v>
      </c>
      <c r="G274" s="176">
        <v>46</v>
      </c>
      <c r="H274" s="124" t="s">
        <v>13</v>
      </c>
      <c r="I274" s="125" t="s">
        <v>490</v>
      </c>
      <c r="J274" s="126" t="s">
        <v>484</v>
      </c>
      <c r="K274" s="127"/>
      <c r="L274" s="129"/>
    </row>
    <row r="275" spans="1:12" ht="30" customHeight="1" x14ac:dyDescent="0.45">
      <c r="A275" s="243" t="s">
        <v>317</v>
      </c>
      <c r="B275" s="233">
        <v>50</v>
      </c>
      <c r="C275" s="124" t="s">
        <v>520</v>
      </c>
      <c r="D275" s="126" t="s">
        <v>527</v>
      </c>
      <c r="E275" s="124" t="s">
        <v>18</v>
      </c>
      <c r="F275" s="126" t="s">
        <v>122</v>
      </c>
      <c r="G275" s="176">
        <v>5.5008489999999997</v>
      </c>
      <c r="H275" s="229" t="s">
        <v>13</v>
      </c>
      <c r="I275" s="231" t="s">
        <v>490</v>
      </c>
      <c r="J275" s="233" t="s">
        <v>484</v>
      </c>
      <c r="K275" s="249"/>
      <c r="L275" s="324"/>
    </row>
    <row r="276" spans="1:12" s="57" customFormat="1" x14ac:dyDescent="0.45">
      <c r="A276" s="245"/>
      <c r="B276" s="234"/>
      <c r="C276" s="121" t="s">
        <v>520</v>
      </c>
      <c r="D276" s="126" t="s">
        <v>528</v>
      </c>
      <c r="E276" s="124" t="s">
        <v>18</v>
      </c>
      <c r="F276" s="126" t="s">
        <v>122</v>
      </c>
      <c r="G276" s="176">
        <v>0.50501499999999999</v>
      </c>
      <c r="H276" s="230"/>
      <c r="I276" s="232"/>
      <c r="J276" s="234"/>
      <c r="K276" s="251"/>
      <c r="L276" s="325"/>
    </row>
    <row r="277" spans="1:12" x14ac:dyDescent="0.45">
      <c r="A277" s="243" t="s">
        <v>318</v>
      </c>
      <c r="B277" s="233">
        <v>0</v>
      </c>
      <c r="C277" s="229" t="s">
        <v>47</v>
      </c>
      <c r="D277" s="122" t="s">
        <v>153</v>
      </c>
      <c r="E277" s="180" t="s">
        <v>122</v>
      </c>
      <c r="F277" s="119" t="s">
        <v>122</v>
      </c>
      <c r="G277" s="176" t="s">
        <v>122</v>
      </c>
      <c r="H277" s="124" t="s">
        <v>434</v>
      </c>
      <c r="I277" s="124"/>
      <c r="J277" s="124"/>
      <c r="K277" s="127"/>
      <c r="L277" s="129"/>
    </row>
    <row r="278" spans="1:12" s="57" customFormat="1" ht="28.5" x14ac:dyDescent="0.45">
      <c r="A278" s="245"/>
      <c r="B278" s="234"/>
      <c r="C278" s="230"/>
      <c r="D278" s="126" t="s">
        <v>40</v>
      </c>
      <c r="E278" s="121" t="s">
        <v>122</v>
      </c>
      <c r="F278" s="117" t="s">
        <v>122</v>
      </c>
      <c r="G278" s="186" t="s">
        <v>122</v>
      </c>
      <c r="H278" s="124" t="s">
        <v>434</v>
      </c>
      <c r="I278" s="121"/>
      <c r="J278" s="121"/>
      <c r="K278" s="134"/>
      <c r="L278" s="152"/>
    </row>
    <row r="279" spans="1:12" ht="14.65" thickBot="1" x14ac:dyDescent="0.5">
      <c r="A279" s="116" t="s">
        <v>319</v>
      </c>
      <c r="B279" s="102">
        <v>188</v>
      </c>
      <c r="C279" s="121" t="s">
        <v>520</v>
      </c>
      <c r="D279" s="117" t="s">
        <v>409</v>
      </c>
      <c r="E279" s="121" t="s">
        <v>18</v>
      </c>
      <c r="F279" s="117" t="s">
        <v>122</v>
      </c>
      <c r="G279" s="186">
        <v>187.5</v>
      </c>
      <c r="H279" s="124" t="s">
        <v>13</v>
      </c>
      <c r="I279" s="140" t="s">
        <v>489</v>
      </c>
      <c r="J279" s="117" t="s">
        <v>15</v>
      </c>
      <c r="K279" s="134"/>
      <c r="L279" s="152"/>
    </row>
    <row r="280" spans="1:12" ht="14.65" thickBot="1" x14ac:dyDescent="0.5">
      <c r="A280" s="28" t="s">
        <v>398</v>
      </c>
      <c r="B280" s="91">
        <f>SUM(B4:B279)</f>
        <v>232278</v>
      </c>
      <c r="C280" s="24"/>
      <c r="D280" s="24"/>
      <c r="E280" s="24"/>
      <c r="F280" s="24"/>
      <c r="G280" s="41">
        <f>SUM(G4:G279)</f>
        <v>113011.999396</v>
      </c>
      <c r="H280" s="24"/>
      <c r="I280" s="24"/>
      <c r="J280" s="24"/>
      <c r="K280" s="24"/>
      <c r="L280" s="25"/>
    </row>
    <row r="281" spans="1:12" s="57" customFormat="1" ht="14.65" thickBot="1" x14ac:dyDescent="0.5">
      <c r="A281" s="28" t="s">
        <v>405</v>
      </c>
      <c r="B281" s="80"/>
      <c r="C281" s="24"/>
      <c r="D281" s="24"/>
      <c r="E281" s="24"/>
      <c r="F281" s="24"/>
      <c r="G281" s="41">
        <f>SUMIF(C4:C279,"*Supps A*",G4:G279)</f>
        <v>77334.329612999994</v>
      </c>
      <c r="H281" s="71"/>
      <c r="I281" s="24"/>
      <c r="J281" s="24"/>
      <c r="K281" s="24"/>
      <c r="L281" s="25"/>
    </row>
    <row r="282" spans="1:12" s="57" customFormat="1" ht="14.65" thickBot="1" x14ac:dyDescent="0.5">
      <c r="A282" s="28" t="s">
        <v>406</v>
      </c>
      <c r="B282" s="80"/>
      <c r="C282" s="24"/>
      <c r="D282" s="24"/>
      <c r="E282" s="24"/>
      <c r="F282" s="24"/>
      <c r="G282" s="41">
        <f>SUMIF(C4:C279,"*Supps B*",G4:G279)</f>
        <v>36072.668049000007</v>
      </c>
      <c r="H282" s="24"/>
      <c r="I282" s="24"/>
      <c r="J282" s="24"/>
      <c r="K282" s="24"/>
      <c r="L282" s="25"/>
    </row>
    <row r="283" spans="1:12" s="57" customFormat="1" ht="14.65" thickBot="1" x14ac:dyDescent="0.5">
      <c r="A283" s="28" t="s">
        <v>517</v>
      </c>
      <c r="B283" s="80"/>
      <c r="C283" s="24"/>
      <c r="D283" s="24"/>
      <c r="E283" s="24"/>
      <c r="F283" s="24"/>
      <c r="G283" s="41">
        <f>SUMIF(C4:C279,"*Supps C*",G4:G279)</f>
        <v>-394.99826600000245</v>
      </c>
      <c r="H283" s="24"/>
      <c r="I283" s="24"/>
      <c r="J283" s="24"/>
      <c r="K283" s="24"/>
      <c r="L283" s="25"/>
    </row>
    <row r="284" spans="1:12" s="57" customFormat="1" x14ac:dyDescent="0.45"/>
    <row r="285" spans="1:12" s="57" customFormat="1" ht="15.75" x14ac:dyDescent="0.45">
      <c r="A285" s="92" t="s">
        <v>448</v>
      </c>
    </row>
    <row r="286" spans="1:12" x14ac:dyDescent="0.45">
      <c r="A286" s="59" t="s">
        <v>464</v>
      </c>
      <c r="B286" s="59"/>
    </row>
    <row r="287" spans="1:12" x14ac:dyDescent="0.45">
      <c r="A287" s="56" t="s">
        <v>465</v>
      </c>
      <c r="B287" s="56"/>
    </row>
    <row r="288" spans="1:12" x14ac:dyDescent="0.45">
      <c r="A288" s="56" t="s">
        <v>474</v>
      </c>
    </row>
  </sheetData>
  <mergeCells count="318">
    <mergeCell ref="J167:J169"/>
    <mergeCell ref="K167:K169"/>
    <mergeCell ref="L167:L169"/>
    <mergeCell ref="H233:H234"/>
    <mergeCell ref="I233:I234"/>
    <mergeCell ref="J233:J234"/>
    <mergeCell ref="K233:K234"/>
    <mergeCell ref="L233:L234"/>
    <mergeCell ref="H4:H5"/>
    <mergeCell ref="I4:I5"/>
    <mergeCell ref="J4:J5"/>
    <mergeCell ref="K4:K5"/>
    <mergeCell ref="L4:L5"/>
    <mergeCell ref="I12:I13"/>
    <mergeCell ref="J12:J13"/>
    <mergeCell ref="K12:K13"/>
    <mergeCell ref="L12:L13"/>
    <mergeCell ref="H12:H13"/>
    <mergeCell ref="K162:K164"/>
    <mergeCell ref="L162:L164"/>
    <mergeCell ref="L139:L146"/>
    <mergeCell ref="I182:I183"/>
    <mergeCell ref="J182:J183"/>
    <mergeCell ref="K182:K183"/>
    <mergeCell ref="A95:A98"/>
    <mergeCell ref="A86:A90"/>
    <mergeCell ref="A67:A68"/>
    <mergeCell ref="A69:A70"/>
    <mergeCell ref="H15:H65"/>
    <mergeCell ref="I15:I65"/>
    <mergeCell ref="J15:J65"/>
    <mergeCell ref="K15:K65"/>
    <mergeCell ref="L15:L65"/>
    <mergeCell ref="J86:J90"/>
    <mergeCell ref="I86:I90"/>
    <mergeCell ref="K86:K90"/>
    <mergeCell ref="L86:L90"/>
    <mergeCell ref="H86:H90"/>
    <mergeCell ref="I72:I74"/>
    <mergeCell ref="J72:J74"/>
    <mergeCell ref="K72:K74"/>
    <mergeCell ref="L72:L74"/>
    <mergeCell ref="C67:C68"/>
    <mergeCell ref="H69:H70"/>
    <mergeCell ref="I69:I70"/>
    <mergeCell ref="J69:J70"/>
    <mergeCell ref="I75:I79"/>
    <mergeCell ref="J75:J79"/>
    <mergeCell ref="I162:I166"/>
    <mergeCell ref="I116:I121"/>
    <mergeCell ref="J116:J121"/>
    <mergeCell ref="K134:K135"/>
    <mergeCell ref="I122:I125"/>
    <mergeCell ref="J122:J125"/>
    <mergeCell ref="J162:J166"/>
    <mergeCell ref="I132:I133"/>
    <mergeCell ref="I139:I146"/>
    <mergeCell ref="J139:J146"/>
    <mergeCell ref="K139:K146"/>
    <mergeCell ref="K155:K160"/>
    <mergeCell ref="L155:L160"/>
    <mergeCell ref="I167:I169"/>
    <mergeCell ref="L179:L181"/>
    <mergeCell ref="L182:L183"/>
    <mergeCell ref="B67:B68"/>
    <mergeCell ref="B69:B70"/>
    <mergeCell ref="K132:K133"/>
    <mergeCell ref="L132:L133"/>
    <mergeCell ref="B116:B121"/>
    <mergeCell ref="B111:B114"/>
    <mergeCell ref="K69:K70"/>
    <mergeCell ref="L69:L70"/>
    <mergeCell ref="I95:I98"/>
    <mergeCell ref="J95:J98"/>
    <mergeCell ref="K95:K98"/>
    <mergeCell ref="L95:L98"/>
    <mergeCell ref="K93:K94"/>
    <mergeCell ref="L93:L94"/>
    <mergeCell ref="K103:K107"/>
    <mergeCell ref="L103:L107"/>
    <mergeCell ref="I93:I94"/>
    <mergeCell ref="J93:J94"/>
    <mergeCell ref="B86:B90"/>
    <mergeCell ref="L127:L129"/>
    <mergeCell ref="K75:K79"/>
    <mergeCell ref="L75:L79"/>
    <mergeCell ref="H194:H196"/>
    <mergeCell ref="I194:I196"/>
    <mergeCell ref="J194:J196"/>
    <mergeCell ref="K194:K196"/>
    <mergeCell ref="L194:L196"/>
    <mergeCell ref="A147:A153"/>
    <mergeCell ref="L147:L153"/>
    <mergeCell ref="A155:A160"/>
    <mergeCell ref="H155:H160"/>
    <mergeCell ref="I155:I160"/>
    <mergeCell ref="J155:J160"/>
    <mergeCell ref="H170:H178"/>
    <mergeCell ref="I170:I178"/>
    <mergeCell ref="J170:J178"/>
    <mergeCell ref="K170:K178"/>
    <mergeCell ref="L170:L178"/>
    <mergeCell ref="K165:K166"/>
    <mergeCell ref="B184:B187"/>
    <mergeCell ref="B162:B166"/>
    <mergeCell ref="B155:B160"/>
    <mergeCell ref="B147:B153"/>
    <mergeCell ref="B182:B183"/>
    <mergeCell ref="L165:L166"/>
    <mergeCell ref="J235:J239"/>
    <mergeCell ref="K235:K239"/>
    <mergeCell ref="L235:L239"/>
    <mergeCell ref="I222:I223"/>
    <mergeCell ref="J222:J223"/>
    <mergeCell ref="K222:K223"/>
    <mergeCell ref="L222:L223"/>
    <mergeCell ref="I216:I217"/>
    <mergeCell ref="K216:K217"/>
    <mergeCell ref="L216:L217"/>
    <mergeCell ref="L184:L187"/>
    <mergeCell ref="L204:L205"/>
    <mergeCell ref="I204:I205"/>
    <mergeCell ref="J204:J205"/>
    <mergeCell ref="K204:K205"/>
    <mergeCell ref="L189:L192"/>
    <mergeCell ref="I224:I225"/>
    <mergeCell ref="J224:J225"/>
    <mergeCell ref="J216:J217"/>
    <mergeCell ref="I218:I221"/>
    <mergeCell ref="J218:J221"/>
    <mergeCell ref="K218:K221"/>
    <mergeCell ref="L218:L221"/>
    <mergeCell ref="A255:A257"/>
    <mergeCell ref="H255:H256"/>
    <mergeCell ref="I255:I256"/>
    <mergeCell ref="J255:J256"/>
    <mergeCell ref="B255:B257"/>
    <mergeCell ref="A260:A263"/>
    <mergeCell ref="B260:B263"/>
    <mergeCell ref="H260:H263"/>
    <mergeCell ref="I260:I263"/>
    <mergeCell ref="J260:J263"/>
    <mergeCell ref="A249:A251"/>
    <mergeCell ref="H249:H251"/>
    <mergeCell ref="B249:B251"/>
    <mergeCell ref="A277:A278"/>
    <mergeCell ref="C277:C278"/>
    <mergeCell ref="B277:B278"/>
    <mergeCell ref="A233:A234"/>
    <mergeCell ref="A235:A239"/>
    <mergeCell ref="H235:H239"/>
    <mergeCell ref="A265:A266"/>
    <mergeCell ref="B265:B266"/>
    <mergeCell ref="H265:H266"/>
    <mergeCell ref="A240:A242"/>
    <mergeCell ref="H240:H242"/>
    <mergeCell ref="A246:A248"/>
    <mergeCell ref="C246:C248"/>
    <mergeCell ref="D246:D248"/>
    <mergeCell ref="E246:E248"/>
    <mergeCell ref="G246:G248"/>
    <mergeCell ref="H246:H248"/>
    <mergeCell ref="F246:F248"/>
    <mergeCell ref="B246:B248"/>
    <mergeCell ref="A252:A254"/>
    <mergeCell ref="B252:B254"/>
    <mergeCell ref="B240:B242"/>
    <mergeCell ref="A204:A230"/>
    <mergeCell ref="H222:H223"/>
    <mergeCell ref="H216:H217"/>
    <mergeCell ref="A122:A125"/>
    <mergeCell ref="B122:B125"/>
    <mergeCell ref="H122:H125"/>
    <mergeCell ref="A103:A107"/>
    <mergeCell ref="B103:B107"/>
    <mergeCell ref="A194:A196"/>
    <mergeCell ref="B194:B196"/>
    <mergeCell ref="B189:B193"/>
    <mergeCell ref="H218:H221"/>
    <mergeCell ref="H204:H205"/>
    <mergeCell ref="B235:B239"/>
    <mergeCell ref="B233:B234"/>
    <mergeCell ref="B204:B230"/>
    <mergeCell ref="H206:H209"/>
    <mergeCell ref="H224:H225"/>
    <mergeCell ref="H189:H192"/>
    <mergeCell ref="A139:A146"/>
    <mergeCell ref="H139:H146"/>
    <mergeCell ref="B139:B146"/>
    <mergeCell ref="A179:A181"/>
    <mergeCell ref="A72:A74"/>
    <mergeCell ref="B72:B74"/>
    <mergeCell ref="H72:H74"/>
    <mergeCell ref="A167:A178"/>
    <mergeCell ref="B167:B178"/>
    <mergeCell ref="H167:H169"/>
    <mergeCell ref="A75:A79"/>
    <mergeCell ref="B75:B79"/>
    <mergeCell ref="H75:H79"/>
    <mergeCell ref="B93:B94"/>
    <mergeCell ref="H93:H94"/>
    <mergeCell ref="A93:A94"/>
    <mergeCell ref="H162:H166"/>
    <mergeCell ref="A111:A114"/>
    <mergeCell ref="H111:H114"/>
    <mergeCell ref="B95:B98"/>
    <mergeCell ref="A116:A121"/>
    <mergeCell ref="H116:H121"/>
    <mergeCell ref="H95:H98"/>
    <mergeCell ref="A100:A102"/>
    <mergeCell ref="B100:B102"/>
    <mergeCell ref="A162:A166"/>
    <mergeCell ref="H100:H102"/>
    <mergeCell ref="H132:H133"/>
    <mergeCell ref="H210:H213"/>
    <mergeCell ref="I210:I213"/>
    <mergeCell ref="J210:J213"/>
    <mergeCell ref="K210:K213"/>
    <mergeCell ref="L210:L213"/>
    <mergeCell ref="K260:K263"/>
    <mergeCell ref="I249:I251"/>
    <mergeCell ref="K224:K225"/>
    <mergeCell ref="L224:L225"/>
    <mergeCell ref="H226:H227"/>
    <mergeCell ref="I226:I227"/>
    <mergeCell ref="J226:J227"/>
    <mergeCell ref="K226:K227"/>
    <mergeCell ref="L226:L227"/>
    <mergeCell ref="I240:I242"/>
    <mergeCell ref="J240:J242"/>
    <mergeCell ref="K240:K242"/>
    <mergeCell ref="K249:K251"/>
    <mergeCell ref="L249:L251"/>
    <mergeCell ref="J249:J251"/>
    <mergeCell ref="L240:L242"/>
    <mergeCell ref="I246:I248"/>
    <mergeCell ref="L260:L263"/>
    <mergeCell ref="H252:H254"/>
    <mergeCell ref="I265:I266"/>
    <mergeCell ref="J265:J266"/>
    <mergeCell ref="K265:K266"/>
    <mergeCell ref="L265:L266"/>
    <mergeCell ref="I252:I254"/>
    <mergeCell ref="J252:J254"/>
    <mergeCell ref="K252:K254"/>
    <mergeCell ref="L252:L254"/>
    <mergeCell ref="I235:I239"/>
    <mergeCell ref="I206:I209"/>
    <mergeCell ref="J206:J209"/>
    <mergeCell ref="K206:K209"/>
    <mergeCell ref="L206:L209"/>
    <mergeCell ref="A200:A202"/>
    <mergeCell ref="B200:B202"/>
    <mergeCell ref="H200:H202"/>
    <mergeCell ref="I200:I202"/>
    <mergeCell ref="J200:J202"/>
    <mergeCell ref="K200:K202"/>
    <mergeCell ref="L200:L202"/>
    <mergeCell ref="B179:B181"/>
    <mergeCell ref="H179:H181"/>
    <mergeCell ref="I179:I181"/>
    <mergeCell ref="J179:J181"/>
    <mergeCell ref="K179:K181"/>
    <mergeCell ref="A189:A193"/>
    <mergeCell ref="A184:A187"/>
    <mergeCell ref="H184:H187"/>
    <mergeCell ref="I184:I187"/>
    <mergeCell ref="J184:J187"/>
    <mergeCell ref="K184:K187"/>
    <mergeCell ref="A182:A183"/>
    <mergeCell ref="H182:H183"/>
    <mergeCell ref="I189:I192"/>
    <mergeCell ref="J189:J192"/>
    <mergeCell ref="K189:K192"/>
    <mergeCell ref="H134:H135"/>
    <mergeCell ref="I134:I135"/>
    <mergeCell ref="J134:J135"/>
    <mergeCell ref="L134:L135"/>
    <mergeCell ref="I100:I102"/>
    <mergeCell ref="J100:J102"/>
    <mergeCell ref="K100:K102"/>
    <mergeCell ref="L100:L102"/>
    <mergeCell ref="J103:J107"/>
    <mergeCell ref="I111:I114"/>
    <mergeCell ref="J111:J114"/>
    <mergeCell ref="K111:K114"/>
    <mergeCell ref="L111:L114"/>
    <mergeCell ref="K122:K125"/>
    <mergeCell ref="L122:L125"/>
    <mergeCell ref="K116:K121"/>
    <mergeCell ref="L116:L121"/>
    <mergeCell ref="J132:J133"/>
    <mergeCell ref="H103:H107"/>
    <mergeCell ref="I103:I107"/>
    <mergeCell ref="A15:A65"/>
    <mergeCell ref="B15:B65"/>
    <mergeCell ref="L255:L256"/>
    <mergeCell ref="K255:K256"/>
    <mergeCell ref="A275:A276"/>
    <mergeCell ref="B275:B276"/>
    <mergeCell ref="H275:H276"/>
    <mergeCell ref="I275:I276"/>
    <mergeCell ref="J275:J276"/>
    <mergeCell ref="K275:K276"/>
    <mergeCell ref="L275:L276"/>
    <mergeCell ref="A127:A136"/>
    <mergeCell ref="B127:B136"/>
    <mergeCell ref="A268:A269"/>
    <mergeCell ref="B268:B269"/>
    <mergeCell ref="H268:H269"/>
    <mergeCell ref="I268:I269"/>
    <mergeCell ref="J268:J269"/>
    <mergeCell ref="K268:K269"/>
    <mergeCell ref="L268:L269"/>
    <mergeCell ref="H127:H129"/>
    <mergeCell ref="I127:I129"/>
    <mergeCell ref="J127:J129"/>
    <mergeCell ref="K127:K129"/>
  </mergeCells>
  <hyperlinks>
    <hyperlink ref="I69" r:id="rId1" xr:uid="{A0E46438-20B5-40B6-9AAA-8D0F5AE29481}"/>
    <hyperlink ref="I72" r:id="rId2" xr:uid="{05C9A3AE-8728-49BE-8EB6-B98A6899C20B}"/>
    <hyperlink ref="I84" r:id="rId3" xr:uid="{8C35B821-F546-4B4F-B54F-0A2267F132B6}"/>
    <hyperlink ref="I86" r:id="rId4" xr:uid="{C65A66EB-BD7A-42B9-96EF-20DE8A2C0A14}"/>
    <hyperlink ref="I91" r:id="rId5" xr:uid="{1C1BE423-FB38-4FA0-834E-4BF16728271B}"/>
    <hyperlink ref="J4" r:id="rId6" display="CEWS data" xr:uid="{53CEED76-105E-49E1-94A6-52F4934B453B}"/>
    <hyperlink ref="I4" r:id="rId7" xr:uid="{5BA4DEEE-EEE9-4973-97EE-477583E975B0}"/>
    <hyperlink ref="J9" r:id="rId8" display="CRB data" xr:uid="{D46A86DC-F440-4F6E-856D-8B8A7F8A2B24}"/>
    <hyperlink ref="J10" r:id="rId9" display="CRSB data" xr:uid="{D54C8E4E-CA75-4F6E-832B-FCE84432AF28}"/>
    <hyperlink ref="J11" r:id="rId10" display="CRCB data" xr:uid="{0ECF4E2E-8CCE-4C74-9407-1BF622FA1EAE}"/>
    <hyperlink ref="I15" r:id="rId11" display="https://www.pbo-dpb.gc.ca/web/default/files/Documents/Info%20Requests/2020/IR0471_ISED_COVID-19_Measures_request_e_signed.pdf" xr:uid="{58634BD7-2770-4836-9D0D-CF09CCB8AC55}"/>
    <hyperlink ref="I15:I25" r:id="rId12" display="IR0471" xr:uid="{1818005C-9911-43CA-AF9D-51F09FC4598B}"/>
    <hyperlink ref="I92" r:id="rId13" xr:uid="{701C3778-E3AB-4B8A-9EE5-58383E38560D}"/>
    <hyperlink ref="I93:I94" r:id="rId14" display="IR0550" xr:uid="{823A6A3B-E1A3-4EAC-97B3-0D06E66CC8D9}"/>
    <hyperlink ref="I95" r:id="rId15" xr:uid="{C69F7341-22BA-4100-8DDC-A1C92968F1F8}"/>
    <hyperlink ref="J95" r:id="rId16" display="https://www.canada.ca/en/services/benefits/ei/claims-report.html" xr:uid="{FED88BC1-4016-4470-80B5-8D300D350360}"/>
    <hyperlink ref="J95:J98" r:id="rId17" display="CERB data" xr:uid="{5DB08189-C8B6-4D49-AAD2-5CF9B80EFB06}"/>
    <hyperlink ref="I99" r:id="rId18" xr:uid="{B5921EB3-758B-4034-8BEA-787511C38753}"/>
    <hyperlink ref="J100" r:id="rId19" display="CESB data" xr:uid="{4408DE60-755B-4ADA-96BD-ED246E4BA809}"/>
    <hyperlink ref="I103" r:id="rId20" xr:uid="{C3AA0382-0350-43E3-89C3-886B0E0B34E4}"/>
    <hyperlink ref="I109" r:id="rId21" xr:uid="{B1FF6B23-3D45-4961-AAE8-F0C1155EDD9C}"/>
    <hyperlink ref="I110" r:id="rId22" xr:uid="{AEB87BE1-90AA-4A1C-9965-EEDB3D1CB1A9}"/>
    <hyperlink ref="I111" r:id="rId23" xr:uid="{77309BF5-5852-4530-94C2-45312216B4E8}"/>
    <hyperlink ref="I116" r:id="rId24" xr:uid="{EDE7E4CF-F08C-4A65-B38C-B8A1BDCA674A}"/>
    <hyperlink ref="I122" r:id="rId25" xr:uid="{6A6EB690-EB5F-429C-BF14-F8697F816BBD}"/>
    <hyperlink ref="I126" r:id="rId26" xr:uid="{A33D10C7-2B07-4BFD-9B42-820718DBF04F}"/>
    <hyperlink ref="I127" r:id="rId27" xr:uid="{25C2D6F6-8DF3-419F-9E8A-CE016CB38E0B}"/>
    <hyperlink ref="I127:I128" r:id="rId28" display="IR0540" xr:uid="{54EBCF92-A2F3-43E3-88ED-E9AC4B793065}"/>
    <hyperlink ref="I134" r:id="rId29" xr:uid="{B466CBC8-B236-498A-BB6F-8DD499165ABC}"/>
    <hyperlink ref="I131" r:id="rId30" xr:uid="{6DB99D24-5DFB-4620-9FF5-39388C859E06}"/>
    <hyperlink ref="I132" r:id="rId31" xr:uid="{26C98431-143D-44F2-99C6-F6D1DB986A32}"/>
    <hyperlink ref="I130" r:id="rId32" xr:uid="{2CD236D1-9DA9-48B4-A428-7867FA3B4851}"/>
    <hyperlink ref="I138" r:id="rId33" xr:uid="{93A7F9C0-07CB-4312-A0FE-5D9AAC016A8B}"/>
    <hyperlink ref="I139" r:id="rId34" display="https://www.pbo-dpb.gc.ca/web/default/files/Documents/Info%20Requests/2020/IR0469_Heritage_COVID-19_Measures_request_e_signed.pdf" xr:uid="{756872DB-AC7E-4F4C-A338-01036987C2C0}"/>
    <hyperlink ref="I139:I145" r:id="rId35" display="IR0469" xr:uid="{E76540D6-91C3-45D9-BB9E-6F863C5E79C9}"/>
    <hyperlink ref="I155" r:id="rId36" display="https://www.pbo-dpb.gc.ca/web/default/files/Documents/Info%20Requests/2020/IR0494_FIN_COVID-19_Measures_request_e.pdf" xr:uid="{5525AD14-74B3-49D9-88E1-2F1A3CD4C80F}"/>
    <hyperlink ref="I155:I160" r:id="rId37" display="IR0494" xr:uid="{22B98C89-8B39-449A-B32B-1237CAE2A617}"/>
    <hyperlink ref="I161" r:id="rId38" xr:uid="{8DB0F1CB-CE44-46D5-9FE1-8DAD0B015500}"/>
    <hyperlink ref="I162" r:id="rId39" display="https://www.pbo-dpb.gc.ca/web/default/files/Documents/Info%20Requests/2020/IR0456_AAFC_COVID-19_Allocations_request_e_signed.pdf" xr:uid="{EC02BA72-4086-4225-B2AD-EDEF0A7814AB}"/>
    <hyperlink ref="I162:I166" r:id="rId40" display="IR0456" xr:uid="{9E63DED9-DB40-4550-B633-DBAC3DED164F}"/>
    <hyperlink ref="I170" r:id="rId41" display="https://www.pbo-dpb.gc.ca/web/default/files/Documents/Info%20Requests/2020/IR0539_ISED_COVID-19_Funding_request_e.pdf" xr:uid="{06F43086-9144-46E2-8899-CD482D1804FF}"/>
    <hyperlink ref="I170:I174" r:id="rId42" display="IR0539" xr:uid="{2B31DC9B-9DCB-4764-BC38-C6AF4E93476F}"/>
    <hyperlink ref="I167" r:id="rId43" display="https://www.pbo-dpb.gc.ca/web/default/files/Documents/Info%20Requests/2020/IR0482_FOC_COVID-19_ltr_e.pdf" xr:uid="{AA11D4EF-7023-4819-993F-E63B610F57DD}"/>
    <hyperlink ref="I167:I168" r:id="rId44" display="IR0482" xr:uid="{07AFDBEF-A896-4740-86F6-734306AB49C0}"/>
    <hyperlink ref="I179" r:id="rId45" xr:uid="{18AAF52C-3248-4B3D-8423-F614B3603352}"/>
    <hyperlink ref="I182" r:id="rId46" xr:uid="{A8B78020-C3F6-4948-A54C-CE68AF26C8EA}"/>
    <hyperlink ref="I184" r:id="rId47" xr:uid="{03753284-181D-44FC-A748-BC9911A756BB}"/>
    <hyperlink ref="I189:I190" r:id="rId48" display="IR0547" xr:uid="{5DA40522-4A26-4B32-A96E-D8CC085FF862}"/>
    <hyperlink ref="I193" r:id="rId49" xr:uid="{23FCD39C-AED0-473F-8CD1-609045A04EB5}"/>
    <hyperlink ref="I194" r:id="rId50" xr:uid="{DD8D86DF-8BCF-4622-A529-03931D77F145}"/>
    <hyperlink ref="I197" r:id="rId51" xr:uid="{D09998F6-001C-4BD7-AFC4-67D54A768F14}"/>
    <hyperlink ref="I198" r:id="rId52" xr:uid="{7294EF4B-6078-4AE8-8A74-1FB85BE81105}"/>
    <hyperlink ref="I199" r:id="rId53" xr:uid="{A16029DA-9566-465F-9DD1-DABCE25F6E8E}"/>
    <hyperlink ref="I200:I201" r:id="rId54" display="IR0549" xr:uid="{097AE9F7-8C41-4B6B-8DFF-35DFC2E60F36}"/>
    <hyperlink ref="I206" r:id="rId55" display="https://www.pbo-dpb.gc.ca/web/default/files/Documents/Info%20Requests/2020/IR0456_AAFC_COVID-19_Allocations_request_e_signed.pdf" xr:uid="{A7767BFB-BE54-4BA5-916E-9F67977B8A13}"/>
    <hyperlink ref="I206:I207" r:id="rId56" display="IR0456" xr:uid="{0196BF95-6D1D-4716-9047-EB3A2C83F00E}"/>
    <hyperlink ref="I210" r:id="rId57" display="https://www.pbo-dpb.gc.ca/web/default/files/Documents/Info%20Requests/2020/IR0516_CMHC_COVID19_update_2_request_e.pdf" xr:uid="{7DE53DC8-0E92-4D92-85F9-3291D47C969E}"/>
    <hyperlink ref="I210:I211" r:id="rId58" display="IR0516" xr:uid="{8F4D998F-D5E4-4E2C-87CD-D58ECF69BE51}"/>
    <hyperlink ref="I216" r:id="rId59" display="https://www.pbo-dpb.gc.ca/web/default/files/Documents/Info%20Requests/2020/IR0523_ISC_COVID19_update_2_request_e.pdf" xr:uid="{E3785309-4555-41A7-9040-693B9DBF6213}"/>
    <hyperlink ref="I216:I217" r:id="rId60" display="IR0523" xr:uid="{A02028C2-6210-4F27-AFDF-D1C6692AD1E6}"/>
    <hyperlink ref="I218" r:id="rId61" display="https://www.pbo-dpb.gc.ca/web/default/files/Documents/Info%20Requests/2020/IR0524_ISED_COVID19_update_2_request_e.pdf" xr:uid="{61CCC48B-16B3-4FA9-ABF5-DA5D594A96F1}"/>
    <hyperlink ref="I218:I219" r:id="rId62" display="IR0524" xr:uid="{92FF3AC4-DA9C-4AE8-A133-7C59FA6D04C0}"/>
    <hyperlink ref="I226" r:id="rId63" display="https://www.pbo-dpb.gc.ca/web/default/files/Documents/Info%20Requests/2020/IR0526_NRCCan_COVID19_update_2_request_e.pdf" xr:uid="{64D5DB96-728B-4836-9359-B238EE849BE2}"/>
    <hyperlink ref="I226:I227" r:id="rId64" display="IR0526" xr:uid="{F11E918A-614C-4DCE-8C51-67D57D3C50FB}"/>
    <hyperlink ref="I228" r:id="rId65" xr:uid="{095079C4-43A7-4C58-A8FA-8D02DC3A010A}"/>
    <hyperlink ref="I230" r:id="rId66" xr:uid="{9FB69F9F-7940-4AA2-9288-A45DCCFC4BDC}"/>
    <hyperlink ref="I214" r:id="rId67" xr:uid="{22BF7537-99E3-493C-B253-581EC657118A}"/>
    <hyperlink ref="I222:I223" r:id="rId68" display="IR0552" xr:uid="{C5F42711-CEEC-4D06-A1B9-F68E1F16D3CF}"/>
    <hyperlink ref="I204:I205" r:id="rId69" display="IR0549" xr:uid="{5D6DD822-8D3B-4D8E-B4FE-741BE507E538}"/>
    <hyperlink ref="I224:I225" r:id="rId70" display="IR0557" xr:uid="{7DCF0E0E-00C8-4E5C-B889-9B7EBF09AFE3}"/>
    <hyperlink ref="I215" r:id="rId71" xr:uid="{117122ED-24E8-4385-A68F-4A542280B41E}"/>
    <hyperlink ref="I229" r:id="rId72" xr:uid="{78A913E8-8DBB-4160-878B-6768CAEBD8C3}"/>
    <hyperlink ref="I231" r:id="rId73" xr:uid="{9E45E98B-BB4D-4427-AB5A-D11C94F088D1}"/>
    <hyperlink ref="I232" r:id="rId74" xr:uid="{331C8271-1E76-40DD-850A-A519E9E061DF}"/>
    <hyperlink ref="I235" r:id="rId75" xr:uid="{8C388146-D2E5-49C1-8F48-AE65DD874C18}"/>
    <hyperlink ref="I240" r:id="rId76" xr:uid="{A4F42B33-068E-4A60-8825-7D8325A2368D}"/>
    <hyperlink ref="J243" r:id="rId77" display="New Horizons Seniors Grants data" xr:uid="{85008517-E422-4C6B-B125-19F2D577D000}"/>
    <hyperlink ref="I244" r:id="rId78" xr:uid="{110A4714-C81B-45C8-88FA-D98117EB8963}"/>
    <hyperlink ref="I245" r:id="rId79" xr:uid="{9DFBAE31-FEB3-4BDC-B7B1-0392CA7E491A}"/>
    <hyperlink ref="J248" r:id="rId80" display="Emergency Community Support Fund data (United Way East Ontario)" xr:uid="{DB4093A3-0483-4A5D-AA7F-B0CCFFF9F201}"/>
    <hyperlink ref="J247" r:id="rId81" display="Emergency Community Support Fund data (Canadian Red Cross" xr:uid="{D5133119-D870-4F0A-859E-C2D46FB5D1D8}"/>
    <hyperlink ref="J246" r:id="rId82" display="Emergency Community Support Fund data (Community Foundations Canada)" xr:uid="{8D5E8022-4FC3-4F19-ABEC-EB144949D564}"/>
    <hyperlink ref="I249" r:id="rId83" xr:uid="{56B794CC-9E07-4982-B58A-3F30781A92D1}"/>
    <hyperlink ref="I252" r:id="rId84" xr:uid="{CFB7D3FA-9D2E-4ECA-B7D3-C5A43CF696EA}"/>
    <hyperlink ref="I255" r:id="rId85" display="https://www.pbo-dpb.gc.ca/web/default/files/Documents/Info%20Requests/2020/IR0475_WAGE_COVID-19_Measures_request_e_signed.pdf" xr:uid="{B92A90DC-E7F4-4699-9D8E-FFE8B21E6AD4}"/>
    <hyperlink ref="I255:I256" r:id="rId86" display="IR0475" xr:uid="{A37078D8-BD05-49A3-AED5-8A0565CC9151}"/>
    <hyperlink ref="I257" r:id="rId87" xr:uid="{783F237B-09A2-4EEC-8EF3-CA389824058E}"/>
    <hyperlink ref="I258" r:id="rId88" xr:uid="{63D8AB19-29A0-43F4-8707-A9798BF47C34}"/>
    <hyperlink ref="I259" r:id="rId89" xr:uid="{AD53CA69-EB35-4B05-83A5-0D692E8AB5A7}"/>
    <hyperlink ref="I260" r:id="rId90" xr:uid="{DE47EE6A-A506-441E-956E-A68179BCB42D}"/>
    <hyperlink ref="I264" r:id="rId91" xr:uid="{6FB0F167-A3E1-427B-8F00-B606B213766B}"/>
    <hyperlink ref="I265" r:id="rId92" xr:uid="{D22B9FEB-8201-423C-AA77-6A011EC113BA}"/>
    <hyperlink ref="I268" r:id="rId93" xr:uid="{10219D95-ABEE-450A-B9B8-44C8015167FE}"/>
    <hyperlink ref="I8" r:id="rId94" xr:uid="{21A4DA44-E851-4D08-9864-D1ABA3BD5E80}"/>
    <hyperlink ref="I14" r:id="rId95" xr:uid="{C2755199-89DA-4BFA-810D-E6570B8D6EDF}"/>
    <hyperlink ref="J14" r:id="rId96" display="CEBA data" xr:uid="{613E2DE2-F4F0-4464-B32B-05CCCB7B16A9}"/>
    <hyperlink ref="F8" r:id="rId97" xr:uid="{35984EF2-9CB5-40A2-A9B1-8C8E60C70CB9}"/>
    <hyperlink ref="I66" r:id="rId98" xr:uid="{46843F36-8CDF-4AEF-AA9B-91B6BFE0FE39}"/>
    <hyperlink ref="I75" r:id="rId99" xr:uid="{8F77106C-AD9B-430B-80D6-D39BE5E2BB7D}"/>
    <hyperlink ref="I82" r:id="rId100" xr:uid="{E601454F-6EA3-4A28-A6DD-DBAFF166B4F8}"/>
    <hyperlink ref="I7" r:id="rId101" xr:uid="{85525B30-2580-41F4-98EC-3CBA0C8D6112}"/>
    <hyperlink ref="I115" r:id="rId102" xr:uid="{1A65898B-3FF1-43B4-BE63-781291839F2B}"/>
    <hyperlink ref="I188" r:id="rId103" xr:uid="{DCE2C195-246F-4796-82CF-D8C11FBF71D9}"/>
    <hyperlink ref="I203" r:id="rId104" xr:uid="{BD54B2EC-A1E1-47D2-AA09-AB1AF7826EA8}"/>
    <hyperlink ref="I267" r:id="rId105" xr:uid="{A8F07CDD-BDF0-4B77-BEFA-8A4036D543A5}"/>
    <hyperlink ref="I270" r:id="rId106" xr:uid="{67D6D80D-0446-48AC-8738-AB384AFE4581}"/>
    <hyperlink ref="I272" r:id="rId107" xr:uid="{4A3555F8-2085-4CCD-AE5F-B98F08A717A2}"/>
    <hyperlink ref="I273" r:id="rId108" xr:uid="{7FA04975-CAB9-42E5-AFEB-456B76FD4036}"/>
    <hyperlink ref="I279" r:id="rId109" xr:uid="{29136BAA-C9AA-4825-8001-84E28CA93624}"/>
    <hyperlink ref="I274" r:id="rId110" xr:uid="{985A4B47-6196-4451-885C-B835B625B7ED}"/>
    <hyperlink ref="I275" r:id="rId111" xr:uid="{92706733-5909-4183-AB1D-FFECAB5AE731}"/>
    <hyperlink ref="I271" r:id="rId112" xr:uid="{3BEA52A1-24AD-416A-A239-05563CE0604E}"/>
    <hyperlink ref="I136" r:id="rId113" xr:uid="{FF5BA102-6D66-427C-BCE0-9C29C7DB9A29}"/>
    <hyperlink ref="J12" r:id="rId114" xr:uid="{7A3FD43C-2ABB-463C-BE35-3ADD490DF3A6}"/>
    <hyperlink ref="I85" r:id="rId115" xr:uid="{A866F098-3E8E-49C6-91E3-2714CFE92E24}"/>
  </hyperlinks>
  <pageMargins left="0.7" right="0.7" top="0.75" bottom="0.75" header="0.3" footer="0.3"/>
  <pageSetup orientation="portrait" r:id="rId11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2E673E-02CE-49F0-919C-70AD3423F227}">
  <sheetPr>
    <tabColor theme="4"/>
  </sheetPr>
  <dimension ref="A1:L14"/>
  <sheetViews>
    <sheetView showGridLines="0" zoomScale="70" zoomScaleNormal="70" workbookViewId="0"/>
  </sheetViews>
  <sheetFormatPr defaultRowHeight="14.25" x14ac:dyDescent="0.45"/>
  <cols>
    <col min="1" max="1" width="82.73046875" customWidth="1"/>
    <col min="2" max="2" width="42.73046875" style="57" bestFit="1" customWidth="1"/>
    <col min="3" max="3" width="26.59765625" bestFit="1" customWidth="1"/>
    <col min="4" max="4" width="33.73046875" customWidth="1"/>
    <col min="5" max="5" width="24.86328125" bestFit="1" customWidth="1"/>
    <col min="6" max="6" width="39" style="57" bestFit="1" customWidth="1"/>
    <col min="7" max="7" width="37.86328125" bestFit="1" customWidth="1"/>
    <col min="8" max="8" width="14.3984375" bestFit="1" customWidth="1"/>
    <col min="9" max="9" width="14" bestFit="1" customWidth="1"/>
    <col min="10" max="10" width="18.265625" bestFit="1" customWidth="1"/>
    <col min="11" max="11" width="57.265625" customWidth="1"/>
    <col min="12" max="12" width="12.3984375" bestFit="1" customWidth="1"/>
  </cols>
  <sheetData>
    <row r="1" spans="1:12" x14ac:dyDescent="0.45">
      <c r="A1" s="29" t="s">
        <v>55</v>
      </c>
      <c r="B1" s="29"/>
    </row>
    <row r="2" spans="1:12" ht="14.65" thickBot="1" x14ac:dyDescent="0.5"/>
    <row r="3" spans="1:12" ht="15.75" x14ac:dyDescent="0.45">
      <c r="A3" s="43" t="s">
        <v>379</v>
      </c>
      <c r="B3" s="79" t="s">
        <v>441</v>
      </c>
      <c r="C3" s="31" t="s">
        <v>518</v>
      </c>
      <c r="D3" s="31" t="s">
        <v>1</v>
      </c>
      <c r="E3" s="31" t="s">
        <v>2</v>
      </c>
      <c r="F3" s="31" t="s">
        <v>388</v>
      </c>
      <c r="G3" s="31" t="s">
        <v>3</v>
      </c>
      <c r="H3" s="32" t="s">
        <v>4</v>
      </c>
      <c r="I3" s="32" t="s">
        <v>5</v>
      </c>
      <c r="J3" s="32" t="s">
        <v>6</v>
      </c>
      <c r="K3" s="32" t="s">
        <v>7</v>
      </c>
      <c r="L3" s="33" t="s">
        <v>8</v>
      </c>
    </row>
    <row r="4" spans="1:12" x14ac:dyDescent="0.45">
      <c r="A4" s="45" t="s">
        <v>345</v>
      </c>
      <c r="B4" s="81"/>
      <c r="C4" s="46"/>
      <c r="D4" s="46"/>
      <c r="E4" s="46"/>
      <c r="F4" s="46"/>
      <c r="G4" s="46"/>
      <c r="H4" s="46"/>
      <c r="I4" s="46"/>
      <c r="J4" s="46"/>
      <c r="K4" s="46"/>
      <c r="L4" s="47"/>
    </row>
    <row r="5" spans="1:12" x14ac:dyDescent="0.45">
      <c r="A5" s="48" t="s">
        <v>346</v>
      </c>
      <c r="B5" s="89" t="s">
        <v>138</v>
      </c>
      <c r="C5" s="7" t="s">
        <v>47</v>
      </c>
      <c r="D5" s="7" t="s">
        <v>153</v>
      </c>
      <c r="E5" s="7" t="s">
        <v>122</v>
      </c>
      <c r="F5" s="60" t="s">
        <v>429</v>
      </c>
      <c r="G5" s="7" t="s">
        <v>122</v>
      </c>
      <c r="H5" s="7" t="s">
        <v>13</v>
      </c>
      <c r="I5" s="12" t="s">
        <v>188</v>
      </c>
      <c r="J5" s="7" t="s">
        <v>21</v>
      </c>
      <c r="K5" s="20" t="s">
        <v>138</v>
      </c>
      <c r="L5" s="10"/>
    </row>
    <row r="6" spans="1:12" ht="28.5" x14ac:dyDescent="0.45">
      <c r="A6" s="356" t="s">
        <v>347</v>
      </c>
      <c r="B6" s="354" t="s">
        <v>138</v>
      </c>
      <c r="C6" s="354" t="s">
        <v>47</v>
      </c>
      <c r="D6" s="354" t="s">
        <v>128</v>
      </c>
      <c r="E6" s="354" t="s">
        <v>122</v>
      </c>
      <c r="F6" s="229" t="s">
        <v>430</v>
      </c>
      <c r="G6" s="354" t="s">
        <v>122</v>
      </c>
      <c r="H6" s="354" t="s">
        <v>13</v>
      </c>
      <c r="I6" s="352" t="s">
        <v>129</v>
      </c>
      <c r="J6" s="354" t="s">
        <v>21</v>
      </c>
      <c r="K6" s="21" t="s">
        <v>348</v>
      </c>
      <c r="L6" s="49">
        <v>44027</v>
      </c>
    </row>
    <row r="7" spans="1:12" ht="42.75" x14ac:dyDescent="0.45">
      <c r="A7" s="357"/>
      <c r="B7" s="355"/>
      <c r="C7" s="355"/>
      <c r="D7" s="355"/>
      <c r="E7" s="355"/>
      <c r="F7" s="230"/>
      <c r="G7" s="355"/>
      <c r="H7" s="355"/>
      <c r="I7" s="353"/>
      <c r="J7" s="355"/>
      <c r="K7" s="11" t="s">
        <v>349</v>
      </c>
      <c r="L7" s="50">
        <v>44044</v>
      </c>
    </row>
    <row r="8" spans="1:12" ht="14.65" thickBot="1" x14ac:dyDescent="0.5">
      <c r="A8" s="51" t="s">
        <v>350</v>
      </c>
      <c r="B8" s="88" t="s">
        <v>138</v>
      </c>
      <c r="C8" s="8" t="s">
        <v>47</v>
      </c>
      <c r="D8" s="8" t="s">
        <v>351</v>
      </c>
      <c r="E8" s="97" t="s">
        <v>122</v>
      </c>
      <c r="F8" s="218" t="s">
        <v>122</v>
      </c>
      <c r="G8" s="8" t="s">
        <v>122</v>
      </c>
      <c r="H8" s="8" t="s">
        <v>13</v>
      </c>
      <c r="I8" s="13" t="s">
        <v>17</v>
      </c>
      <c r="J8" s="9" t="s">
        <v>252</v>
      </c>
      <c r="K8" s="8"/>
      <c r="L8" s="52"/>
    </row>
    <row r="9" spans="1:12" ht="14.65" thickBot="1" x14ac:dyDescent="0.5">
      <c r="A9" s="28" t="s">
        <v>352</v>
      </c>
      <c r="B9" s="72">
        <f>SUM(B5:B8)</f>
        <v>0</v>
      </c>
      <c r="C9" s="24"/>
      <c r="D9" s="24"/>
      <c r="E9" s="24"/>
      <c r="F9" s="24"/>
      <c r="G9" s="72">
        <f>SUM(G5:G8)</f>
        <v>0</v>
      </c>
      <c r="H9" s="24"/>
      <c r="I9" s="24"/>
      <c r="J9" s="24"/>
      <c r="K9" s="24"/>
      <c r="L9" s="25"/>
    </row>
    <row r="11" spans="1:12" ht="15.75" x14ac:dyDescent="0.45">
      <c r="A11" s="59" t="s">
        <v>442</v>
      </c>
      <c r="B11" s="1"/>
    </row>
    <row r="13" spans="1:12" x14ac:dyDescent="0.45">
      <c r="A13" s="1"/>
      <c r="B13" s="1"/>
    </row>
    <row r="14" spans="1:12" x14ac:dyDescent="0.45">
      <c r="A14" s="1"/>
      <c r="B14" s="1"/>
    </row>
  </sheetData>
  <mergeCells count="10">
    <mergeCell ref="I6:I7"/>
    <mergeCell ref="J6:J7"/>
    <mergeCell ref="A6:A7"/>
    <mergeCell ref="C6:C7"/>
    <mergeCell ref="D6:D7"/>
    <mergeCell ref="E6:E7"/>
    <mergeCell ref="G6:G7"/>
    <mergeCell ref="H6:H7"/>
    <mergeCell ref="F6:F7"/>
    <mergeCell ref="B6:B7"/>
  </mergeCells>
  <hyperlinks>
    <hyperlink ref="I5" r:id="rId1" xr:uid="{377346CD-197E-46BB-B601-CA9E2FD5FD51}"/>
    <hyperlink ref="I6" r:id="rId2" xr:uid="{3F92ED71-0FED-428C-8452-65D972078570}"/>
    <hyperlink ref="I8" r:id="rId3" xr:uid="{682A5356-3463-4301-B1B2-67D779748BB8}"/>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F8FEF4-095B-44DB-ACC4-4D83993D8CC9}">
  <sheetPr>
    <tabColor theme="4"/>
  </sheetPr>
  <dimension ref="A1:L26"/>
  <sheetViews>
    <sheetView showGridLines="0" zoomScale="70" zoomScaleNormal="70" workbookViewId="0"/>
  </sheetViews>
  <sheetFormatPr defaultRowHeight="14.25" x14ac:dyDescent="0.45"/>
  <cols>
    <col min="1" max="1" width="88.86328125" bestFit="1" customWidth="1"/>
    <col min="2" max="2" width="38.265625" style="57" bestFit="1" customWidth="1"/>
    <col min="3" max="3" width="25.265625" bestFit="1" customWidth="1"/>
    <col min="4" max="4" width="27.59765625" customWidth="1"/>
    <col min="5" max="5" width="25.265625" bestFit="1" customWidth="1"/>
    <col min="6" max="6" width="36.59765625" style="57" customWidth="1"/>
    <col min="7" max="7" width="36.59765625" bestFit="1" customWidth="1"/>
    <col min="8" max="8" width="13.59765625" bestFit="1" customWidth="1"/>
    <col min="9" max="9" width="13" bestFit="1" customWidth="1"/>
    <col min="10" max="10" width="22.73046875" customWidth="1"/>
    <col min="11" max="11" width="48.265625" customWidth="1"/>
    <col min="12" max="12" width="12.73046875" bestFit="1" customWidth="1"/>
  </cols>
  <sheetData>
    <row r="1" spans="1:12" x14ac:dyDescent="0.45">
      <c r="A1" s="29" t="s">
        <v>56</v>
      </c>
      <c r="B1" s="29"/>
    </row>
    <row r="2" spans="1:12" ht="14.65" thickBot="1" x14ac:dyDescent="0.5"/>
    <row r="3" spans="1:12" ht="15.75" x14ac:dyDescent="0.45">
      <c r="A3" s="43" t="s">
        <v>377</v>
      </c>
      <c r="B3" s="79" t="s">
        <v>441</v>
      </c>
      <c r="C3" s="31" t="s">
        <v>518</v>
      </c>
      <c r="D3" s="31" t="s">
        <v>1</v>
      </c>
      <c r="E3" s="31" t="s">
        <v>2</v>
      </c>
      <c r="F3" s="31" t="s">
        <v>388</v>
      </c>
      <c r="G3" s="31" t="s">
        <v>3</v>
      </c>
      <c r="H3" s="32" t="s">
        <v>4</v>
      </c>
      <c r="I3" s="32" t="s">
        <v>5</v>
      </c>
      <c r="J3" s="32" t="s">
        <v>6</v>
      </c>
      <c r="K3" s="32" t="s">
        <v>7</v>
      </c>
      <c r="L3" s="33" t="s">
        <v>8</v>
      </c>
    </row>
    <row r="4" spans="1:12" x14ac:dyDescent="0.45">
      <c r="A4" s="53" t="s">
        <v>353</v>
      </c>
      <c r="B4" s="82"/>
      <c r="C4" s="58"/>
      <c r="D4" s="73"/>
      <c r="E4" s="58"/>
      <c r="F4" s="58"/>
      <c r="G4" s="58"/>
      <c r="H4" s="58"/>
      <c r="I4" s="58"/>
      <c r="J4" s="73"/>
      <c r="K4" s="58"/>
      <c r="L4" s="64"/>
    </row>
    <row r="5" spans="1:12" ht="42.75" x14ac:dyDescent="0.45">
      <c r="A5" s="36" t="s">
        <v>354</v>
      </c>
      <c r="B5" s="86" t="s">
        <v>138</v>
      </c>
      <c r="C5" s="73" t="s">
        <v>47</v>
      </c>
      <c r="D5" s="63" t="s">
        <v>355</v>
      </c>
      <c r="E5" s="73" t="s">
        <v>122</v>
      </c>
      <c r="F5" s="167" t="s">
        <v>413</v>
      </c>
      <c r="G5" s="199" t="s">
        <v>122</v>
      </c>
      <c r="H5" s="73" t="s">
        <v>13</v>
      </c>
      <c r="I5" s="173" t="s">
        <v>356</v>
      </c>
      <c r="J5" s="73" t="s">
        <v>21</v>
      </c>
      <c r="K5" s="74" t="s">
        <v>138</v>
      </c>
      <c r="L5" s="64"/>
    </row>
    <row r="6" spans="1:12" ht="42.75" x14ac:dyDescent="0.45">
      <c r="A6" s="36" t="s">
        <v>357</v>
      </c>
      <c r="B6" s="86" t="s">
        <v>138</v>
      </c>
      <c r="C6" s="73" t="s">
        <v>47</v>
      </c>
      <c r="D6" s="73" t="s">
        <v>358</v>
      </c>
      <c r="E6" s="73" t="s">
        <v>122</v>
      </c>
      <c r="F6" s="167" t="s">
        <v>413</v>
      </c>
      <c r="G6" s="199" t="s">
        <v>122</v>
      </c>
      <c r="H6" s="73" t="s">
        <v>13</v>
      </c>
      <c r="I6" s="173" t="s">
        <v>359</v>
      </c>
      <c r="J6" s="63" t="s">
        <v>21</v>
      </c>
      <c r="K6" s="74" t="s">
        <v>360</v>
      </c>
      <c r="L6" s="62">
        <v>44135</v>
      </c>
    </row>
    <row r="7" spans="1:12" ht="45.75" customHeight="1" x14ac:dyDescent="0.45">
      <c r="A7" s="36" t="s">
        <v>361</v>
      </c>
      <c r="B7" s="86" t="s">
        <v>138</v>
      </c>
      <c r="C7" s="73" t="s">
        <v>47</v>
      </c>
      <c r="D7" s="73" t="s">
        <v>358</v>
      </c>
      <c r="E7" s="73" t="s">
        <v>122</v>
      </c>
      <c r="F7" s="167" t="s">
        <v>413</v>
      </c>
      <c r="G7" s="199" t="s">
        <v>122</v>
      </c>
      <c r="H7" s="73" t="s">
        <v>13</v>
      </c>
      <c r="I7" s="173" t="s">
        <v>359</v>
      </c>
      <c r="J7" s="173" t="s">
        <v>362</v>
      </c>
      <c r="K7" s="170" t="s">
        <v>553</v>
      </c>
      <c r="L7" s="169">
        <v>44238</v>
      </c>
    </row>
    <row r="8" spans="1:12" ht="42.75" x14ac:dyDescent="0.45">
      <c r="A8" s="356" t="s">
        <v>363</v>
      </c>
      <c r="B8" s="354" t="s">
        <v>122</v>
      </c>
      <c r="C8" s="73" t="s">
        <v>47</v>
      </c>
      <c r="D8" s="63" t="s">
        <v>355</v>
      </c>
      <c r="E8" s="73" t="s">
        <v>122</v>
      </c>
      <c r="F8" s="167" t="s">
        <v>413</v>
      </c>
      <c r="G8" s="199" t="s">
        <v>122</v>
      </c>
      <c r="H8" s="73" t="s">
        <v>13</v>
      </c>
      <c r="I8" s="173" t="s">
        <v>356</v>
      </c>
      <c r="J8" s="73" t="s">
        <v>21</v>
      </c>
      <c r="K8" s="74" t="s">
        <v>138</v>
      </c>
      <c r="L8" s="64"/>
    </row>
    <row r="9" spans="1:12" ht="42.75" x14ac:dyDescent="0.45">
      <c r="A9" s="357"/>
      <c r="B9" s="355"/>
      <c r="C9" s="73" t="s">
        <v>47</v>
      </c>
      <c r="D9" s="73" t="s">
        <v>358</v>
      </c>
      <c r="E9" s="73" t="s">
        <v>122</v>
      </c>
      <c r="F9" s="167" t="s">
        <v>413</v>
      </c>
      <c r="G9" s="199" t="s">
        <v>122</v>
      </c>
      <c r="H9" s="73" t="s">
        <v>13</v>
      </c>
      <c r="I9" s="173" t="s">
        <v>359</v>
      </c>
      <c r="J9" s="54" t="s">
        <v>78</v>
      </c>
      <c r="K9" s="74"/>
      <c r="L9" s="64"/>
    </row>
    <row r="10" spans="1:12" x14ac:dyDescent="0.45">
      <c r="A10" s="34" t="s">
        <v>364</v>
      </c>
      <c r="B10" s="83"/>
      <c r="C10" s="73"/>
      <c r="D10" s="73"/>
      <c r="E10" s="58"/>
      <c r="F10" s="58"/>
      <c r="G10" s="199"/>
      <c r="H10" s="73"/>
      <c r="I10" s="173"/>
      <c r="J10" s="73"/>
      <c r="K10" s="74"/>
      <c r="L10" s="64"/>
    </row>
    <row r="11" spans="1:12" ht="42.75" x14ac:dyDescent="0.45">
      <c r="A11" s="36" t="s">
        <v>365</v>
      </c>
      <c r="B11" s="86" t="s">
        <v>122</v>
      </c>
      <c r="C11" s="73" t="s">
        <v>47</v>
      </c>
      <c r="D11" s="73" t="s">
        <v>366</v>
      </c>
      <c r="E11" s="73" t="s">
        <v>122</v>
      </c>
      <c r="F11" s="167" t="s">
        <v>413</v>
      </c>
      <c r="G11" s="199" t="s">
        <v>122</v>
      </c>
      <c r="H11" s="73" t="s">
        <v>13</v>
      </c>
      <c r="I11" s="173" t="s">
        <v>367</v>
      </c>
      <c r="J11" s="73" t="s">
        <v>21</v>
      </c>
      <c r="K11" s="74" t="s">
        <v>138</v>
      </c>
      <c r="L11" s="64"/>
    </row>
    <row r="12" spans="1:12" ht="28.5" x14ac:dyDescent="0.45">
      <c r="A12" s="36" t="s">
        <v>368</v>
      </c>
      <c r="B12" s="86" t="s">
        <v>122</v>
      </c>
      <c r="C12" s="73" t="s">
        <v>47</v>
      </c>
      <c r="D12" s="63" t="s">
        <v>96</v>
      </c>
      <c r="E12" s="73" t="s">
        <v>122</v>
      </c>
      <c r="F12" s="167" t="s">
        <v>427</v>
      </c>
      <c r="G12" s="199" t="s">
        <v>122</v>
      </c>
      <c r="H12" s="73" t="s">
        <v>13</v>
      </c>
      <c r="I12" s="173" t="s">
        <v>97</v>
      </c>
      <c r="J12" s="63" t="s">
        <v>21</v>
      </c>
      <c r="K12" s="74" t="s">
        <v>547</v>
      </c>
      <c r="L12" s="62">
        <v>44195</v>
      </c>
    </row>
    <row r="13" spans="1:12" ht="48.75" customHeight="1" x14ac:dyDescent="0.45">
      <c r="A13" s="366" t="s">
        <v>369</v>
      </c>
      <c r="B13" s="354" t="s">
        <v>122</v>
      </c>
      <c r="C13" s="73" t="s">
        <v>47</v>
      </c>
      <c r="D13" s="63" t="s">
        <v>370</v>
      </c>
      <c r="E13" s="73" t="s">
        <v>122</v>
      </c>
      <c r="F13" s="167" t="s">
        <v>413</v>
      </c>
      <c r="G13" s="199" t="s">
        <v>122</v>
      </c>
      <c r="H13" s="73" t="s">
        <v>13</v>
      </c>
      <c r="I13" s="166" t="s">
        <v>371</v>
      </c>
      <c r="J13" s="166" t="s">
        <v>372</v>
      </c>
      <c r="K13" s="76" t="s">
        <v>554</v>
      </c>
      <c r="L13" s="172">
        <v>44231</v>
      </c>
    </row>
    <row r="14" spans="1:12" s="57" customFormat="1" ht="48.75" customHeight="1" x14ac:dyDescent="0.45">
      <c r="A14" s="367"/>
      <c r="B14" s="355"/>
      <c r="C14" s="73" t="s">
        <v>520</v>
      </c>
      <c r="D14" s="63" t="s">
        <v>16</v>
      </c>
      <c r="E14" s="73" t="s">
        <v>12</v>
      </c>
      <c r="F14" s="216" t="s">
        <v>562</v>
      </c>
      <c r="G14" s="177">
        <v>200</v>
      </c>
      <c r="H14" s="168" t="s">
        <v>13</v>
      </c>
      <c r="I14" s="166" t="s">
        <v>17</v>
      </c>
      <c r="J14" s="200" t="s">
        <v>15</v>
      </c>
      <c r="K14" s="74"/>
      <c r="L14" s="62"/>
    </row>
    <row r="15" spans="1:12" x14ac:dyDescent="0.45">
      <c r="A15" s="34" t="s">
        <v>373</v>
      </c>
      <c r="B15" s="83"/>
      <c r="C15" s="73"/>
      <c r="D15" s="73"/>
      <c r="E15" s="58"/>
      <c r="F15" s="58"/>
      <c r="G15" s="199"/>
      <c r="H15" s="73"/>
      <c r="I15" s="73"/>
      <c r="J15" s="73"/>
      <c r="K15" s="74"/>
      <c r="L15" s="64"/>
    </row>
    <row r="16" spans="1:12" x14ac:dyDescent="0.45">
      <c r="A16" s="366" t="s">
        <v>374</v>
      </c>
      <c r="B16" s="354" t="s">
        <v>122</v>
      </c>
      <c r="C16" s="354" t="s">
        <v>47</v>
      </c>
      <c r="D16" s="368" t="s">
        <v>196</v>
      </c>
      <c r="E16" s="354" t="s">
        <v>122</v>
      </c>
      <c r="F16" s="233" t="s">
        <v>413</v>
      </c>
      <c r="G16" s="360" t="s">
        <v>122</v>
      </c>
      <c r="H16" s="354" t="s">
        <v>13</v>
      </c>
      <c r="I16" s="362" t="s">
        <v>197</v>
      </c>
      <c r="J16" s="171" t="s">
        <v>21</v>
      </c>
      <c r="K16" s="364" t="s">
        <v>375</v>
      </c>
      <c r="L16" s="358">
        <v>44155</v>
      </c>
    </row>
    <row r="17" spans="1:12" s="57" customFormat="1" x14ac:dyDescent="0.45">
      <c r="A17" s="367"/>
      <c r="B17" s="355"/>
      <c r="C17" s="355"/>
      <c r="D17" s="369"/>
      <c r="E17" s="355"/>
      <c r="F17" s="234"/>
      <c r="G17" s="361"/>
      <c r="H17" s="355"/>
      <c r="I17" s="363"/>
      <c r="J17" s="78" t="s">
        <v>431</v>
      </c>
      <c r="K17" s="365"/>
      <c r="L17" s="359"/>
    </row>
    <row r="18" spans="1:12" ht="37.5" customHeight="1" x14ac:dyDescent="0.45">
      <c r="A18" s="219" t="s">
        <v>376</v>
      </c>
      <c r="B18" s="86" t="s">
        <v>122</v>
      </c>
      <c r="C18" s="171" t="s">
        <v>47</v>
      </c>
      <c r="D18" s="171"/>
      <c r="E18" s="73" t="s">
        <v>122</v>
      </c>
      <c r="F18" s="217" t="s">
        <v>413</v>
      </c>
      <c r="G18" s="199" t="s">
        <v>122</v>
      </c>
      <c r="H18" s="171"/>
      <c r="I18" s="171"/>
      <c r="J18" s="77"/>
      <c r="K18" s="75"/>
      <c r="L18" s="52"/>
    </row>
    <row r="19" spans="1:12" ht="43.15" thickBot="1" x14ac:dyDescent="0.5">
      <c r="A19" s="219" t="s">
        <v>385</v>
      </c>
      <c r="B19" s="86" t="s">
        <v>122</v>
      </c>
      <c r="C19" s="171" t="s">
        <v>47</v>
      </c>
      <c r="D19" s="63" t="s">
        <v>355</v>
      </c>
      <c r="E19" s="73" t="s">
        <v>122</v>
      </c>
      <c r="F19" s="217" t="s">
        <v>413</v>
      </c>
      <c r="G19" s="199" t="s">
        <v>122</v>
      </c>
      <c r="H19" s="171" t="s">
        <v>90</v>
      </c>
      <c r="I19" s="166"/>
      <c r="J19" s="171"/>
      <c r="K19" s="55"/>
      <c r="L19" s="52"/>
    </row>
    <row r="20" spans="1:12" ht="14.65" customHeight="1" thickBot="1" x14ac:dyDescent="0.5">
      <c r="A20" s="66" t="s">
        <v>378</v>
      </c>
      <c r="B20" s="72">
        <f>SUM(B5:B9,B11:B13,B17:B19)</f>
        <v>0</v>
      </c>
      <c r="C20" s="24"/>
      <c r="D20" s="24"/>
      <c r="E20" s="24"/>
      <c r="F20" s="24"/>
      <c r="G20" s="72">
        <f>SUM(G5:G9,G11:G13,G16:G19)</f>
        <v>0</v>
      </c>
      <c r="H20" s="24"/>
      <c r="I20" s="24"/>
      <c r="J20" s="24"/>
      <c r="K20" s="24"/>
      <c r="L20" s="25"/>
    </row>
    <row r="21" spans="1:12" s="57" customFormat="1" ht="14.65" thickBot="1" x14ac:dyDescent="0.5">
      <c r="A21" s="66" t="s">
        <v>548</v>
      </c>
      <c r="B21" s="72"/>
      <c r="C21" s="24"/>
      <c r="D21" s="24"/>
      <c r="E21" s="24"/>
      <c r="F21" s="24"/>
      <c r="G21" s="72">
        <f>SUMIF(C3:C19,"*Supps C*",G3:G19)</f>
        <v>200</v>
      </c>
      <c r="H21" s="24"/>
      <c r="I21" s="24"/>
      <c r="J21" s="24"/>
      <c r="K21" s="24"/>
      <c r="L21" s="25"/>
    </row>
    <row r="23" spans="1:12" ht="15.75" x14ac:dyDescent="0.45">
      <c r="A23" s="59" t="s">
        <v>442</v>
      </c>
      <c r="B23" s="1"/>
    </row>
    <row r="25" spans="1:12" x14ac:dyDescent="0.45">
      <c r="A25" s="1"/>
      <c r="B25" s="1"/>
    </row>
    <row r="26" spans="1:12" x14ac:dyDescent="0.45">
      <c r="A26" s="1"/>
      <c r="B26" s="1"/>
    </row>
  </sheetData>
  <mergeCells count="15">
    <mergeCell ref="A8:A9"/>
    <mergeCell ref="A16:A17"/>
    <mergeCell ref="C16:C17"/>
    <mergeCell ref="D16:D17"/>
    <mergeCell ref="E16:E17"/>
    <mergeCell ref="B8:B9"/>
    <mergeCell ref="B16:B17"/>
    <mergeCell ref="A13:A14"/>
    <mergeCell ref="B13:B14"/>
    <mergeCell ref="L16:L17"/>
    <mergeCell ref="F16:F17"/>
    <mergeCell ref="G16:G17"/>
    <mergeCell ref="H16:H17"/>
    <mergeCell ref="I16:I17"/>
    <mergeCell ref="K16:K17"/>
  </mergeCells>
  <hyperlinks>
    <hyperlink ref="J7" r:id="rId1" display="CEBA data" xr:uid="{0AC57FE8-0222-4D26-8DF8-6C35F25BAD16}"/>
    <hyperlink ref="I7" r:id="rId2" xr:uid="{1540B2A2-2984-48E7-A871-D135B0C046DA}"/>
    <hyperlink ref="I6" r:id="rId3" xr:uid="{286F0B26-41AA-436A-A80D-E9A9C492B5AC}"/>
    <hyperlink ref="I16" r:id="rId4" xr:uid="{9EE20607-2354-4D42-B7F2-CA1442D3DAF9}"/>
    <hyperlink ref="I5" r:id="rId5" xr:uid="{A4B9BE79-9D7A-438B-8D49-5EB155EA6847}"/>
    <hyperlink ref="I8" r:id="rId6" xr:uid="{671A4BFC-D553-4509-A213-915B076CAD5A}"/>
    <hyperlink ref="I11" r:id="rId7" xr:uid="{7B89B830-7E53-4A32-9F15-69687737F0D7}"/>
    <hyperlink ref="J13" r:id="rId8" xr:uid="{4EE352B4-79D3-4780-B88E-FCD45B299FC5}"/>
    <hyperlink ref="I13" r:id="rId9" xr:uid="{D9264DA8-B5B3-4F05-A7DC-95494BD0FF53}"/>
    <hyperlink ref="I12" r:id="rId10" xr:uid="{A04A0D1E-9A7C-4C93-BF60-569F4CCF3323}"/>
    <hyperlink ref="I9" r:id="rId11" xr:uid="{9FEDA449-E3FC-4175-92FE-3D8BBE7DC6FB}"/>
    <hyperlink ref="J17" r:id="rId12" xr:uid="{C35F458D-C09C-4469-83A3-39ED1141ADC7}"/>
    <hyperlink ref="I14" r:id="rId13" xr:uid="{8D78F163-DF9F-4B9F-B0BA-8051DE2EB60D}"/>
  </hyperlinks>
  <pageMargins left="0.7" right="0.7" top="0.75" bottom="0.75" header="0.3" footer="0.3"/>
  <pageSetup orientation="portrait" r:id="rId1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C75F37-838F-4E06-B287-5F8B03278ECF}">
  <sheetPr>
    <tabColor theme="9" tint="-0.249977111117893"/>
  </sheetPr>
  <dimension ref="A1:L56"/>
  <sheetViews>
    <sheetView showGridLines="0" zoomScale="70" zoomScaleNormal="70" workbookViewId="0"/>
  </sheetViews>
  <sheetFormatPr defaultRowHeight="14.25" x14ac:dyDescent="0.45"/>
  <cols>
    <col min="1" max="1" width="68.86328125" customWidth="1"/>
    <col min="2" max="2" width="38.265625" style="57" bestFit="1" customWidth="1"/>
    <col min="3" max="3" width="26.1328125" bestFit="1" customWidth="1"/>
    <col min="4" max="4" width="46.59765625" customWidth="1"/>
    <col min="5" max="5" width="25.265625" bestFit="1" customWidth="1"/>
    <col min="6" max="6" width="42.73046875" style="57" bestFit="1" customWidth="1"/>
    <col min="7" max="7" width="37.265625" bestFit="1" customWidth="1"/>
    <col min="8" max="8" width="14.1328125" bestFit="1" customWidth="1"/>
    <col min="9" max="9" width="13.73046875" bestFit="1" customWidth="1"/>
    <col min="10" max="10" width="21.1328125" bestFit="1" customWidth="1"/>
    <col min="11" max="11" width="30.73046875" customWidth="1"/>
    <col min="12" max="12" width="18.3984375" bestFit="1" customWidth="1"/>
  </cols>
  <sheetData>
    <row r="1" spans="1:12" x14ac:dyDescent="0.45">
      <c r="A1" s="44" t="s">
        <v>392</v>
      </c>
      <c r="B1" s="44"/>
    </row>
    <row r="2" spans="1:12" ht="14.65" thickBot="1" x14ac:dyDescent="0.5"/>
    <row r="3" spans="1:12" ht="15.75" x14ac:dyDescent="0.45">
      <c r="A3" s="43" t="s">
        <v>393</v>
      </c>
      <c r="B3" s="79" t="s">
        <v>441</v>
      </c>
      <c r="C3" s="31" t="s">
        <v>518</v>
      </c>
      <c r="D3" s="31" t="s">
        <v>1</v>
      </c>
      <c r="E3" s="31" t="s">
        <v>2</v>
      </c>
      <c r="F3" s="31" t="s">
        <v>388</v>
      </c>
      <c r="G3" s="31" t="s">
        <v>3</v>
      </c>
      <c r="H3" s="32" t="s">
        <v>4</v>
      </c>
      <c r="I3" s="32" t="s">
        <v>5</v>
      </c>
      <c r="J3" s="32" t="s">
        <v>6</v>
      </c>
      <c r="K3" s="32" t="s">
        <v>7</v>
      </c>
      <c r="L3" s="33" t="s">
        <v>8</v>
      </c>
    </row>
    <row r="4" spans="1:12" ht="32.25" customHeight="1" x14ac:dyDescent="0.45">
      <c r="A4" s="264" t="s">
        <v>344</v>
      </c>
      <c r="B4" s="233"/>
      <c r="C4" s="160" t="s">
        <v>28</v>
      </c>
      <c r="D4" s="105" t="s">
        <v>343</v>
      </c>
      <c r="E4" s="160" t="s">
        <v>18</v>
      </c>
      <c r="F4" s="160" t="s">
        <v>122</v>
      </c>
      <c r="G4" s="176">
        <v>-20</v>
      </c>
      <c r="H4" s="372" t="s">
        <v>90</v>
      </c>
      <c r="I4" s="372"/>
      <c r="J4" s="372"/>
      <c r="K4" s="372"/>
      <c r="L4" s="373"/>
    </row>
    <row r="5" spans="1:12" ht="36" customHeight="1" x14ac:dyDescent="0.45">
      <c r="A5" s="264"/>
      <c r="B5" s="234"/>
      <c r="C5" s="160" t="s">
        <v>28</v>
      </c>
      <c r="D5" s="105" t="s">
        <v>343</v>
      </c>
      <c r="E5" s="160" t="s">
        <v>18</v>
      </c>
      <c r="F5" s="160" t="s">
        <v>122</v>
      </c>
      <c r="G5" s="176">
        <v>20</v>
      </c>
      <c r="H5" s="372"/>
      <c r="I5" s="372"/>
      <c r="J5" s="372"/>
      <c r="K5" s="372"/>
      <c r="L5" s="373"/>
    </row>
    <row r="6" spans="1:12" x14ac:dyDescent="0.45">
      <c r="A6" s="159" t="s">
        <v>342</v>
      </c>
      <c r="B6" s="110">
        <v>112</v>
      </c>
      <c r="C6" s="124" t="s">
        <v>47</v>
      </c>
      <c r="D6" s="124" t="s">
        <v>42</v>
      </c>
      <c r="E6" s="160" t="s">
        <v>122</v>
      </c>
      <c r="F6" s="160"/>
      <c r="G6" s="176" t="s">
        <v>122</v>
      </c>
      <c r="H6" s="124" t="s">
        <v>13</v>
      </c>
      <c r="I6" s="131" t="s">
        <v>43</v>
      </c>
      <c r="J6" s="126" t="s">
        <v>205</v>
      </c>
      <c r="K6" s="101"/>
      <c r="L6" s="109"/>
    </row>
    <row r="7" spans="1:12" x14ac:dyDescent="0.45">
      <c r="A7" s="120" t="s">
        <v>341</v>
      </c>
      <c r="B7" s="111"/>
      <c r="C7" s="124" t="s">
        <v>10</v>
      </c>
      <c r="D7" s="124" t="s">
        <v>19</v>
      </c>
      <c r="E7" s="124" t="s">
        <v>18</v>
      </c>
      <c r="F7" s="160" t="s">
        <v>122</v>
      </c>
      <c r="G7" s="176">
        <v>6.4198120000000003</v>
      </c>
      <c r="H7" s="124" t="s">
        <v>13</v>
      </c>
      <c r="I7" s="125" t="s">
        <v>20</v>
      </c>
      <c r="J7" s="126" t="s">
        <v>15</v>
      </c>
      <c r="K7" s="101"/>
      <c r="L7" s="109"/>
    </row>
    <row r="8" spans="1:12" ht="28.5" x14ac:dyDescent="0.45">
      <c r="A8" s="120" t="s">
        <v>340</v>
      </c>
      <c r="B8" s="111"/>
      <c r="C8" s="124" t="s">
        <v>10</v>
      </c>
      <c r="D8" s="126" t="s">
        <v>277</v>
      </c>
      <c r="E8" s="124" t="s">
        <v>18</v>
      </c>
      <c r="F8" s="160" t="s">
        <v>122</v>
      </c>
      <c r="G8" s="176">
        <v>5</v>
      </c>
      <c r="H8" s="124" t="s">
        <v>13</v>
      </c>
      <c r="I8" s="125" t="s">
        <v>256</v>
      </c>
      <c r="J8" s="126" t="s">
        <v>78</v>
      </c>
      <c r="K8" s="101"/>
      <c r="L8" s="109"/>
    </row>
    <row r="9" spans="1:12" ht="30" customHeight="1" x14ac:dyDescent="0.45">
      <c r="A9" s="264" t="s">
        <v>339</v>
      </c>
      <c r="B9" s="233"/>
      <c r="C9" s="124" t="s">
        <v>10</v>
      </c>
      <c r="D9" s="126" t="s">
        <v>338</v>
      </c>
      <c r="E9" s="124" t="s">
        <v>18</v>
      </c>
      <c r="F9" s="160" t="s">
        <v>122</v>
      </c>
      <c r="G9" s="176">
        <v>-3.3290000000000002</v>
      </c>
      <c r="H9" s="287" t="s">
        <v>90</v>
      </c>
      <c r="I9" s="287"/>
      <c r="J9" s="287"/>
      <c r="K9" s="375"/>
      <c r="L9" s="374"/>
    </row>
    <row r="10" spans="1:12" ht="30" customHeight="1" x14ac:dyDescent="0.45">
      <c r="A10" s="264"/>
      <c r="B10" s="234"/>
      <c r="C10" s="124" t="s">
        <v>10</v>
      </c>
      <c r="D10" s="124" t="s">
        <v>338</v>
      </c>
      <c r="E10" s="124" t="s">
        <v>18</v>
      </c>
      <c r="F10" s="160" t="s">
        <v>122</v>
      </c>
      <c r="G10" s="176">
        <v>3.3290000000000002</v>
      </c>
      <c r="H10" s="287"/>
      <c r="I10" s="287"/>
      <c r="J10" s="287"/>
      <c r="K10" s="375"/>
      <c r="L10" s="374"/>
    </row>
    <row r="11" spans="1:12" x14ac:dyDescent="0.45">
      <c r="A11" s="264" t="s">
        <v>337</v>
      </c>
      <c r="B11" s="233"/>
      <c r="C11" s="124" t="s">
        <v>10</v>
      </c>
      <c r="D11" s="124" t="s">
        <v>336</v>
      </c>
      <c r="E11" s="124" t="s">
        <v>18</v>
      </c>
      <c r="F11" s="160" t="s">
        <v>122</v>
      </c>
      <c r="G11" s="176">
        <v>-33.732999999999997</v>
      </c>
      <c r="H11" s="287" t="s">
        <v>90</v>
      </c>
      <c r="I11" s="287"/>
      <c r="J11" s="287"/>
      <c r="K11" s="375"/>
      <c r="L11" s="374"/>
    </row>
    <row r="12" spans="1:12" x14ac:dyDescent="0.45">
      <c r="A12" s="264"/>
      <c r="B12" s="234"/>
      <c r="C12" s="124" t="s">
        <v>10</v>
      </c>
      <c r="D12" s="124" t="s">
        <v>336</v>
      </c>
      <c r="E12" s="124" t="s">
        <v>18</v>
      </c>
      <c r="F12" s="160" t="s">
        <v>122</v>
      </c>
      <c r="G12" s="176">
        <v>33.732999999999997</v>
      </c>
      <c r="H12" s="287"/>
      <c r="I12" s="287"/>
      <c r="J12" s="287"/>
      <c r="K12" s="375"/>
      <c r="L12" s="374"/>
    </row>
    <row r="13" spans="1:12" ht="30" customHeight="1" x14ac:dyDescent="0.45">
      <c r="A13" s="264" t="s">
        <v>335</v>
      </c>
      <c r="B13" s="233"/>
      <c r="C13" s="124" t="s">
        <v>10</v>
      </c>
      <c r="D13" s="126" t="s">
        <v>334</v>
      </c>
      <c r="E13" s="124" t="s">
        <v>18</v>
      </c>
      <c r="F13" s="160" t="s">
        <v>122</v>
      </c>
      <c r="G13" s="176">
        <v>5.5269320000000004</v>
      </c>
      <c r="H13" s="124" t="s">
        <v>90</v>
      </c>
      <c r="I13" s="124"/>
      <c r="J13" s="124"/>
      <c r="K13" s="101"/>
      <c r="L13" s="109"/>
    </row>
    <row r="14" spans="1:12" x14ac:dyDescent="0.45">
      <c r="A14" s="264"/>
      <c r="B14" s="234"/>
      <c r="C14" s="124" t="s">
        <v>10</v>
      </c>
      <c r="D14" s="126" t="s">
        <v>98</v>
      </c>
      <c r="E14" s="124" t="s">
        <v>18</v>
      </c>
      <c r="F14" s="160" t="s">
        <v>122</v>
      </c>
      <c r="G14" s="176">
        <f>27.30409+63.65</f>
        <v>90.954089999999994</v>
      </c>
      <c r="H14" s="124" t="s">
        <v>13</v>
      </c>
      <c r="I14" s="125" t="s">
        <v>99</v>
      </c>
      <c r="J14" s="126" t="s">
        <v>21</v>
      </c>
      <c r="K14" s="101" t="s">
        <v>463</v>
      </c>
      <c r="L14" s="123">
        <v>44196</v>
      </c>
    </row>
    <row r="15" spans="1:12" ht="30" customHeight="1" x14ac:dyDescent="0.45">
      <c r="A15" s="264" t="s">
        <v>333</v>
      </c>
      <c r="B15" s="233"/>
      <c r="C15" s="124" t="s">
        <v>10</v>
      </c>
      <c r="D15" s="126" t="s">
        <v>327</v>
      </c>
      <c r="E15" s="124" t="s">
        <v>18</v>
      </c>
      <c r="F15" s="160" t="s">
        <v>122</v>
      </c>
      <c r="G15" s="176">
        <v>1.3129919999999999</v>
      </c>
      <c r="H15" s="124" t="s">
        <v>13</v>
      </c>
      <c r="I15" s="125" t="s">
        <v>326</v>
      </c>
      <c r="J15" s="126" t="s">
        <v>21</v>
      </c>
      <c r="K15" s="113" t="s">
        <v>471</v>
      </c>
      <c r="L15" s="123">
        <v>44135</v>
      </c>
    </row>
    <row r="16" spans="1:12" x14ac:dyDescent="0.45">
      <c r="A16" s="264"/>
      <c r="B16" s="246"/>
      <c r="C16" s="124" t="s">
        <v>10</v>
      </c>
      <c r="D16" s="126" t="s">
        <v>40</v>
      </c>
      <c r="E16" s="124" t="s">
        <v>18</v>
      </c>
      <c r="F16" s="160" t="s">
        <v>122</v>
      </c>
      <c r="G16" s="213">
        <v>0.44668799999999997</v>
      </c>
      <c r="H16" s="124" t="s">
        <v>13</v>
      </c>
      <c r="I16" s="125" t="s">
        <v>332</v>
      </c>
      <c r="J16" s="126" t="s">
        <v>252</v>
      </c>
      <c r="K16" s="101"/>
      <c r="L16" s="109"/>
    </row>
    <row r="17" spans="1:12" x14ac:dyDescent="0.45">
      <c r="A17" s="264"/>
      <c r="B17" s="234"/>
      <c r="C17" s="124" t="s">
        <v>10</v>
      </c>
      <c r="D17" s="126" t="s">
        <v>34</v>
      </c>
      <c r="E17" s="124" t="s">
        <v>18</v>
      </c>
      <c r="F17" s="160" t="s">
        <v>122</v>
      </c>
      <c r="G17" s="213">
        <v>0.19544</v>
      </c>
      <c r="H17" s="124" t="s">
        <v>13</v>
      </c>
      <c r="I17" s="125" t="s">
        <v>35</v>
      </c>
      <c r="J17" s="124" t="s">
        <v>15</v>
      </c>
      <c r="K17" s="101"/>
      <c r="L17" s="109"/>
    </row>
    <row r="18" spans="1:12" x14ac:dyDescent="0.45">
      <c r="A18" s="264" t="s">
        <v>331</v>
      </c>
      <c r="B18" s="233"/>
      <c r="C18" s="124" t="s">
        <v>10</v>
      </c>
      <c r="D18" s="126" t="s">
        <v>121</v>
      </c>
      <c r="E18" s="124" t="s">
        <v>18</v>
      </c>
      <c r="F18" s="160" t="s">
        <v>122</v>
      </c>
      <c r="G18" s="176">
        <v>-2</v>
      </c>
      <c r="H18" s="287" t="s">
        <v>13</v>
      </c>
      <c r="I18" s="255" t="s">
        <v>80</v>
      </c>
      <c r="J18" s="283" t="s">
        <v>78</v>
      </c>
      <c r="K18" s="375"/>
      <c r="L18" s="374"/>
    </row>
    <row r="19" spans="1:12" x14ac:dyDescent="0.45">
      <c r="A19" s="264"/>
      <c r="B19" s="234"/>
      <c r="C19" s="124" t="s">
        <v>10</v>
      </c>
      <c r="D19" s="124" t="s">
        <v>75</v>
      </c>
      <c r="E19" s="124" t="s">
        <v>18</v>
      </c>
      <c r="F19" s="160" t="s">
        <v>122</v>
      </c>
      <c r="G19" s="176">
        <v>2</v>
      </c>
      <c r="H19" s="287"/>
      <c r="I19" s="255"/>
      <c r="J19" s="283"/>
      <c r="K19" s="375"/>
      <c r="L19" s="374"/>
    </row>
    <row r="20" spans="1:12" x14ac:dyDescent="0.45">
      <c r="A20" s="376" t="s">
        <v>330</v>
      </c>
      <c r="B20" s="229"/>
      <c r="C20" s="124" t="s">
        <v>10</v>
      </c>
      <c r="D20" s="124" t="s">
        <v>22</v>
      </c>
      <c r="E20" s="124" t="s">
        <v>18</v>
      </c>
      <c r="F20" s="160" t="s">
        <v>122</v>
      </c>
      <c r="G20" s="213">
        <v>-0.45871099999999998</v>
      </c>
      <c r="H20" s="287" t="s">
        <v>13</v>
      </c>
      <c r="I20" s="255" t="s">
        <v>177</v>
      </c>
      <c r="J20" s="283" t="s">
        <v>78</v>
      </c>
      <c r="K20" s="375"/>
      <c r="L20" s="374"/>
    </row>
    <row r="21" spans="1:12" x14ac:dyDescent="0.45">
      <c r="A21" s="376"/>
      <c r="B21" s="230"/>
      <c r="C21" s="124" t="s">
        <v>10</v>
      </c>
      <c r="D21" s="124" t="s">
        <v>71</v>
      </c>
      <c r="E21" s="124" t="s">
        <v>18</v>
      </c>
      <c r="F21" s="160" t="s">
        <v>122</v>
      </c>
      <c r="G21" s="213">
        <v>0.45871099999999998</v>
      </c>
      <c r="H21" s="287"/>
      <c r="I21" s="255"/>
      <c r="J21" s="283"/>
      <c r="K21" s="375"/>
      <c r="L21" s="374"/>
    </row>
    <row r="22" spans="1:12" ht="28.5" x14ac:dyDescent="0.45">
      <c r="A22" s="376" t="s">
        <v>329</v>
      </c>
      <c r="B22" s="229"/>
      <c r="C22" s="124" t="s">
        <v>10</v>
      </c>
      <c r="D22" s="124" t="s">
        <v>71</v>
      </c>
      <c r="E22" s="124" t="s">
        <v>18</v>
      </c>
      <c r="F22" s="160" t="s">
        <v>122</v>
      </c>
      <c r="G22" s="176">
        <v>44.52328</v>
      </c>
      <c r="H22" s="124" t="s">
        <v>13</v>
      </c>
      <c r="I22" s="125" t="s">
        <v>177</v>
      </c>
      <c r="J22" s="126" t="s">
        <v>78</v>
      </c>
      <c r="K22" s="101"/>
      <c r="L22" s="109"/>
    </row>
    <row r="23" spans="1:12" ht="28.5" x14ac:dyDescent="0.45">
      <c r="A23" s="376"/>
      <c r="B23" s="230"/>
      <c r="C23" s="124" t="s">
        <v>10</v>
      </c>
      <c r="D23" s="124" t="s">
        <v>75</v>
      </c>
      <c r="E23" s="124" t="s">
        <v>18</v>
      </c>
      <c r="F23" s="160" t="s">
        <v>122</v>
      </c>
      <c r="G23" s="176">
        <v>3.9385840000000001</v>
      </c>
      <c r="H23" s="124" t="s">
        <v>13</v>
      </c>
      <c r="I23" s="125" t="s">
        <v>80</v>
      </c>
      <c r="J23" s="126" t="s">
        <v>78</v>
      </c>
      <c r="K23" s="101"/>
      <c r="L23" s="109"/>
    </row>
    <row r="24" spans="1:12" ht="28.5" x14ac:dyDescent="0.45">
      <c r="A24" s="159" t="s">
        <v>328</v>
      </c>
      <c r="B24" s="112"/>
      <c r="C24" s="124" t="s">
        <v>10</v>
      </c>
      <c r="D24" s="126" t="s">
        <v>136</v>
      </c>
      <c r="E24" s="124" t="s">
        <v>18</v>
      </c>
      <c r="F24" s="160" t="s">
        <v>122</v>
      </c>
      <c r="G24" s="176">
        <v>4.2189170000000003</v>
      </c>
      <c r="H24" s="124" t="s">
        <v>90</v>
      </c>
      <c r="I24" s="124"/>
      <c r="J24" s="124"/>
      <c r="K24" s="101"/>
      <c r="L24" s="109"/>
    </row>
    <row r="25" spans="1:12" x14ac:dyDescent="0.45">
      <c r="A25" s="120" t="s">
        <v>325</v>
      </c>
      <c r="B25" s="111"/>
      <c r="C25" s="124" t="s">
        <v>47</v>
      </c>
      <c r="D25" s="124" t="s">
        <v>324</v>
      </c>
      <c r="E25" s="124" t="s">
        <v>122</v>
      </c>
      <c r="F25" s="160" t="s">
        <v>122</v>
      </c>
      <c r="G25" s="176" t="s">
        <v>122</v>
      </c>
      <c r="H25" s="124" t="s">
        <v>13</v>
      </c>
      <c r="I25" s="125" t="s">
        <v>323</v>
      </c>
      <c r="J25" s="126" t="s">
        <v>21</v>
      </c>
      <c r="K25" s="101" t="s">
        <v>138</v>
      </c>
      <c r="L25" s="109"/>
    </row>
    <row r="26" spans="1:12" ht="28.5" x14ac:dyDescent="0.45">
      <c r="A26" s="120" t="s">
        <v>380</v>
      </c>
      <c r="B26" s="111"/>
      <c r="C26" s="124" t="s">
        <v>47</v>
      </c>
      <c r="D26" s="126" t="s">
        <v>40</v>
      </c>
      <c r="E26" s="124" t="s">
        <v>122</v>
      </c>
      <c r="F26" s="160" t="s">
        <v>122</v>
      </c>
      <c r="G26" s="176" t="s">
        <v>122</v>
      </c>
      <c r="H26" s="223" t="s">
        <v>574</v>
      </c>
      <c r="I26" s="124" t="s">
        <v>122</v>
      </c>
      <c r="J26" s="137" t="s">
        <v>284</v>
      </c>
      <c r="K26" s="138" t="s">
        <v>381</v>
      </c>
      <c r="L26" s="129" t="s">
        <v>93</v>
      </c>
    </row>
    <row r="27" spans="1:12" ht="57" x14ac:dyDescent="0.45">
      <c r="A27" s="120" t="s">
        <v>382</v>
      </c>
      <c r="B27" s="85">
        <v>4</v>
      </c>
      <c r="C27" s="124" t="s">
        <v>47</v>
      </c>
      <c r="D27" s="126" t="s">
        <v>40</v>
      </c>
      <c r="E27" s="124" t="s">
        <v>122</v>
      </c>
      <c r="F27" s="137" t="s">
        <v>425</v>
      </c>
      <c r="G27" s="176" t="s">
        <v>122</v>
      </c>
      <c r="H27" s="124" t="s">
        <v>13</v>
      </c>
      <c r="I27" s="125" t="s">
        <v>383</v>
      </c>
      <c r="J27" s="137" t="s">
        <v>384</v>
      </c>
      <c r="K27" s="107" t="s">
        <v>555</v>
      </c>
      <c r="L27" s="123">
        <v>44241</v>
      </c>
    </row>
    <row r="28" spans="1:12" s="57" customFormat="1" ht="28.5" x14ac:dyDescent="0.45">
      <c r="A28" s="120" t="s">
        <v>321</v>
      </c>
      <c r="B28" s="138"/>
      <c r="C28" s="124" t="s">
        <v>47</v>
      </c>
      <c r="D28" s="126" t="s">
        <v>169</v>
      </c>
      <c r="E28" s="124" t="s">
        <v>122</v>
      </c>
      <c r="F28" s="117" t="s">
        <v>122</v>
      </c>
      <c r="G28" s="186" t="s">
        <v>122</v>
      </c>
      <c r="H28" s="121" t="s">
        <v>13</v>
      </c>
      <c r="I28" s="140" t="s">
        <v>177</v>
      </c>
      <c r="J28" s="117" t="s">
        <v>78</v>
      </c>
      <c r="K28" s="134"/>
      <c r="L28" s="152"/>
    </row>
    <row r="29" spans="1:12" s="57" customFormat="1" x14ac:dyDescent="0.45">
      <c r="A29" s="120" t="s">
        <v>439</v>
      </c>
      <c r="B29" s="138"/>
      <c r="C29" s="124" t="s">
        <v>47</v>
      </c>
      <c r="D29" s="126" t="s">
        <v>11</v>
      </c>
      <c r="E29" s="124" t="s">
        <v>122</v>
      </c>
      <c r="F29" s="126" t="s">
        <v>122</v>
      </c>
      <c r="G29" s="176" t="s">
        <v>122</v>
      </c>
      <c r="H29" s="124" t="s">
        <v>13</v>
      </c>
      <c r="I29" s="131" t="s">
        <v>14</v>
      </c>
      <c r="J29" s="124" t="s">
        <v>21</v>
      </c>
      <c r="K29" s="127" t="s">
        <v>440</v>
      </c>
      <c r="L29" s="128">
        <v>44166</v>
      </c>
    </row>
    <row r="30" spans="1:12" s="57" customFormat="1" x14ac:dyDescent="0.45">
      <c r="A30" s="120" t="s">
        <v>540</v>
      </c>
      <c r="B30" s="138"/>
      <c r="C30" s="124" t="s">
        <v>520</v>
      </c>
      <c r="D30" s="73" t="s">
        <v>258</v>
      </c>
      <c r="E30" s="124" t="s">
        <v>18</v>
      </c>
      <c r="F30" s="126" t="s">
        <v>122</v>
      </c>
      <c r="G30" s="176">
        <v>6.8760000000000003</v>
      </c>
      <c r="H30" s="168" t="s">
        <v>13</v>
      </c>
      <c r="I30" s="166" t="s">
        <v>35</v>
      </c>
      <c r="J30" s="168" t="s">
        <v>15</v>
      </c>
      <c r="K30" s="134"/>
      <c r="L30" s="147"/>
    </row>
    <row r="31" spans="1:12" s="57" customFormat="1" x14ac:dyDescent="0.45">
      <c r="A31" s="264" t="s">
        <v>539</v>
      </c>
      <c r="B31" s="283"/>
      <c r="C31" s="124" t="s">
        <v>520</v>
      </c>
      <c r="D31" s="126" t="s">
        <v>24</v>
      </c>
      <c r="E31" s="124" t="s">
        <v>18</v>
      </c>
      <c r="F31" s="126" t="s">
        <v>122</v>
      </c>
      <c r="G31" s="176">
        <v>-1.1006830000000001</v>
      </c>
      <c r="H31" s="287" t="s">
        <v>13</v>
      </c>
      <c r="I31" s="255" t="s">
        <v>80</v>
      </c>
      <c r="J31" s="229" t="s">
        <v>15</v>
      </c>
      <c r="K31" s="229"/>
      <c r="L31" s="237"/>
    </row>
    <row r="32" spans="1:12" s="57" customFormat="1" x14ac:dyDescent="0.45">
      <c r="A32" s="264"/>
      <c r="B32" s="283"/>
      <c r="C32" s="124" t="s">
        <v>520</v>
      </c>
      <c r="D32" s="63" t="s">
        <v>75</v>
      </c>
      <c r="E32" s="124" t="s">
        <v>18</v>
      </c>
      <c r="F32" s="126" t="s">
        <v>122</v>
      </c>
      <c r="G32" s="176">
        <v>1.1006830000000001</v>
      </c>
      <c r="H32" s="287"/>
      <c r="I32" s="255"/>
      <c r="J32" s="230"/>
      <c r="K32" s="230"/>
      <c r="L32" s="238"/>
    </row>
    <row r="33" spans="1:12" s="57" customFormat="1" x14ac:dyDescent="0.45">
      <c r="A33" s="120" t="s">
        <v>538</v>
      </c>
      <c r="B33" s="138"/>
      <c r="C33" s="124" t="s">
        <v>520</v>
      </c>
      <c r="D33" s="63" t="s">
        <v>71</v>
      </c>
      <c r="E33" s="124" t="s">
        <v>18</v>
      </c>
      <c r="F33" s="126" t="s">
        <v>122</v>
      </c>
      <c r="G33" s="176">
        <v>1.5</v>
      </c>
      <c r="H33" s="168" t="s">
        <v>13</v>
      </c>
      <c r="I33" s="166" t="s">
        <v>177</v>
      </c>
      <c r="J33" s="121" t="s">
        <v>15</v>
      </c>
      <c r="K33" s="134"/>
      <c r="L33" s="147"/>
    </row>
    <row r="34" spans="1:12" s="57" customFormat="1" x14ac:dyDescent="0.45">
      <c r="A34" s="243" t="s">
        <v>536</v>
      </c>
      <c r="B34" s="233"/>
      <c r="C34" s="124" t="s">
        <v>520</v>
      </c>
      <c r="D34" s="63" t="s">
        <v>37</v>
      </c>
      <c r="E34" s="124" t="s">
        <v>18</v>
      </c>
      <c r="F34" s="126" t="s">
        <v>122</v>
      </c>
      <c r="G34" s="176">
        <f>58+-3.5</f>
        <v>54.5</v>
      </c>
      <c r="H34" s="168" t="s">
        <v>13</v>
      </c>
      <c r="I34" s="166" t="s">
        <v>43</v>
      </c>
      <c r="J34" s="121" t="s">
        <v>15</v>
      </c>
      <c r="K34" s="134"/>
      <c r="L34" s="147"/>
    </row>
    <row r="35" spans="1:12" s="57" customFormat="1" ht="28.5" x14ac:dyDescent="0.45">
      <c r="A35" s="245"/>
      <c r="B35" s="234"/>
      <c r="C35" s="124" t="s">
        <v>520</v>
      </c>
      <c r="D35" s="63" t="s">
        <v>29</v>
      </c>
      <c r="E35" s="124" t="s">
        <v>18</v>
      </c>
      <c r="F35" s="126" t="s">
        <v>122</v>
      </c>
      <c r="G35" s="176">
        <v>3.5</v>
      </c>
      <c r="H35" s="165" t="s">
        <v>434</v>
      </c>
      <c r="I35" s="146"/>
      <c r="J35" s="121"/>
      <c r="K35" s="134"/>
      <c r="L35" s="147"/>
    </row>
    <row r="36" spans="1:12" s="57" customFormat="1" x14ac:dyDescent="0.45">
      <c r="A36" s="116" t="s">
        <v>535</v>
      </c>
      <c r="B36" s="157"/>
      <c r="C36" s="124" t="s">
        <v>520</v>
      </c>
      <c r="D36" s="63" t="s">
        <v>98</v>
      </c>
      <c r="E36" s="124" t="s">
        <v>18</v>
      </c>
      <c r="F36" s="126" t="s">
        <v>122</v>
      </c>
      <c r="G36" s="176">
        <v>27.858000000000001</v>
      </c>
      <c r="H36" s="197" t="s">
        <v>13</v>
      </c>
      <c r="I36" s="198" t="s">
        <v>99</v>
      </c>
      <c r="J36" s="121" t="s">
        <v>15</v>
      </c>
      <c r="K36" s="134"/>
      <c r="L36" s="147"/>
    </row>
    <row r="37" spans="1:12" s="57" customFormat="1" x14ac:dyDescent="0.45">
      <c r="A37" s="116" t="s">
        <v>533</v>
      </c>
      <c r="B37" s="157"/>
      <c r="C37" s="124" t="s">
        <v>520</v>
      </c>
      <c r="D37" s="167" t="s">
        <v>534</v>
      </c>
      <c r="E37" s="124" t="s">
        <v>18</v>
      </c>
      <c r="F37" s="126" t="s">
        <v>122</v>
      </c>
      <c r="G37" s="176">
        <v>12</v>
      </c>
      <c r="H37" s="193" t="s">
        <v>90</v>
      </c>
      <c r="I37" s="146"/>
      <c r="J37" s="121"/>
      <c r="K37" s="134"/>
      <c r="L37" s="147"/>
    </row>
    <row r="38" spans="1:12" s="57" customFormat="1" x14ac:dyDescent="0.45">
      <c r="A38" s="116" t="s">
        <v>529</v>
      </c>
      <c r="B38" s="157"/>
      <c r="C38" s="124" t="s">
        <v>520</v>
      </c>
      <c r="D38" s="63" t="s">
        <v>153</v>
      </c>
      <c r="E38" s="124" t="s">
        <v>18</v>
      </c>
      <c r="F38" s="126" t="s">
        <v>122</v>
      </c>
      <c r="G38" s="176">
        <v>1.095429</v>
      </c>
      <c r="H38" s="193" t="s">
        <v>90</v>
      </c>
      <c r="I38" s="146"/>
      <c r="J38" s="121"/>
      <c r="K38" s="134"/>
      <c r="L38" s="147"/>
    </row>
    <row r="39" spans="1:12" s="57" customFormat="1" x14ac:dyDescent="0.45">
      <c r="A39" s="116" t="s">
        <v>530</v>
      </c>
      <c r="B39" s="157"/>
      <c r="C39" s="124" t="s">
        <v>520</v>
      </c>
      <c r="D39" s="63" t="s">
        <v>153</v>
      </c>
      <c r="E39" s="124" t="s">
        <v>18</v>
      </c>
      <c r="F39" s="126" t="s">
        <v>122</v>
      </c>
      <c r="G39" s="176">
        <v>20.712181000000001</v>
      </c>
      <c r="H39" s="193" t="s">
        <v>90</v>
      </c>
      <c r="I39" s="146"/>
      <c r="J39" s="121"/>
      <c r="K39" s="134"/>
      <c r="L39" s="147"/>
    </row>
    <row r="40" spans="1:12" s="57" customFormat="1" x14ac:dyDescent="0.45">
      <c r="A40" s="116" t="s">
        <v>531</v>
      </c>
      <c r="B40" s="157"/>
      <c r="C40" s="124" t="s">
        <v>520</v>
      </c>
      <c r="D40" s="63" t="s">
        <v>153</v>
      </c>
      <c r="E40" s="124" t="s">
        <v>18</v>
      </c>
      <c r="F40" s="126" t="s">
        <v>122</v>
      </c>
      <c r="G40" s="176">
        <v>2.1428500000000001</v>
      </c>
      <c r="H40" s="193" t="s">
        <v>90</v>
      </c>
      <c r="I40" s="146"/>
      <c r="J40" s="121"/>
      <c r="K40" s="134"/>
      <c r="L40" s="147"/>
    </row>
    <row r="41" spans="1:12" s="57" customFormat="1" x14ac:dyDescent="0.45">
      <c r="A41" s="116" t="s">
        <v>532</v>
      </c>
      <c r="B41" s="157"/>
      <c r="C41" s="124" t="s">
        <v>520</v>
      </c>
      <c r="D41" s="63" t="s">
        <v>153</v>
      </c>
      <c r="E41" s="124" t="s">
        <v>18</v>
      </c>
      <c r="F41" s="126" t="s">
        <v>122</v>
      </c>
      <c r="G41" s="176">
        <f>31.1063+5.213945</f>
        <v>36.320245</v>
      </c>
      <c r="H41" s="193" t="s">
        <v>90</v>
      </c>
      <c r="I41" s="146"/>
      <c r="J41" s="121"/>
      <c r="K41" s="134"/>
      <c r="L41" s="147"/>
    </row>
    <row r="42" spans="1:12" s="57" customFormat="1" x14ac:dyDescent="0.45">
      <c r="A42" s="243" t="s">
        <v>526</v>
      </c>
      <c r="B42" s="233"/>
      <c r="C42" s="124" t="s">
        <v>520</v>
      </c>
      <c r="D42" s="167" t="s">
        <v>19</v>
      </c>
      <c r="E42" s="124" t="s">
        <v>18</v>
      </c>
      <c r="F42" s="126" t="s">
        <v>122</v>
      </c>
      <c r="G42" s="176">
        <v>-10.3</v>
      </c>
      <c r="H42" s="229" t="s">
        <v>90</v>
      </c>
      <c r="I42" s="229"/>
      <c r="J42" s="229"/>
      <c r="K42" s="229"/>
      <c r="L42" s="257"/>
    </row>
    <row r="43" spans="1:12" s="57" customFormat="1" x14ac:dyDescent="0.45">
      <c r="A43" s="244"/>
      <c r="B43" s="246"/>
      <c r="C43" s="124" t="s">
        <v>520</v>
      </c>
      <c r="D43" s="167" t="s">
        <v>19</v>
      </c>
      <c r="E43" s="124" t="s">
        <v>18</v>
      </c>
      <c r="F43" s="126" t="s">
        <v>122</v>
      </c>
      <c r="G43" s="176">
        <v>9</v>
      </c>
      <c r="H43" s="247"/>
      <c r="I43" s="247"/>
      <c r="J43" s="247"/>
      <c r="K43" s="247"/>
      <c r="L43" s="258"/>
    </row>
    <row r="44" spans="1:12" s="57" customFormat="1" x14ac:dyDescent="0.45">
      <c r="A44" s="245"/>
      <c r="B44" s="234"/>
      <c r="C44" s="124" t="s">
        <v>520</v>
      </c>
      <c r="D44" s="167" t="s">
        <v>19</v>
      </c>
      <c r="E44" s="124" t="s">
        <v>18</v>
      </c>
      <c r="F44" s="126" t="s">
        <v>122</v>
      </c>
      <c r="G44" s="176">
        <v>1.3</v>
      </c>
      <c r="H44" s="230"/>
      <c r="I44" s="230"/>
      <c r="J44" s="230"/>
      <c r="K44" s="230"/>
      <c r="L44" s="259"/>
    </row>
    <row r="45" spans="1:12" s="57" customFormat="1" x14ac:dyDescent="0.45">
      <c r="A45" s="243" t="s">
        <v>524</v>
      </c>
      <c r="B45" s="233"/>
      <c r="C45" s="124" t="s">
        <v>520</v>
      </c>
      <c r="D45" s="126" t="s">
        <v>525</v>
      </c>
      <c r="E45" s="124" t="s">
        <v>18</v>
      </c>
      <c r="F45" s="126" t="s">
        <v>122</v>
      </c>
      <c r="G45" s="176">
        <v>-3</v>
      </c>
      <c r="H45" s="229" t="s">
        <v>90</v>
      </c>
      <c r="I45" s="229"/>
      <c r="J45" s="229"/>
      <c r="K45" s="229"/>
      <c r="L45" s="257"/>
    </row>
    <row r="46" spans="1:12" s="57" customFormat="1" x14ac:dyDescent="0.45">
      <c r="A46" s="245"/>
      <c r="B46" s="234"/>
      <c r="C46" s="124" t="s">
        <v>520</v>
      </c>
      <c r="D46" s="126" t="s">
        <v>525</v>
      </c>
      <c r="E46" s="124" t="s">
        <v>18</v>
      </c>
      <c r="F46" s="126" t="s">
        <v>122</v>
      </c>
      <c r="G46" s="176">
        <v>3</v>
      </c>
      <c r="H46" s="230"/>
      <c r="I46" s="230"/>
      <c r="J46" s="230"/>
      <c r="K46" s="230"/>
      <c r="L46" s="259"/>
    </row>
    <row r="47" spans="1:12" s="57" customFormat="1" x14ac:dyDescent="0.45">
      <c r="A47" s="243" t="s">
        <v>523</v>
      </c>
      <c r="B47" s="233"/>
      <c r="C47" s="124" t="s">
        <v>520</v>
      </c>
      <c r="D47" s="126" t="s">
        <v>11</v>
      </c>
      <c r="E47" s="124" t="s">
        <v>18</v>
      </c>
      <c r="F47" s="126" t="s">
        <v>122</v>
      </c>
      <c r="G47" s="176">
        <v>-3.6</v>
      </c>
      <c r="H47" s="229" t="s">
        <v>90</v>
      </c>
      <c r="I47" s="274"/>
      <c r="J47" s="274"/>
      <c r="K47" s="274"/>
      <c r="L47" s="370"/>
    </row>
    <row r="48" spans="1:12" s="57" customFormat="1" x14ac:dyDescent="0.45">
      <c r="A48" s="245"/>
      <c r="B48" s="234"/>
      <c r="C48" s="124" t="s">
        <v>520</v>
      </c>
      <c r="D48" s="126" t="s">
        <v>11</v>
      </c>
      <c r="E48" s="124" t="s">
        <v>18</v>
      </c>
      <c r="F48" s="126" t="s">
        <v>122</v>
      </c>
      <c r="G48" s="176">
        <v>3.6</v>
      </c>
      <c r="H48" s="230"/>
      <c r="I48" s="276"/>
      <c r="J48" s="276"/>
      <c r="K48" s="276"/>
      <c r="L48" s="371"/>
    </row>
    <row r="49" spans="1:12" s="57" customFormat="1" ht="14.65" thickBot="1" x14ac:dyDescent="0.5">
      <c r="A49" s="116" t="s">
        <v>541</v>
      </c>
      <c r="B49" s="55"/>
      <c r="C49" s="158" t="s">
        <v>520</v>
      </c>
      <c r="D49" s="158" t="s">
        <v>153</v>
      </c>
      <c r="E49" s="158" t="s">
        <v>12</v>
      </c>
      <c r="F49" s="158" t="s">
        <v>522</v>
      </c>
      <c r="G49" s="191">
        <v>38.5</v>
      </c>
      <c r="H49" s="158" t="s">
        <v>90</v>
      </c>
      <c r="I49" s="158"/>
      <c r="J49" s="158"/>
      <c r="K49" s="55"/>
      <c r="L49" s="52"/>
    </row>
    <row r="50" spans="1:12" ht="14.65" thickBot="1" x14ac:dyDescent="0.5">
      <c r="A50" s="187" t="s">
        <v>394</v>
      </c>
      <c r="B50" s="188">
        <f>SUM(B4:B49)</f>
        <v>116</v>
      </c>
      <c r="C50" s="189"/>
      <c r="D50" s="189"/>
      <c r="E50" s="189"/>
      <c r="F50" s="189"/>
      <c r="G50" s="188">
        <f>SUM(G4:G49)</f>
        <v>367.54144000000002</v>
      </c>
      <c r="H50" s="189"/>
      <c r="I50" s="189"/>
      <c r="J50" s="189"/>
      <c r="K50" s="189"/>
      <c r="L50" s="190"/>
    </row>
    <row r="51" spans="1:12" ht="14.65" thickBot="1" x14ac:dyDescent="0.5">
      <c r="A51" s="42" t="s">
        <v>395</v>
      </c>
      <c r="B51" s="84"/>
      <c r="C51" s="40"/>
      <c r="D51" s="40"/>
      <c r="E51" s="40"/>
      <c r="F51" s="40"/>
      <c r="G51" s="41">
        <f>SUMIF(C4:C49,"*Supps A*",G4:G49)</f>
        <v>0</v>
      </c>
      <c r="H51" s="40"/>
      <c r="I51" s="40"/>
      <c r="J51" s="40"/>
      <c r="K51" s="40"/>
      <c r="L51" s="39"/>
    </row>
    <row r="52" spans="1:12" ht="14.65" thickBot="1" x14ac:dyDescent="0.5">
      <c r="A52" s="42" t="s">
        <v>396</v>
      </c>
      <c r="B52" s="84"/>
      <c r="C52" s="40"/>
      <c r="D52" s="40"/>
      <c r="E52" s="40"/>
      <c r="F52" s="40"/>
      <c r="G52" s="41">
        <f>SUMIF(C4:C49,"*Supps B*",G4:G49)</f>
        <v>162.53673499999999</v>
      </c>
      <c r="H52" s="40"/>
      <c r="I52" s="40"/>
      <c r="J52" s="40"/>
      <c r="K52" s="40"/>
      <c r="L52" s="39"/>
    </row>
    <row r="53" spans="1:12" s="57" customFormat="1" ht="14.65" thickBot="1" x14ac:dyDescent="0.5">
      <c r="A53" s="42" t="s">
        <v>519</v>
      </c>
      <c r="B53" s="84"/>
      <c r="C53" s="40"/>
      <c r="D53" s="40"/>
      <c r="E53" s="40"/>
      <c r="F53" s="40"/>
      <c r="G53" s="41">
        <f>SUMIF(C5:C49,"*Supps C*",G5:G49)</f>
        <v>205.004705</v>
      </c>
      <c r="H53" s="40"/>
      <c r="I53" s="40"/>
      <c r="J53" s="40"/>
      <c r="K53" s="40"/>
      <c r="L53" s="39"/>
    </row>
    <row r="54" spans="1:12" x14ac:dyDescent="0.45">
      <c r="C54" s="37"/>
      <c r="G54" s="38"/>
    </row>
    <row r="55" spans="1:12" ht="15.75" x14ac:dyDescent="0.45">
      <c r="A55" s="92" t="s">
        <v>448</v>
      </c>
      <c r="C55" s="37"/>
    </row>
    <row r="56" spans="1:12" x14ac:dyDescent="0.45">
      <c r="G56" s="23"/>
    </row>
  </sheetData>
  <mergeCells count="71">
    <mergeCell ref="H20:H21"/>
    <mergeCell ref="I20:I21"/>
    <mergeCell ref="J20:J21"/>
    <mergeCell ref="K20:K21"/>
    <mergeCell ref="L20:L21"/>
    <mergeCell ref="B13:B14"/>
    <mergeCell ref="B15:B17"/>
    <mergeCell ref="B18:B19"/>
    <mergeCell ref="B20:B21"/>
    <mergeCell ref="B22:B23"/>
    <mergeCell ref="H18:H19"/>
    <mergeCell ref="I18:I19"/>
    <mergeCell ref="J18:J19"/>
    <mergeCell ref="K18:K19"/>
    <mergeCell ref="L18:L19"/>
    <mergeCell ref="A22:A23"/>
    <mergeCell ref="A13:A14"/>
    <mergeCell ref="A15:A17"/>
    <mergeCell ref="A20:A21"/>
    <mergeCell ref="A18:A19"/>
    <mergeCell ref="J4:J5"/>
    <mergeCell ref="K4:K5"/>
    <mergeCell ref="L4:L5"/>
    <mergeCell ref="L11:L12"/>
    <mergeCell ref="J11:J12"/>
    <mergeCell ref="K11:K12"/>
    <mergeCell ref="J9:J10"/>
    <mergeCell ref="K9:K10"/>
    <mergeCell ref="L9:L10"/>
    <mergeCell ref="A4:A5"/>
    <mergeCell ref="A11:A12"/>
    <mergeCell ref="A9:A10"/>
    <mergeCell ref="H4:H5"/>
    <mergeCell ref="I4:I5"/>
    <mergeCell ref="B4:B5"/>
    <mergeCell ref="B9:B10"/>
    <mergeCell ref="B11:B12"/>
    <mergeCell ref="H11:H12"/>
    <mergeCell ref="H9:H10"/>
    <mergeCell ref="I9:I10"/>
    <mergeCell ref="I11:I12"/>
    <mergeCell ref="K47:K48"/>
    <mergeCell ref="L47:L48"/>
    <mergeCell ref="A45:A46"/>
    <mergeCell ref="B45:B46"/>
    <mergeCell ref="H45:H46"/>
    <mergeCell ref="I45:I46"/>
    <mergeCell ref="J45:J46"/>
    <mergeCell ref="K45:K46"/>
    <mergeCell ref="L45:L46"/>
    <mergeCell ref="A47:A48"/>
    <mergeCell ref="B47:B48"/>
    <mergeCell ref="H47:H48"/>
    <mergeCell ref="I47:I48"/>
    <mergeCell ref="J47:J48"/>
    <mergeCell ref="I42:I44"/>
    <mergeCell ref="J42:J44"/>
    <mergeCell ref="K42:K44"/>
    <mergeCell ref="L42:L44"/>
    <mergeCell ref="A42:A44"/>
    <mergeCell ref="B42:B44"/>
    <mergeCell ref="H42:H44"/>
    <mergeCell ref="A34:A35"/>
    <mergeCell ref="B34:B35"/>
    <mergeCell ref="H31:H32"/>
    <mergeCell ref="K31:K32"/>
    <mergeCell ref="L31:L32"/>
    <mergeCell ref="A31:A32"/>
    <mergeCell ref="B31:B32"/>
    <mergeCell ref="I31:I32"/>
    <mergeCell ref="J31:J32"/>
  </mergeCells>
  <hyperlinks>
    <hyperlink ref="I7" r:id="rId1" xr:uid="{C7DDA9C8-47F3-486D-8596-2F472AF12DC6}"/>
    <hyperlink ref="I8" r:id="rId2" xr:uid="{B1B59685-0D57-4731-8F89-FF2A6F1AE57E}"/>
    <hyperlink ref="I23" r:id="rId3" display="https://www.pbo-dpb.gc.ca/web/default/files/Documents/Info%20Requests/2020/IR0526_NRCCan_COVID19_update_2_request_e.pdf" xr:uid="{C6DCDF1D-C3F6-4229-A3AA-408668ACF8F5}"/>
    <hyperlink ref="I22" r:id="rId4" xr:uid="{08202B5F-E1F1-428F-AEE8-CB880F0AFB8B}"/>
    <hyperlink ref="I17" r:id="rId5" xr:uid="{24E08BA2-17D1-4FF6-AADB-3F07B2F25798}"/>
    <hyperlink ref="I18" r:id="rId6" xr:uid="{3379C29F-3F86-402B-A5D9-42F58BC1A6E1}"/>
    <hyperlink ref="I20" r:id="rId7" xr:uid="{8C2C03CD-5CAA-4B36-8AA3-7095914BFF2F}"/>
    <hyperlink ref="I6" r:id="rId8" xr:uid="{739A8287-A0BD-4AC7-9F95-EDC0B05C29F6}"/>
    <hyperlink ref="I25" r:id="rId9" xr:uid="{D8E3577F-CE8A-469D-8531-8AD6C9A523CA}"/>
    <hyperlink ref="I14" r:id="rId10" xr:uid="{8651A629-7658-42DC-A505-72A0555C03A6}"/>
    <hyperlink ref="I15" r:id="rId11" xr:uid="{C7A8E8CE-E16F-4906-9378-30C0BD3873DF}"/>
    <hyperlink ref="I16" r:id="rId12" xr:uid="{4C4E0F10-62E0-4D52-98FF-6BE24A28EC6B}"/>
    <hyperlink ref="J26" r:id="rId13" display="New Horizons Seniors Grants data" xr:uid="{04BAC282-B83B-4E69-8B30-B4191DA89335}"/>
    <hyperlink ref="I27" r:id="rId14" xr:uid="{C6280C0B-F36C-4D4D-89E1-B76C0F3DA924}"/>
    <hyperlink ref="J27" r:id="rId15" xr:uid="{E44F612C-0D3F-4F2E-A5B7-1A868B94132D}"/>
    <hyperlink ref="I28" r:id="rId16" xr:uid="{39793C87-EC64-43B0-BB6D-6E844D4B6F6C}"/>
    <hyperlink ref="F27" r:id="rId17" xr:uid="{C1C1519A-B9CA-4E08-8674-9A47776B11FC}"/>
    <hyperlink ref="I29" r:id="rId18" xr:uid="{E7E1B426-F619-4BAC-99BA-F8E134274A9A}"/>
    <hyperlink ref="I30" r:id="rId19" xr:uid="{0C5860C0-08F6-4595-B23E-C9D9610835C7}"/>
    <hyperlink ref="I31" r:id="rId20" display="https://www.pbo-dpb.gc.ca/web/default/files/Documents/Info%20Requests/2020/IR0526_NRCCan_COVID19_update_2_request_e.pdf" xr:uid="{4C68C5C2-D3B1-4379-A493-4EEA7D3E15FF}"/>
    <hyperlink ref="I31:I32" r:id="rId21" display="IR0526" xr:uid="{86BEAA9D-26EE-4196-80E0-94DCF873F023}"/>
    <hyperlink ref="I33" r:id="rId22" xr:uid="{0F7BA51C-63D7-4991-8BB7-3A9C00A32277}"/>
    <hyperlink ref="I34" r:id="rId23" xr:uid="{EC6E3700-5CD3-4617-B2E6-06257ADC17AE}"/>
    <hyperlink ref="I36" r:id="rId24" xr:uid="{2947C40B-FDCE-4262-938E-2F6E74CDD50D}"/>
  </hyperlinks>
  <pageMargins left="0.7" right="0.7" top="0.75" bottom="0.75" header="0.3" footer="0.3"/>
  <pageSetup orientation="portrait" r:id="rId2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Legend</vt:lpstr>
      <vt:lpstr>Protecting Health and Safety</vt:lpstr>
      <vt:lpstr>Direct Support Measures</vt:lpstr>
      <vt:lpstr>Tax Liquidity Support</vt:lpstr>
      <vt:lpstr>Other Liquidity Support</vt:lpstr>
      <vt:lpstr>Measures not in FES 2020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Giswold, Jill</dc:creator>
  <cp:lastModifiedBy>Giswold, Jill</cp:lastModifiedBy>
  <dcterms:created xsi:type="dcterms:W3CDTF">2020-12-01T14:43:59Z</dcterms:created>
  <dcterms:modified xsi:type="dcterms:W3CDTF">2021-02-23T20:20:23Z</dcterms:modified>
</cp:coreProperties>
</file>