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occdc-my.sharepoint.com/personal/remy_vanherweghem_parl_gc_ca/Documents/Downloads/"/>
    </mc:Choice>
  </mc:AlternateContent>
  <xr:revisionPtr revIDLastSave="76" documentId="8_{1586D9BE-0BEE-4142-9B86-AB9744788D9D}" xr6:coauthVersionLast="47" xr6:coauthVersionMax="47" xr10:uidLastSave="{7AA5A593-5E4A-4199-8B3A-5991456BB8FC}"/>
  <bookViews>
    <workbookView xWindow="-120" yWindow="-120" windowWidth="29040" windowHeight="15720" activeTab="1" xr2:uid="{983CEFC8-2B83-4647-BCB1-636BCC2A5490}"/>
  </bookViews>
  <sheets>
    <sheet name="How to interface with Web tool" sheetId="8" r:id="rId1"/>
    <sheet name="machine_readable" sheetId="7" r:id="rId2"/>
    <sheet name="Model" sheetId="1" r:id="rId3"/>
    <sheet name="Model Quarterly" sheetId="9" r:id="rId4"/>
    <sheet name="For user (EN)" sheetId="2" r:id="rId5"/>
    <sheet name="Decomposition" sheetId="6" r:id="rId6"/>
    <sheet name="Fiscal Model Import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2" l="1"/>
  <c r="F5" i="2"/>
  <c r="E5" i="2"/>
  <c r="D5" i="2"/>
  <c r="C5" i="2"/>
  <c r="G4" i="2"/>
  <c r="F4" i="2"/>
  <c r="E4" i="2"/>
  <c r="D4" i="2"/>
  <c r="C4" i="2"/>
  <c r="J18" i="6"/>
  <c r="E12" i="5"/>
  <c r="E13" i="5" s="1"/>
  <c r="E39" i="6"/>
  <c r="D39" i="6"/>
  <c r="G44" i="6"/>
  <c r="K3" i="6" s="1"/>
  <c r="L5" i="6" s="1"/>
  <c r="K6" i="6"/>
  <c r="G47" i="6"/>
  <c r="G46" i="6"/>
  <c r="I36" i="6"/>
  <c r="K2" i="6" s="1"/>
  <c r="H3" i="6"/>
  <c r="E18" i="6"/>
  <c r="K4" i="6" l="1"/>
  <c r="D4" i="6"/>
  <c r="J4" i="6" s="1"/>
  <c r="J20" i="6"/>
  <c r="E2" i="5"/>
  <c r="I37" i="6"/>
  <c r="G30" i="6"/>
  <c r="G32" i="6"/>
  <c r="E37" i="6"/>
  <c r="E36" i="6"/>
  <c r="D4" i="1"/>
  <c r="E4" i="1"/>
  <c r="F4" i="1"/>
  <c r="G4" i="1"/>
  <c r="H4" i="1"/>
  <c r="D20" i="9" l="1"/>
  <c r="D62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D15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D14" i="9"/>
  <c r="D65" i="9" s="1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D13" i="9"/>
  <c r="D64" i="9" s="1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D12" i="9"/>
  <c r="E11" i="9"/>
  <c r="E61" i="9" s="1"/>
  <c r="F11" i="9"/>
  <c r="F61" i="9" s="1"/>
  <c r="G11" i="9"/>
  <c r="G61" i="9" s="1"/>
  <c r="H11" i="9"/>
  <c r="H61" i="9" s="1"/>
  <c r="I11" i="9"/>
  <c r="I61" i="9" s="1"/>
  <c r="J11" i="9"/>
  <c r="J61" i="9" s="1"/>
  <c r="K11" i="9"/>
  <c r="K61" i="9" s="1"/>
  <c r="L11" i="9"/>
  <c r="L61" i="9" s="1"/>
  <c r="M11" i="9"/>
  <c r="M61" i="9" s="1"/>
  <c r="N11" i="9"/>
  <c r="N61" i="9" s="1"/>
  <c r="O11" i="9"/>
  <c r="O61" i="9" s="1"/>
  <c r="P11" i="9"/>
  <c r="P61" i="9" s="1"/>
  <c r="Q11" i="9"/>
  <c r="Q61" i="9" s="1"/>
  <c r="R11" i="9"/>
  <c r="R61" i="9" s="1"/>
  <c r="S11" i="9"/>
  <c r="S61" i="9" s="1"/>
  <c r="T11" i="9"/>
  <c r="T61" i="9" s="1"/>
  <c r="U11" i="9"/>
  <c r="U61" i="9" s="1"/>
  <c r="V11" i="9"/>
  <c r="V61" i="9" s="1"/>
  <c r="W11" i="9"/>
  <c r="W61" i="9" s="1"/>
  <c r="D11" i="9"/>
  <c r="D61" i="9" s="1"/>
  <c r="U6" i="9"/>
  <c r="V6" i="9"/>
  <c r="W6" i="9"/>
  <c r="T6" i="9"/>
  <c r="Q6" i="9"/>
  <c r="R6" i="9"/>
  <c r="S6" i="9"/>
  <c r="P6" i="9"/>
  <c r="M6" i="9"/>
  <c r="N6" i="9"/>
  <c r="O6" i="9"/>
  <c r="L6" i="9"/>
  <c r="J6" i="9"/>
  <c r="K6" i="9"/>
  <c r="I6" i="9"/>
  <c r="H6" i="9"/>
  <c r="G6" i="9"/>
  <c r="F6" i="9"/>
  <c r="E6" i="9"/>
  <c r="G5" i="9"/>
  <c r="F5" i="9"/>
  <c r="E5" i="9"/>
  <c r="D6" i="9"/>
  <c r="D5" i="9"/>
  <c r="D63" i="9" l="1"/>
  <c r="D5" i="1"/>
  <c r="E5" i="1"/>
  <c r="B12" i="6" l="1"/>
  <c r="C10" i="6"/>
  <c r="C9" i="6"/>
  <c r="C8" i="6"/>
  <c r="F16" i="5"/>
  <c r="C16" i="5"/>
  <c r="F17" i="5"/>
  <c r="C20" i="5"/>
  <c r="D20" i="5"/>
  <c r="E20" i="5"/>
  <c r="F20" i="5"/>
  <c r="D12" i="1" s="1"/>
  <c r="G20" i="5"/>
  <c r="E12" i="1" s="1"/>
  <c r="H20" i="5"/>
  <c r="F12" i="1" s="1"/>
  <c r="I20" i="5"/>
  <c r="G12" i="1" s="1"/>
  <c r="J20" i="5"/>
  <c r="H12" i="1" s="1"/>
  <c r="C21" i="5"/>
  <c r="D21" i="5"/>
  <c r="E21" i="5"/>
  <c r="F21" i="5"/>
  <c r="D13" i="1" s="1"/>
  <c r="G21" i="5"/>
  <c r="E13" i="1" s="1"/>
  <c r="H21" i="5"/>
  <c r="F13" i="1" s="1"/>
  <c r="I21" i="5"/>
  <c r="G13" i="1" s="1"/>
  <c r="J21" i="5"/>
  <c r="H13" i="1" s="1"/>
  <c r="C22" i="5"/>
  <c r="D22" i="5"/>
  <c r="E22" i="5"/>
  <c r="F22" i="5"/>
  <c r="D14" i="1" s="1"/>
  <c r="G22" i="5"/>
  <c r="E14" i="1" s="1"/>
  <c r="H22" i="5"/>
  <c r="F14" i="1" s="1"/>
  <c r="I22" i="5"/>
  <c r="G14" i="1" s="1"/>
  <c r="J22" i="5"/>
  <c r="H14" i="1" s="1"/>
  <c r="D16" i="5"/>
  <c r="C18" i="5"/>
  <c r="K22" i="5" l="1"/>
  <c r="K20" i="5"/>
  <c r="K21" i="5"/>
  <c r="E19" i="6"/>
  <c r="E20" i="6"/>
  <c r="D18" i="6"/>
  <c r="G45" i="6"/>
  <c r="H44" i="6"/>
  <c r="P15" i="6"/>
  <c r="I35" i="6"/>
  <c r="I34" i="6"/>
  <c r="D3" i="6"/>
  <c r="J2" i="6" s="1"/>
  <c r="H47" i="6"/>
  <c r="P47" i="6" s="1"/>
  <c r="H46" i="6"/>
  <c r="H45" i="6"/>
  <c r="D20" i="6"/>
  <c r="B39" i="6"/>
  <c r="J19" i="6" l="1"/>
  <c r="H48" i="6"/>
  <c r="E7" i="5"/>
  <c r="G48" i="6"/>
  <c r="J3" i="6"/>
  <c r="M4" i="7" l="1"/>
  <c r="G7" i="9"/>
  <c r="F7" i="9"/>
  <c r="E7" i="9"/>
  <c r="D7" i="9"/>
  <c r="D2" i="2"/>
  <c r="E2" i="2" s="1"/>
  <c r="F2" i="2" s="1"/>
  <c r="G2" i="2" s="1"/>
  <c r="D1" i="2"/>
  <c r="E1" i="2" s="1"/>
  <c r="F1" i="2" s="1"/>
  <c r="G1" i="2" s="1"/>
  <c r="I33" i="6" l="1"/>
  <c r="I32" i="6"/>
  <c r="P42" i="6"/>
  <c r="P41" i="6"/>
  <c r="P40" i="6"/>
  <c r="P39" i="6"/>
  <c r="I31" i="6"/>
  <c r="I24" i="6" l="1"/>
  <c r="I25" i="6"/>
  <c r="I26" i="6"/>
  <c r="I27" i="6"/>
  <c r="I28" i="6"/>
  <c r="I29" i="6"/>
  <c r="F2" i="5" l="1"/>
  <c r="O41" i="5" s="1"/>
  <c r="G16" i="5"/>
  <c r="E10" i="1" s="1"/>
  <c r="N9" i="7" s="1"/>
  <c r="H16" i="5"/>
  <c r="F10" i="1" s="1"/>
  <c r="O9" i="7" s="1"/>
  <c r="I16" i="5"/>
  <c r="G10" i="1" s="1"/>
  <c r="P9" i="7" s="1"/>
  <c r="J16" i="5"/>
  <c r="H10" i="1" s="1"/>
  <c r="Q9" i="7" s="1"/>
  <c r="K16" i="5"/>
  <c r="G17" i="5"/>
  <c r="E11" i="1" s="1"/>
  <c r="N11" i="7" s="1"/>
  <c r="H17" i="5"/>
  <c r="F11" i="1" s="1"/>
  <c r="O11" i="7" s="1"/>
  <c r="I17" i="5"/>
  <c r="G11" i="1" s="1"/>
  <c r="P11" i="7" s="1"/>
  <c r="J17" i="5"/>
  <c r="H11" i="1" s="1"/>
  <c r="Q11" i="7" s="1"/>
  <c r="K17" i="5"/>
  <c r="G18" i="5"/>
  <c r="N10" i="7" s="1"/>
  <c r="H18" i="5"/>
  <c r="O10" i="7" s="1"/>
  <c r="I18" i="5"/>
  <c r="P10" i="7" s="1"/>
  <c r="J18" i="5"/>
  <c r="Q10" i="7" s="1"/>
  <c r="K18" i="5"/>
  <c r="P41" i="5" l="1"/>
  <c r="O50" i="5"/>
  <c r="O49" i="5"/>
  <c r="O48" i="5"/>
  <c r="K15" i="6"/>
  <c r="K24" i="5"/>
  <c r="G24" i="5"/>
  <c r="H24" i="5"/>
  <c r="I24" i="5"/>
  <c r="J24" i="5"/>
  <c r="Q41" i="5" l="1"/>
  <c r="P50" i="5"/>
  <c r="P48" i="5"/>
  <c r="P49" i="5"/>
  <c r="D6" i="1"/>
  <c r="R41" i="5" l="1"/>
  <c r="Q48" i="5"/>
  <c r="Q49" i="5"/>
  <c r="Q50" i="5"/>
  <c r="Q4" i="7"/>
  <c r="U7" i="9"/>
  <c r="V7" i="9"/>
  <c r="W7" i="9"/>
  <c r="T7" i="9"/>
  <c r="P4" i="7"/>
  <c r="P7" i="9"/>
  <c r="Q7" i="9"/>
  <c r="R7" i="9"/>
  <c r="S7" i="9"/>
  <c r="O4" i="7"/>
  <c r="M7" i="9"/>
  <c r="L7" i="9"/>
  <c r="N7" i="9"/>
  <c r="O7" i="9"/>
  <c r="N4" i="7"/>
  <c r="J7" i="9"/>
  <c r="K7" i="9"/>
  <c r="H7" i="9"/>
  <c r="I7" i="9"/>
  <c r="B12" i="5"/>
  <c r="B13" i="5" s="1"/>
  <c r="D12" i="5"/>
  <c r="F12" i="5" s="1"/>
  <c r="C39" i="6"/>
  <c r="C12" i="5" s="1"/>
  <c r="C13" i="5" s="1"/>
  <c r="G12" i="5" l="1"/>
  <c r="H12" i="5" s="1"/>
  <c r="I12" i="5" s="1"/>
  <c r="J12" i="5" s="1"/>
  <c r="K12" i="5" s="1"/>
  <c r="S41" i="5"/>
  <c r="R50" i="5"/>
  <c r="R49" i="5"/>
  <c r="R48" i="5"/>
  <c r="D13" i="5"/>
  <c r="F13" i="5" s="1"/>
  <c r="G13" i="5" s="1"/>
  <c r="H13" i="5" s="1"/>
  <c r="I13" i="5" s="1"/>
  <c r="J13" i="5" s="1"/>
  <c r="K13" i="5" s="1"/>
  <c r="E8" i="5"/>
  <c r="F8" i="5" s="1"/>
  <c r="G8" i="5" s="1"/>
  <c r="H8" i="5" s="1"/>
  <c r="I8" i="5" s="1"/>
  <c r="J8" i="5" s="1"/>
  <c r="K8" i="5" s="1"/>
  <c r="T41" i="5" l="1"/>
  <c r="S50" i="5"/>
  <c r="S49" i="5"/>
  <c r="S48" i="5"/>
  <c r="C17" i="5"/>
  <c r="F18" i="5"/>
  <c r="U41" i="5" l="1"/>
  <c r="T50" i="5"/>
  <c r="T49" i="5"/>
  <c r="T48" i="5"/>
  <c r="C24" i="5"/>
  <c r="E3" i="5"/>
  <c r="M10" i="7"/>
  <c r="G2" i="5"/>
  <c r="K2" i="5"/>
  <c r="J2" i="5"/>
  <c r="I2" i="5"/>
  <c r="H2" i="5"/>
  <c r="V41" i="5" l="1"/>
  <c r="U50" i="5"/>
  <c r="U49" i="5"/>
  <c r="U48" i="5"/>
  <c r="G3" i="5"/>
  <c r="I3" i="5"/>
  <c r="F3" i="5"/>
  <c r="O40" i="5" s="1"/>
  <c r="J3" i="5"/>
  <c r="H3" i="5"/>
  <c r="K3" i="5"/>
  <c r="E4" i="5"/>
  <c r="E5" i="5" s="1"/>
  <c r="C18" i="6"/>
  <c r="C19" i="6"/>
  <c r="D19" i="6"/>
  <c r="I18" i="6" s="1"/>
  <c r="C20" i="6"/>
  <c r="B19" i="6"/>
  <c r="B20" i="6"/>
  <c r="B18" i="6"/>
  <c r="W41" i="5" l="1"/>
  <c r="V49" i="5"/>
  <c r="V50" i="5"/>
  <c r="V48" i="5"/>
  <c r="P40" i="5"/>
  <c r="G20" i="6"/>
  <c r="B9" i="5" s="1"/>
  <c r="G19" i="6"/>
  <c r="B8" i="5" s="1"/>
  <c r="H18" i="6"/>
  <c r="C7" i="5" s="1"/>
  <c r="G18" i="6"/>
  <c r="B7" i="5" s="1"/>
  <c r="I19" i="6"/>
  <c r="D8" i="5" s="1"/>
  <c r="I20" i="6"/>
  <c r="G4" i="5"/>
  <c r="I4" i="5"/>
  <c r="J4" i="5"/>
  <c r="F4" i="5"/>
  <c r="K4" i="5"/>
  <c r="H4" i="5"/>
  <c r="C4" i="6"/>
  <c r="I4" i="6" s="1"/>
  <c r="C3" i="5" s="1"/>
  <c r="B4" i="6"/>
  <c r="C3" i="6"/>
  <c r="I3" i="6" s="1"/>
  <c r="C4" i="5" s="1"/>
  <c r="B3" i="6"/>
  <c r="B4" i="5" s="1"/>
  <c r="C2" i="6"/>
  <c r="I2" i="6" s="1"/>
  <c r="B2" i="6"/>
  <c r="H2" i="6" s="1"/>
  <c r="X41" i="5" l="1"/>
  <c r="W49" i="5"/>
  <c r="W50" i="5"/>
  <c r="W48" i="5"/>
  <c r="O43" i="5"/>
  <c r="P43" i="5" s="1"/>
  <c r="Q43" i="5" s="1"/>
  <c r="R43" i="5" s="1"/>
  <c r="S43" i="5" s="1"/>
  <c r="T43" i="5" s="1"/>
  <c r="U43" i="5" s="1"/>
  <c r="V43" i="5" s="1"/>
  <c r="W43" i="5" s="1"/>
  <c r="X43" i="5" s="1"/>
  <c r="Y43" i="5" s="1"/>
  <c r="Z43" i="5" s="1"/>
  <c r="AA43" i="5" s="1"/>
  <c r="AB43" i="5" s="1"/>
  <c r="AC43" i="5" s="1"/>
  <c r="AD43" i="5" s="1"/>
  <c r="AE43" i="5" s="1"/>
  <c r="AF43" i="5" s="1"/>
  <c r="AG43" i="5" s="1"/>
  <c r="AH43" i="5" s="1"/>
  <c r="AI43" i="5" s="1"/>
  <c r="AJ43" i="5" s="1"/>
  <c r="AK43" i="5" s="1"/>
  <c r="Q40" i="5"/>
  <c r="H4" i="6"/>
  <c r="B3" i="5" s="1"/>
  <c r="B2" i="5"/>
  <c r="H6" i="6"/>
  <c r="I6" i="6"/>
  <c r="C2" i="5"/>
  <c r="D3" i="5"/>
  <c r="D9" i="5"/>
  <c r="E9" i="5"/>
  <c r="F7" i="5"/>
  <c r="D7" i="5"/>
  <c r="D2" i="5"/>
  <c r="J6" i="6"/>
  <c r="D4" i="5"/>
  <c r="G7" i="5" l="1"/>
  <c r="H7" i="5" s="1"/>
  <c r="I7" i="5" s="1"/>
  <c r="J7" i="5" s="1"/>
  <c r="K7" i="5" s="1"/>
  <c r="O42" i="5"/>
  <c r="D5" i="5"/>
  <c r="Y41" i="5"/>
  <c r="X49" i="5"/>
  <c r="X50" i="5"/>
  <c r="X48" i="5"/>
  <c r="R40" i="5"/>
  <c r="F9" i="5"/>
  <c r="E18" i="5"/>
  <c r="Z41" i="5" l="1"/>
  <c r="Y49" i="5"/>
  <c r="Y50" i="5"/>
  <c r="Y48" i="5"/>
  <c r="P42" i="5"/>
  <c r="G9" i="5"/>
  <c r="O44" i="5"/>
  <c r="P44" i="5" s="1"/>
  <c r="Q44" i="5" s="1"/>
  <c r="R44" i="5" s="1"/>
  <c r="S44" i="5" s="1"/>
  <c r="T44" i="5" s="1"/>
  <c r="U44" i="5" s="1"/>
  <c r="V44" i="5" s="1"/>
  <c r="W44" i="5" s="1"/>
  <c r="X44" i="5" s="1"/>
  <c r="Y44" i="5" s="1"/>
  <c r="Z44" i="5" s="1"/>
  <c r="AA44" i="5" s="1"/>
  <c r="AB44" i="5" s="1"/>
  <c r="AC44" i="5" s="1"/>
  <c r="AD44" i="5" s="1"/>
  <c r="AE44" i="5" s="1"/>
  <c r="AF44" i="5" s="1"/>
  <c r="AG44" i="5" s="1"/>
  <c r="AH44" i="5" s="1"/>
  <c r="AI44" i="5" s="1"/>
  <c r="AJ44" i="5" s="1"/>
  <c r="AK44" i="5" s="1"/>
  <c r="S40" i="5"/>
  <c r="F25" i="5"/>
  <c r="H20" i="6"/>
  <c r="C9" i="5" s="1"/>
  <c r="H19" i="6"/>
  <c r="C8" i="5" s="1"/>
  <c r="AA41" i="5" l="1"/>
  <c r="Z48" i="5"/>
  <c r="Z49" i="5"/>
  <c r="Z50" i="5"/>
  <c r="T40" i="5"/>
  <c r="O46" i="5"/>
  <c r="D16" i="9" s="1"/>
  <c r="H9" i="5"/>
  <c r="G25" i="5"/>
  <c r="E15" i="1" s="1"/>
  <c r="N12" i="7" s="1"/>
  <c r="Q42" i="5"/>
  <c r="P46" i="5"/>
  <c r="E16" i="9" s="1"/>
  <c r="E19" i="9" s="1"/>
  <c r="D15" i="1"/>
  <c r="C25" i="5"/>
  <c r="E6" i="1"/>
  <c r="F6" i="1"/>
  <c r="D19" i="9" l="1"/>
  <c r="AB41" i="5"/>
  <c r="AA49" i="5"/>
  <c r="AA50" i="5"/>
  <c r="AA48" i="5"/>
  <c r="I9" i="5"/>
  <c r="H25" i="5"/>
  <c r="F15" i="1" s="1"/>
  <c r="O12" i="7" s="1"/>
  <c r="U40" i="5"/>
  <c r="R42" i="5"/>
  <c r="Q46" i="5"/>
  <c r="F16" i="9" s="1"/>
  <c r="F19" i="9" s="1"/>
  <c r="G60" i="5"/>
  <c r="H60" i="5"/>
  <c r="I60" i="5"/>
  <c r="J60" i="5"/>
  <c r="K60" i="5"/>
  <c r="F60" i="5"/>
  <c r="F61" i="5" s="1"/>
  <c r="D21" i="9" l="1"/>
  <c r="D74" i="9"/>
  <c r="D76" i="9" s="1"/>
  <c r="AC41" i="5"/>
  <c r="AB48" i="5"/>
  <c r="AB49" i="5"/>
  <c r="AB50" i="5"/>
  <c r="S42" i="5"/>
  <c r="R46" i="5"/>
  <c r="G16" i="9" s="1"/>
  <c r="G19" i="9" s="1"/>
  <c r="V40" i="5"/>
  <c r="J9" i="5"/>
  <c r="I25" i="5"/>
  <c r="G15" i="1" s="1"/>
  <c r="P12" i="7" s="1"/>
  <c r="I61" i="5"/>
  <c r="F5" i="1"/>
  <c r="G5" i="1"/>
  <c r="H5" i="1"/>
  <c r="G6" i="1"/>
  <c r="H6" i="1"/>
  <c r="E1" i="1"/>
  <c r="F1" i="1" s="1"/>
  <c r="G1" i="1" s="1"/>
  <c r="E2" i="1"/>
  <c r="F2" i="1" s="1"/>
  <c r="G2" i="1" s="1"/>
  <c r="AD41" i="5" l="1"/>
  <c r="AC48" i="5"/>
  <c r="AC49" i="5"/>
  <c r="AC50" i="5"/>
  <c r="D22" i="9"/>
  <c r="D75" i="9"/>
  <c r="K9" i="5"/>
  <c r="J25" i="5"/>
  <c r="H15" i="1" s="1"/>
  <c r="Q12" i="7" s="1"/>
  <c r="W40" i="5"/>
  <c r="T42" i="5"/>
  <c r="S46" i="5"/>
  <c r="H16" i="9" s="1"/>
  <c r="H19" i="9" s="1"/>
  <c r="G61" i="5"/>
  <c r="H61" i="5"/>
  <c r="K61" i="5"/>
  <c r="J61" i="5"/>
  <c r="D27" i="9" l="1"/>
  <c r="D35" i="9" s="1"/>
  <c r="D44" i="9" s="1"/>
  <c r="D32" i="9"/>
  <c r="D41" i="9" s="1"/>
  <c r="D49" i="9" s="1"/>
  <c r="D26" i="9"/>
  <c r="D34" i="9" s="1"/>
  <c r="D43" i="9" s="1"/>
  <c r="D25" i="9"/>
  <c r="D31" i="9"/>
  <c r="D39" i="9" s="1"/>
  <c r="D48" i="9" s="1"/>
  <c r="D30" i="9"/>
  <c r="D38" i="9" s="1"/>
  <c r="D29" i="9"/>
  <c r="D37" i="9" s="1"/>
  <c r="D46" i="9" s="1"/>
  <c r="AE41" i="5"/>
  <c r="AD48" i="5"/>
  <c r="AD49" i="5"/>
  <c r="AD50" i="5"/>
  <c r="U42" i="5"/>
  <c r="T46" i="5"/>
  <c r="I16" i="9" s="1"/>
  <c r="I19" i="9" s="1"/>
  <c r="X40" i="5"/>
  <c r="K25" i="5"/>
  <c r="D18" i="5"/>
  <c r="E16" i="5"/>
  <c r="D10" i="1"/>
  <c r="D11" i="1"/>
  <c r="M11" i="7" s="1"/>
  <c r="E17" i="5"/>
  <c r="D17" i="5"/>
  <c r="D25" i="5" s="1"/>
  <c r="D40" i="9" l="1"/>
  <c r="D47" i="9"/>
  <c r="AF41" i="5"/>
  <c r="AE48" i="5"/>
  <c r="AE49" i="5"/>
  <c r="AE50" i="5"/>
  <c r="D66" i="9"/>
  <c r="D68" i="9" s="1"/>
  <c r="D28" i="9"/>
  <c r="D82" i="9" s="1"/>
  <c r="D33" i="9"/>
  <c r="D67" i="9"/>
  <c r="D69" i="9" s="1"/>
  <c r="Y40" i="5"/>
  <c r="V42" i="5"/>
  <c r="U46" i="5"/>
  <c r="J16" i="9" s="1"/>
  <c r="J19" i="9" s="1"/>
  <c r="E25" i="5"/>
  <c r="M9" i="7"/>
  <c r="F24" i="5"/>
  <c r="D24" i="5"/>
  <c r="E24" i="5"/>
  <c r="D42" i="9" l="1"/>
  <c r="D71" i="9" s="1"/>
  <c r="E20" i="9" s="1"/>
  <c r="E74" i="9" s="1"/>
  <c r="D36" i="9"/>
  <c r="D45" i="9" s="1"/>
  <c r="E52" i="9"/>
  <c r="E55" i="9" s="1"/>
  <c r="AG41" i="5"/>
  <c r="AF48" i="5"/>
  <c r="AF49" i="5"/>
  <c r="AF50" i="5"/>
  <c r="W42" i="5"/>
  <c r="V46" i="5"/>
  <c r="K16" i="9" s="1"/>
  <c r="K19" i="9" s="1"/>
  <c r="Z40" i="5"/>
  <c r="M12" i="7"/>
  <c r="E21" i="9" l="1"/>
  <c r="E75" i="9" s="1"/>
  <c r="AH41" i="5"/>
  <c r="AG48" i="5"/>
  <c r="AG49" i="5"/>
  <c r="AG50" i="5"/>
  <c r="E76" i="9"/>
  <c r="X42" i="5"/>
  <c r="W46" i="5"/>
  <c r="L16" i="9" s="1"/>
  <c r="L19" i="9" s="1"/>
  <c r="AA40" i="5"/>
  <c r="H2" i="1"/>
  <c r="H1" i="1"/>
  <c r="E22" i="9" l="1"/>
  <c r="E26" i="9" s="1"/>
  <c r="AI41" i="5"/>
  <c r="AH48" i="5"/>
  <c r="AH49" i="5"/>
  <c r="AH50" i="5"/>
  <c r="E31" i="9"/>
  <c r="E27" i="9"/>
  <c r="Y42" i="5"/>
  <c r="X46" i="5"/>
  <c r="M16" i="9" s="1"/>
  <c r="M19" i="9" s="1"/>
  <c r="AB40" i="5"/>
  <c r="E29" i="9" l="1"/>
  <c r="E32" i="9"/>
  <c r="E25" i="9"/>
  <c r="E33" i="9" s="1"/>
  <c r="E42" i="9" s="1"/>
  <c r="E30" i="9"/>
  <c r="AJ41" i="5"/>
  <c r="AI48" i="5"/>
  <c r="AI49" i="5"/>
  <c r="AI50" i="5"/>
  <c r="E41" i="9"/>
  <c r="E67" i="9" s="1"/>
  <c r="E39" i="9"/>
  <c r="E65" i="9"/>
  <c r="E38" i="9"/>
  <c r="E47" i="9" s="1"/>
  <c r="E64" i="9"/>
  <c r="E62" i="9"/>
  <c r="E37" i="9"/>
  <c r="E46" i="9" s="1"/>
  <c r="E35" i="9"/>
  <c r="E44" i="9" s="1"/>
  <c r="E63" i="9"/>
  <c r="E34" i="9"/>
  <c r="E43" i="9" s="1"/>
  <c r="F52" i="9"/>
  <c r="E28" i="9"/>
  <c r="E82" i="9" s="1"/>
  <c r="AC40" i="5"/>
  <c r="Z42" i="5"/>
  <c r="Y46" i="5"/>
  <c r="N16" i="9" s="1"/>
  <c r="N19" i="9" s="1"/>
  <c r="AK41" i="5" l="1"/>
  <c r="AJ50" i="5"/>
  <c r="AJ48" i="5"/>
  <c r="AJ49" i="5"/>
  <c r="E49" i="9"/>
  <c r="E69" i="9"/>
  <c r="E48" i="9"/>
  <c r="E66" i="9"/>
  <c r="E68" i="9" s="1"/>
  <c r="E71" i="9" s="1"/>
  <c r="E40" i="9"/>
  <c r="E36" i="9"/>
  <c r="E45" i="9" s="1"/>
  <c r="F53" i="9"/>
  <c r="F55" i="9" s="1"/>
  <c r="AD40" i="5"/>
  <c r="AA42" i="5"/>
  <c r="Z46" i="5"/>
  <c r="O16" i="9" s="1"/>
  <c r="O19" i="9" s="1"/>
  <c r="AK50" i="5" l="1"/>
  <c r="AK48" i="5"/>
  <c r="AK49" i="5"/>
  <c r="F20" i="9"/>
  <c r="AB42" i="5"/>
  <c r="AA46" i="5"/>
  <c r="P16" i="9" s="1"/>
  <c r="P19" i="9" s="1"/>
  <c r="AE40" i="5"/>
  <c r="F21" i="9" l="1"/>
  <c r="F74" i="9"/>
  <c r="AF40" i="5"/>
  <c r="AC42" i="5"/>
  <c r="AB46" i="5"/>
  <c r="Q16" i="9" s="1"/>
  <c r="Q19" i="9" s="1"/>
  <c r="F76" i="9" l="1"/>
  <c r="F22" i="9"/>
  <c r="F75" i="9"/>
  <c r="AD42" i="5"/>
  <c r="AC46" i="5"/>
  <c r="R16" i="9" s="1"/>
  <c r="R19" i="9" s="1"/>
  <c r="AG40" i="5"/>
  <c r="F26" i="9" l="1"/>
  <c r="F31" i="9"/>
  <c r="F29" i="9"/>
  <c r="F64" i="9" s="1"/>
  <c r="F27" i="9"/>
  <c r="F63" i="9" s="1"/>
  <c r="F30" i="9"/>
  <c r="F25" i="9"/>
  <c r="F32" i="9"/>
  <c r="AH40" i="5"/>
  <c r="AE42" i="5"/>
  <c r="AD46" i="5"/>
  <c r="S16" i="9" s="1"/>
  <c r="S19" i="9" s="1"/>
  <c r="F35" i="9" l="1"/>
  <c r="F44" i="9" s="1"/>
  <c r="F38" i="9"/>
  <c r="F47" i="9" s="1"/>
  <c r="F65" i="9"/>
  <c r="F37" i="9"/>
  <c r="F41" i="9"/>
  <c r="F49" i="9" s="1"/>
  <c r="F39" i="9"/>
  <c r="F48" i="9" s="1"/>
  <c r="F33" i="9"/>
  <c r="F28" i="9"/>
  <c r="F82" i="9" s="1"/>
  <c r="F34" i="9"/>
  <c r="F62" i="9"/>
  <c r="AI40" i="5"/>
  <c r="AF42" i="5"/>
  <c r="AE46" i="5"/>
  <c r="T16" i="9" s="1"/>
  <c r="T19" i="9" s="1"/>
  <c r="F67" i="9" l="1"/>
  <c r="F69" i="9" s="1"/>
  <c r="F66" i="9"/>
  <c r="F68" i="9" s="1"/>
  <c r="F46" i="9"/>
  <c r="F40" i="9"/>
  <c r="G53" i="9"/>
  <c r="F43" i="9"/>
  <c r="F42" i="9"/>
  <c r="G52" i="9"/>
  <c r="F36" i="9"/>
  <c r="F45" i="9" s="1"/>
  <c r="AJ40" i="5"/>
  <c r="AG42" i="5"/>
  <c r="AF46" i="5"/>
  <c r="U16" i="9" s="1"/>
  <c r="U19" i="9" s="1"/>
  <c r="G55" i="9" l="1"/>
  <c r="F71" i="9"/>
  <c r="G20" i="9" s="1"/>
  <c r="D18" i="1" s="1"/>
  <c r="AK40" i="5"/>
  <c r="AH42" i="5"/>
  <c r="AG46" i="5"/>
  <c r="V16" i="9" s="1"/>
  <c r="V19" i="9" s="1"/>
  <c r="G74" i="9" l="1"/>
  <c r="D38" i="1" s="1"/>
  <c r="G21" i="9"/>
  <c r="M13" i="7"/>
  <c r="G76" i="9"/>
  <c r="G22" i="9"/>
  <c r="G75" i="9"/>
  <c r="D39" i="1" s="1"/>
  <c r="AI42" i="5"/>
  <c r="AH46" i="5"/>
  <c r="W16" i="9" s="1"/>
  <c r="W19" i="9" s="1"/>
  <c r="D21" i="1" l="1"/>
  <c r="C11" i="2"/>
  <c r="M7" i="7" s="1"/>
  <c r="D40" i="1"/>
  <c r="D19" i="1"/>
  <c r="C10" i="2"/>
  <c r="C12" i="2"/>
  <c r="M6" i="7" s="1"/>
  <c r="G30" i="9"/>
  <c r="G65" i="9" s="1"/>
  <c r="G29" i="9"/>
  <c r="G64" i="9" s="1"/>
  <c r="G31" i="9"/>
  <c r="G39" i="9" s="1"/>
  <c r="G32" i="9"/>
  <c r="G41" i="9" s="1"/>
  <c r="G26" i="9"/>
  <c r="G25" i="9"/>
  <c r="G27" i="9"/>
  <c r="G63" i="9" s="1"/>
  <c r="AJ42" i="5"/>
  <c r="AI46" i="5"/>
  <c r="G38" i="9" l="1"/>
  <c r="G47" i="9" s="1"/>
  <c r="G37" i="9"/>
  <c r="D25" i="1" s="1"/>
  <c r="G49" i="9"/>
  <c r="D29" i="1"/>
  <c r="M19" i="7" s="1"/>
  <c r="C13" i="2"/>
  <c r="M8" i="7" s="1"/>
  <c r="M5" i="7"/>
  <c r="M14" i="7"/>
  <c r="D20" i="1"/>
  <c r="M15" i="7" s="1"/>
  <c r="G48" i="9"/>
  <c r="D27" i="1"/>
  <c r="D33" i="1" s="1"/>
  <c r="M16" i="7"/>
  <c r="D31" i="1"/>
  <c r="D34" i="1"/>
  <c r="G67" i="9"/>
  <c r="G69" i="9" s="1"/>
  <c r="G33" i="9"/>
  <c r="G28" i="9"/>
  <c r="G82" i="9" s="1"/>
  <c r="G83" i="9" s="1"/>
  <c r="G66" i="9"/>
  <c r="G68" i="9" s="1"/>
  <c r="G35" i="9"/>
  <c r="G34" i="9"/>
  <c r="G62" i="9"/>
  <c r="AK42" i="5"/>
  <c r="AK46" i="5" s="1"/>
  <c r="AJ46" i="5"/>
  <c r="D26" i="1" l="1"/>
  <c r="D32" i="1" s="1"/>
  <c r="G40" i="9"/>
  <c r="D28" i="1" s="1"/>
  <c r="M18" i="7" s="1"/>
  <c r="G46" i="9"/>
  <c r="H54" i="9"/>
  <c r="G44" i="9"/>
  <c r="G42" i="9"/>
  <c r="H52" i="9"/>
  <c r="G36" i="9"/>
  <c r="H53" i="9"/>
  <c r="G43" i="9"/>
  <c r="G71" i="9" l="1"/>
  <c r="H20" i="9" s="1"/>
  <c r="H74" i="9" s="1"/>
  <c r="G45" i="9"/>
  <c r="D24" i="1"/>
  <c r="H55" i="9"/>
  <c r="H21" i="9" l="1"/>
  <c r="H22" i="9" s="1"/>
  <c r="H25" i="9" s="1"/>
  <c r="M17" i="7"/>
  <c r="D30" i="1"/>
  <c r="H76" i="9"/>
  <c r="H75" i="9" l="1"/>
  <c r="H29" i="9"/>
  <c r="H64" i="9" s="1"/>
  <c r="H30" i="9"/>
  <c r="H65" i="9" s="1"/>
  <c r="H26" i="9"/>
  <c r="H62" i="9" s="1"/>
  <c r="H32" i="9"/>
  <c r="H37" i="9"/>
  <c r="H31" i="9"/>
  <c r="H27" i="9"/>
  <c r="H63" i="9" s="1"/>
  <c r="H34" i="9" l="1"/>
  <c r="I53" i="9" s="1"/>
  <c r="H38" i="9"/>
  <c r="H47" i="9" s="1"/>
  <c r="H41" i="9"/>
  <c r="H49" i="9" s="1"/>
  <c r="H39" i="9"/>
  <c r="H48" i="9" s="1"/>
  <c r="H28" i="9"/>
  <c r="H33" i="9"/>
  <c r="H35" i="9"/>
  <c r="H46" i="9"/>
  <c r="H43" i="9" l="1"/>
  <c r="H40" i="9"/>
  <c r="I52" i="9"/>
  <c r="H36" i="9"/>
  <c r="H45" i="9" s="1"/>
  <c r="H42" i="9"/>
  <c r="H66" i="9"/>
  <c r="H68" i="9" s="1"/>
  <c r="H67" i="9"/>
  <c r="H69" i="9" s="1"/>
  <c r="I54" i="9"/>
  <c r="H44" i="9"/>
  <c r="H71" i="9" l="1"/>
  <c r="I20" i="9" s="1"/>
  <c r="I55" i="9"/>
  <c r="I74" i="9" l="1"/>
  <c r="I21" i="9"/>
  <c r="I75" i="9" l="1"/>
  <c r="I22" i="9"/>
  <c r="I76" i="9"/>
  <c r="I32" i="9" l="1"/>
  <c r="I41" i="9" s="1"/>
  <c r="I49" i="9" s="1"/>
  <c r="I29" i="9"/>
  <c r="I64" i="9" s="1"/>
  <c r="I27" i="9"/>
  <c r="I63" i="9" s="1"/>
  <c r="I30" i="9"/>
  <c r="I65" i="9" s="1"/>
  <c r="I26" i="9"/>
  <c r="I62" i="9" s="1"/>
  <c r="I31" i="9"/>
  <c r="I25" i="9"/>
  <c r="I37" i="9" l="1"/>
  <c r="I46" i="9" s="1"/>
  <c r="I39" i="9"/>
  <c r="I48" i="9" s="1"/>
  <c r="I34" i="9"/>
  <c r="I38" i="9"/>
  <c r="I47" i="9" s="1"/>
  <c r="I35" i="9"/>
  <c r="I33" i="9"/>
  <c r="I28" i="9"/>
  <c r="I67" i="9"/>
  <c r="I69" i="9" s="1"/>
  <c r="J54" i="9" l="1"/>
  <c r="I44" i="9"/>
  <c r="I40" i="9"/>
  <c r="J53" i="9"/>
  <c r="I43" i="9"/>
  <c r="J52" i="9"/>
  <c r="I36" i="9"/>
  <c r="I45" i="9" s="1"/>
  <c r="I42" i="9"/>
  <c r="I66" i="9"/>
  <c r="I68" i="9" s="1"/>
  <c r="I71" i="9" l="1"/>
  <c r="J20" i="9" s="1"/>
  <c r="J74" i="9" s="1"/>
  <c r="J76" i="9" s="1"/>
  <c r="J55" i="9"/>
  <c r="J21" i="9" l="1"/>
  <c r="J75" i="9" l="1"/>
  <c r="J22" i="9"/>
  <c r="J25" i="9" l="1"/>
  <c r="J26" i="9"/>
  <c r="J29" i="9"/>
  <c r="J32" i="9"/>
  <c r="J30" i="9"/>
  <c r="J65" i="9" s="1"/>
  <c r="J31" i="9"/>
  <c r="J27" i="9"/>
  <c r="J41" i="9" l="1"/>
  <c r="J39" i="9"/>
  <c r="J48" i="9" s="1"/>
  <c r="J38" i="9"/>
  <c r="J47" i="9" s="1"/>
  <c r="J64" i="9"/>
  <c r="J37" i="9"/>
  <c r="J46" i="9" s="1"/>
  <c r="J35" i="9"/>
  <c r="J44" i="9" s="1"/>
  <c r="J63" i="9"/>
  <c r="J34" i="9"/>
  <c r="K53" i="9" s="1"/>
  <c r="J62" i="9"/>
  <c r="J49" i="9"/>
  <c r="J28" i="9"/>
  <c r="J33" i="9"/>
  <c r="J42" i="9" s="1"/>
  <c r="J67" i="9" l="1"/>
  <c r="J69" i="9" s="1"/>
  <c r="J66" i="9"/>
  <c r="J68" i="9" s="1"/>
  <c r="J40" i="9"/>
  <c r="K54" i="9"/>
  <c r="J43" i="9"/>
  <c r="J36" i="9"/>
  <c r="J45" i="9" s="1"/>
  <c r="K52" i="9"/>
  <c r="J71" i="9" l="1"/>
  <c r="K20" i="9" s="1"/>
  <c r="K74" i="9" s="1"/>
  <c r="K76" i="9" s="1"/>
  <c r="K55" i="9"/>
  <c r="K21" i="9" l="1"/>
  <c r="K75" i="9" s="1"/>
  <c r="E39" i="1" s="1"/>
  <c r="E21" i="1" s="1"/>
  <c r="E38" i="1"/>
  <c r="E18" i="1" l="1"/>
  <c r="N13" i="7" s="1"/>
  <c r="K22" i="9"/>
  <c r="K25" i="9" s="1"/>
  <c r="D12" i="2"/>
  <c r="N6" i="7" s="1"/>
  <c r="D10" i="2"/>
  <c r="D13" i="2" s="1"/>
  <c r="N8" i="7" s="1"/>
  <c r="E40" i="1"/>
  <c r="D11" i="2"/>
  <c r="N7" i="7" s="1"/>
  <c r="N16" i="7"/>
  <c r="K31" i="9"/>
  <c r="K32" i="9"/>
  <c r="K30" i="9"/>
  <c r="K65" i="9" s="1"/>
  <c r="K26" i="9"/>
  <c r="K29" i="9"/>
  <c r="K27" i="9"/>
  <c r="E19" i="1" l="1"/>
  <c r="N5" i="7"/>
  <c r="K34" i="9"/>
  <c r="K43" i="9" s="1"/>
  <c r="K62" i="9"/>
  <c r="K35" i="9"/>
  <c r="L54" i="9" s="1"/>
  <c r="K63" i="9"/>
  <c r="K38" i="9"/>
  <c r="K33" i="9"/>
  <c r="K28" i="9"/>
  <c r="K39" i="9"/>
  <c r="E27" i="1" s="1"/>
  <c r="E33" i="1" s="1"/>
  <c r="K41" i="9"/>
  <c r="E29" i="1" s="1"/>
  <c r="K37" i="9"/>
  <c r="N14" i="7" l="1"/>
  <c r="E20" i="1"/>
  <c r="N15" i="7" s="1"/>
  <c r="E25" i="1"/>
  <c r="E31" i="1" s="1"/>
  <c r="L56" i="9"/>
  <c r="L59" i="9" s="1"/>
  <c r="K47" i="9"/>
  <c r="E26" i="1"/>
  <c r="E32" i="1" s="1"/>
  <c r="N19" i="7"/>
  <c r="E34" i="1"/>
  <c r="K67" i="9"/>
  <c r="K69" i="9" s="1"/>
  <c r="K66" i="9"/>
  <c r="K68" i="9" s="1"/>
  <c r="K44" i="9"/>
  <c r="L53" i="9"/>
  <c r="K64" i="9"/>
  <c r="K48" i="9"/>
  <c r="K36" i="9"/>
  <c r="L52" i="9"/>
  <c r="K42" i="9"/>
  <c r="K49" i="9"/>
  <c r="K40" i="9"/>
  <c r="E28" i="1" s="1"/>
  <c r="N18" i="7" s="1"/>
  <c r="K46" i="9"/>
  <c r="K45" i="9" l="1"/>
  <c r="E24" i="1"/>
  <c r="K71" i="9"/>
  <c r="L20" i="9" s="1"/>
  <c r="L74" i="9" s="1"/>
  <c r="L55" i="9"/>
  <c r="L76" i="9" l="1"/>
  <c r="N17" i="7"/>
  <c r="E30" i="1"/>
  <c r="L21" i="9"/>
  <c r="L75" i="9" s="1"/>
  <c r="L22" i="9" l="1"/>
  <c r="L32" i="9" l="1"/>
  <c r="L27" i="9"/>
  <c r="L25" i="9"/>
  <c r="L30" i="9"/>
  <c r="L31" i="9"/>
  <c r="L26" i="9"/>
  <c r="L29" i="9"/>
  <c r="L41" i="9" l="1"/>
  <c r="L67" i="9" s="1"/>
  <c r="L38" i="9"/>
  <c r="L47" i="9" s="1"/>
  <c r="L65" i="9"/>
  <c r="L37" i="9"/>
  <c r="L35" i="9"/>
  <c r="M54" i="9" s="1"/>
  <c r="L63" i="9"/>
  <c r="L34" i="9"/>
  <c r="M53" i="9" s="1"/>
  <c r="L62" i="9"/>
  <c r="L28" i="9"/>
  <c r="L33" i="9"/>
  <c r="L39" i="9"/>
  <c r="L49" i="9" l="1"/>
  <c r="M56" i="9"/>
  <c r="M59" i="9" s="1"/>
  <c r="L69" i="9"/>
  <c r="L66" i="9"/>
  <c r="L68" i="9" s="1"/>
  <c r="L46" i="9"/>
  <c r="L64" i="9"/>
  <c r="L44" i="9"/>
  <c r="L43" i="9"/>
  <c r="L36" i="9"/>
  <c r="L45" i="9" s="1"/>
  <c r="M52" i="9"/>
  <c r="M55" i="9" s="1"/>
  <c r="L42" i="9"/>
  <c r="L48" i="9"/>
  <c r="L40" i="9"/>
  <c r="L71" i="9" l="1"/>
  <c r="M20" i="9" s="1"/>
  <c r="M74" i="9" s="1"/>
  <c r="M76" i="9" l="1"/>
  <c r="M21" i="9"/>
  <c r="M75" i="9" s="1"/>
  <c r="M22" i="9" l="1"/>
  <c r="M25" i="9" s="1"/>
  <c r="M29" i="9" l="1"/>
  <c r="M27" i="9"/>
  <c r="M30" i="9"/>
  <c r="M31" i="9"/>
  <c r="M32" i="9"/>
  <c r="M26" i="9"/>
  <c r="M65" i="9" l="1"/>
  <c r="M37" i="9"/>
  <c r="M34" i="9"/>
  <c r="M43" i="9" s="1"/>
  <c r="M62" i="9"/>
  <c r="M35" i="9"/>
  <c r="N54" i="9" s="1"/>
  <c r="M63" i="9"/>
  <c r="M41" i="9"/>
  <c r="M39" i="9"/>
  <c r="M33" i="9"/>
  <c r="M28" i="9"/>
  <c r="M38" i="9"/>
  <c r="M47" i="9" s="1"/>
  <c r="M46" i="9" l="1"/>
  <c r="N56" i="9"/>
  <c r="M67" i="9"/>
  <c r="M69" i="9" s="1"/>
  <c r="M66" i="9"/>
  <c r="M68" i="9" s="1"/>
  <c r="N59" i="9"/>
  <c r="M64" i="9"/>
  <c r="N53" i="9"/>
  <c r="M44" i="9"/>
  <c r="M40" i="9"/>
  <c r="N52" i="9"/>
  <c r="M36" i="9"/>
  <c r="M45" i="9" s="1"/>
  <c r="M42" i="9"/>
  <c r="M49" i="9"/>
  <c r="M48" i="9"/>
  <c r="M71" i="9" l="1"/>
  <c r="N20" i="9" s="1"/>
  <c r="N74" i="9" s="1"/>
  <c r="N55" i="9"/>
  <c r="N76" i="9" l="1"/>
  <c r="N21" i="9"/>
  <c r="N75" i="9" s="1"/>
  <c r="N22" i="9" l="1"/>
  <c r="N25" i="9" l="1"/>
  <c r="N32" i="9"/>
  <c r="N30" i="9"/>
  <c r="N29" i="9"/>
  <c r="N31" i="9"/>
  <c r="N26" i="9"/>
  <c r="N27" i="9"/>
  <c r="N41" i="9" l="1"/>
  <c r="N67" i="9" s="1"/>
  <c r="N39" i="9"/>
  <c r="N65" i="9"/>
  <c r="N38" i="9"/>
  <c r="N47" i="9" s="1"/>
  <c r="N37" i="9"/>
  <c r="N46" i="9" s="1"/>
  <c r="N35" i="9"/>
  <c r="O54" i="9" s="1"/>
  <c r="N63" i="9"/>
  <c r="N34" i="9"/>
  <c r="O53" i="9" s="1"/>
  <c r="N62" i="9"/>
  <c r="N33" i="9"/>
  <c r="N28" i="9"/>
  <c r="N49" i="9" l="1"/>
  <c r="N69" i="9"/>
  <c r="N66" i="9"/>
  <c r="N68" i="9" s="1"/>
  <c r="N48" i="9"/>
  <c r="N40" i="9"/>
  <c r="O56" i="9"/>
  <c r="O59" i="9" s="1"/>
  <c r="N64" i="9"/>
  <c r="N44" i="9"/>
  <c r="N43" i="9"/>
  <c r="O52" i="9"/>
  <c r="O55" i="9" s="1"/>
  <c r="N36" i="9"/>
  <c r="N45" i="9" s="1"/>
  <c r="N42" i="9"/>
  <c r="N71" i="9" l="1"/>
  <c r="O20" i="9" l="1"/>
  <c r="O74" i="9" s="1"/>
  <c r="O76" i="9" l="1"/>
  <c r="F38" i="1"/>
  <c r="F18" i="1" s="1"/>
  <c r="O13" i="7" s="1"/>
  <c r="O21" i="9"/>
  <c r="O75" i="9" s="1"/>
  <c r="F39" i="1" s="1"/>
  <c r="O22" i="9" l="1"/>
  <c r="O29" i="9" s="1"/>
  <c r="O37" i="9" s="1"/>
  <c r="E11" i="2"/>
  <c r="O7" i="7" s="1"/>
  <c r="F21" i="1"/>
  <c r="F19" i="1"/>
  <c r="E10" i="2"/>
  <c r="E12" i="2"/>
  <c r="O6" i="7" s="1"/>
  <c r="F40" i="1"/>
  <c r="O26" i="9"/>
  <c r="O62" i="9" s="1"/>
  <c r="O31" i="9"/>
  <c r="O25" i="9"/>
  <c r="O33" i="9" s="1"/>
  <c r="O27" i="9"/>
  <c r="O35" i="9" s="1"/>
  <c r="P54" i="9" s="1"/>
  <c r="O30" i="9"/>
  <c r="O32" i="9" l="1"/>
  <c r="O41" i="9" s="1"/>
  <c r="O46" i="9"/>
  <c r="F25" i="1"/>
  <c r="F31" i="1" s="1"/>
  <c r="O5" i="7"/>
  <c r="E13" i="2"/>
  <c r="O8" i="7" s="1"/>
  <c r="F20" i="1"/>
  <c r="O15" i="7" s="1"/>
  <c r="O14" i="7"/>
  <c r="O16" i="7"/>
  <c r="O39" i="9"/>
  <c r="F27" i="1" s="1"/>
  <c r="F33" i="1" s="1"/>
  <c r="O65" i="9"/>
  <c r="O38" i="9"/>
  <c r="O34" i="9"/>
  <c r="P53" i="9" s="1"/>
  <c r="P56" i="9"/>
  <c r="O63" i="9"/>
  <c r="O28" i="9"/>
  <c r="O64" i="9" s="1"/>
  <c r="O44" i="9"/>
  <c r="P52" i="9"/>
  <c r="O42" i="9"/>
  <c r="O67" i="9" l="1"/>
  <c r="O69" i="9" s="1"/>
  <c r="F29" i="1"/>
  <c r="P57" i="9"/>
  <c r="P59" i="9" s="1"/>
  <c r="F26" i="1"/>
  <c r="F32" i="1" s="1"/>
  <c r="O48" i="9"/>
  <c r="O49" i="9"/>
  <c r="O40" i="9"/>
  <c r="F28" i="1" s="1"/>
  <c r="O18" i="7" s="1"/>
  <c r="O66" i="9"/>
  <c r="O68" i="9" s="1"/>
  <c r="O47" i="9"/>
  <c r="O36" i="9"/>
  <c r="P55" i="9"/>
  <c r="O43" i="9"/>
  <c r="O45" i="9" l="1"/>
  <c r="F24" i="1"/>
  <c r="O19" i="7"/>
  <c r="F34" i="1"/>
  <c r="O71" i="9"/>
  <c r="O17" i="7" l="1"/>
  <c r="F30" i="1"/>
  <c r="P20" i="9"/>
  <c r="P21" i="9" l="1"/>
  <c r="P75" i="9" s="1"/>
  <c r="P74" i="9"/>
  <c r="P22" i="9" l="1"/>
  <c r="P25" i="9" s="1"/>
  <c r="P76" i="9"/>
  <c r="P31" i="9" l="1"/>
  <c r="P39" i="9" s="1"/>
  <c r="P48" i="9" s="1"/>
  <c r="P27" i="9"/>
  <c r="P63" i="9" s="1"/>
  <c r="P32" i="9"/>
  <c r="P41" i="9" s="1"/>
  <c r="P49" i="9" s="1"/>
  <c r="P29" i="9"/>
  <c r="P37" i="9" s="1"/>
  <c r="P46" i="9" s="1"/>
  <c r="P30" i="9"/>
  <c r="P65" i="9" s="1"/>
  <c r="P26" i="9"/>
  <c r="P62" i="9" s="1"/>
  <c r="P33" i="9"/>
  <c r="P35" i="9" l="1"/>
  <c r="Q54" i="9" s="1"/>
  <c r="P67" i="9"/>
  <c r="P69" i="9" s="1"/>
  <c r="P66" i="9"/>
  <c r="P68" i="9" s="1"/>
  <c r="Q56" i="9"/>
  <c r="P28" i="9"/>
  <c r="P64" i="9" s="1"/>
  <c r="P34" i="9"/>
  <c r="P38" i="9"/>
  <c r="P40" i="9" s="1"/>
  <c r="Q52" i="9"/>
  <c r="P42" i="9"/>
  <c r="P44" i="9" l="1"/>
  <c r="P36" i="9"/>
  <c r="P45" i="9" s="1"/>
  <c r="P47" i="9"/>
  <c r="Q53" i="9"/>
  <c r="Q55" i="9" s="1"/>
  <c r="P43" i="9"/>
  <c r="Q57" i="9"/>
  <c r="Q59" i="9" s="1"/>
  <c r="P71" i="9" l="1"/>
  <c r="Q20" i="9" s="1"/>
  <c r="Q74" i="9" s="1"/>
  <c r="Q76" i="9" s="1"/>
  <c r="Q21" i="9" l="1"/>
  <c r="Q75" i="9" s="1"/>
  <c r="Q22" i="9"/>
  <c r="Q26" i="9" l="1"/>
  <c r="Q62" i="9" s="1"/>
  <c r="Q31" i="9"/>
  <c r="Q39" i="9" s="1"/>
  <c r="Q48" i="9" s="1"/>
  <c r="Q27" i="9"/>
  <c r="Q63" i="9" s="1"/>
  <c r="Q30" i="9"/>
  <c r="Q65" i="9" s="1"/>
  <c r="Q25" i="9"/>
  <c r="Q32" i="9"/>
  <c r="Q29" i="9"/>
  <c r="Q37" i="9" s="1"/>
  <c r="Q35" i="9" l="1"/>
  <c r="R54" i="9" s="1"/>
  <c r="Q34" i="9"/>
  <c r="R53" i="9" s="1"/>
  <c r="Q46" i="9"/>
  <c r="R56" i="9"/>
  <c r="Q33" i="9"/>
  <c r="Q28" i="9"/>
  <c r="Q64" i="9" s="1"/>
  <c r="Q38" i="9"/>
  <c r="Q40" i="9" s="1"/>
  <c r="Q41" i="9"/>
  <c r="Q49" i="9" s="1"/>
  <c r="Q66" i="9"/>
  <c r="Q68" i="9" s="1"/>
  <c r="Q44" i="9" l="1"/>
  <c r="Q43" i="9"/>
  <c r="Q67" i="9"/>
  <c r="Q69" i="9" s="1"/>
  <c r="R52" i="9"/>
  <c r="R55" i="9" s="1"/>
  <c r="Q36" i="9"/>
  <c r="Q45" i="9" s="1"/>
  <c r="Q42" i="9"/>
  <c r="R57" i="9"/>
  <c r="R59" i="9" s="1"/>
  <c r="Q47" i="9"/>
  <c r="Q71" i="9" l="1"/>
  <c r="R20" i="9" s="1"/>
  <c r="R21" i="9" l="1"/>
  <c r="R75" i="9" s="1"/>
  <c r="R74" i="9"/>
  <c r="R22" i="9" l="1"/>
  <c r="R26" i="9" s="1"/>
  <c r="R62" i="9" s="1"/>
  <c r="R76" i="9"/>
  <c r="R31" i="9" l="1"/>
  <c r="R39" i="9" s="1"/>
  <c r="R48" i="9" s="1"/>
  <c r="R27" i="9"/>
  <c r="R63" i="9" s="1"/>
  <c r="R29" i="9"/>
  <c r="R37" i="9" s="1"/>
  <c r="S56" i="9" s="1"/>
  <c r="R34" i="9"/>
  <c r="S53" i="9" s="1"/>
  <c r="R25" i="9"/>
  <c r="R28" i="9" s="1"/>
  <c r="R64" i="9" s="1"/>
  <c r="R30" i="9"/>
  <c r="R65" i="9" s="1"/>
  <c r="R32" i="9"/>
  <c r="R41" i="9" s="1"/>
  <c r="R49" i="9" s="1"/>
  <c r="R66" i="9"/>
  <c r="R68" i="9" s="1"/>
  <c r="R33" i="9" l="1"/>
  <c r="R67" i="9"/>
  <c r="R69" i="9" s="1"/>
  <c r="R35" i="9"/>
  <c r="R36" i="9" s="1"/>
  <c r="R45" i="9" s="1"/>
  <c r="R43" i="9"/>
  <c r="R38" i="9"/>
  <c r="S57" i="9" s="1"/>
  <c r="R46" i="9"/>
  <c r="S59" i="9"/>
  <c r="S52" i="9"/>
  <c r="R42" i="9"/>
  <c r="R40" i="9" l="1"/>
  <c r="R44" i="9"/>
  <c r="S54" i="9"/>
  <c r="R47" i="9"/>
  <c r="R71" i="9" s="1"/>
  <c r="S20" i="9" s="1"/>
  <c r="S55" i="9"/>
  <c r="S21" i="9" l="1"/>
  <c r="S75" i="9" s="1"/>
  <c r="G39" i="1" s="1"/>
  <c r="S74" i="9"/>
  <c r="S22" i="9" l="1"/>
  <c r="S30" i="9" s="1"/>
  <c r="S65" i="9" s="1"/>
  <c r="S76" i="9"/>
  <c r="G38" i="1"/>
  <c r="G18" i="1" s="1"/>
  <c r="P13" i="7" s="1"/>
  <c r="G21" i="1"/>
  <c r="F11" i="2"/>
  <c r="P7" i="7" s="1"/>
  <c r="S27" i="9"/>
  <c r="S63" i="9" s="1"/>
  <c r="S26" i="9"/>
  <c r="S62" i="9" s="1"/>
  <c r="S25" i="9"/>
  <c r="S32" i="9"/>
  <c r="S31" i="9"/>
  <c r="S29" i="9"/>
  <c r="S37" i="9" s="1"/>
  <c r="G25" i="1" s="1"/>
  <c r="S34" i="9" l="1"/>
  <c r="S35" i="9"/>
  <c r="T54" i="9" s="1"/>
  <c r="P16" i="7"/>
  <c r="G31" i="1"/>
  <c r="G19" i="1"/>
  <c r="F10" i="2"/>
  <c r="F12" i="2"/>
  <c r="P6" i="7" s="1"/>
  <c r="G40" i="1"/>
  <c r="T56" i="9"/>
  <c r="S46" i="9"/>
  <c r="S33" i="9"/>
  <c r="S28" i="9"/>
  <c r="S64" i="9" s="1"/>
  <c r="T53" i="9"/>
  <c r="S43" i="9"/>
  <c r="S38" i="9"/>
  <c r="G26" i="1" s="1"/>
  <c r="G32" i="1" s="1"/>
  <c r="S41" i="9"/>
  <c r="S39" i="9"/>
  <c r="S44" i="9" l="1"/>
  <c r="S48" i="9"/>
  <c r="G27" i="1"/>
  <c r="G33" i="1" s="1"/>
  <c r="P5" i="7"/>
  <c r="F13" i="2"/>
  <c r="P8" i="7" s="1"/>
  <c r="S49" i="9"/>
  <c r="G29" i="1"/>
  <c r="S67" i="9"/>
  <c r="S69" i="9" s="1"/>
  <c r="G20" i="1"/>
  <c r="P15" i="7" s="1"/>
  <c r="P14" i="7"/>
  <c r="S36" i="9"/>
  <c r="S42" i="9"/>
  <c r="T52" i="9"/>
  <c r="T55" i="9" s="1"/>
  <c r="S66" i="9"/>
  <c r="S68" i="9" s="1"/>
  <c r="S40" i="9"/>
  <c r="G28" i="1" s="1"/>
  <c r="P18" i="7" s="1"/>
  <c r="T57" i="9"/>
  <c r="T59" i="9" s="1"/>
  <c r="S47" i="9"/>
  <c r="P19" i="7" l="1"/>
  <c r="G34" i="1"/>
  <c r="S45" i="9"/>
  <c r="G24" i="1"/>
  <c r="S71" i="9"/>
  <c r="T20" i="9" l="1"/>
  <c r="T74" i="9" s="1"/>
  <c r="T76" i="9" s="1"/>
  <c r="P17" i="7"/>
  <c r="G30" i="1"/>
  <c r="T21" i="9" l="1"/>
  <c r="T75" i="9" s="1"/>
  <c r="T22" i="9" l="1"/>
  <c r="T31" i="9" s="1"/>
  <c r="T39" i="9" s="1"/>
  <c r="T48" i="9" s="1"/>
  <c r="T25" i="9" l="1"/>
  <c r="T33" i="9" s="1"/>
  <c r="T30" i="9"/>
  <c r="T65" i="9" s="1"/>
  <c r="T26" i="9"/>
  <c r="T62" i="9" s="1"/>
  <c r="T32" i="9"/>
  <c r="T41" i="9" s="1"/>
  <c r="T67" i="9" s="1"/>
  <c r="T69" i="9" s="1"/>
  <c r="T29" i="9"/>
  <c r="T37" i="9" s="1"/>
  <c r="T46" i="9" s="1"/>
  <c r="T27" i="9"/>
  <c r="T63" i="9" s="1"/>
  <c r="T34" i="9"/>
  <c r="T66" i="9"/>
  <c r="T68" i="9" s="1"/>
  <c r="T49" i="9" l="1"/>
  <c r="U56" i="9"/>
  <c r="T38" i="9"/>
  <c r="T40" i="9" s="1"/>
  <c r="T28" i="9"/>
  <c r="T64" i="9" s="1"/>
  <c r="T35" i="9"/>
  <c r="U54" i="9" s="1"/>
  <c r="U53" i="9"/>
  <c r="T43" i="9"/>
  <c r="U52" i="9"/>
  <c r="T42" i="9"/>
  <c r="T36" i="9" l="1"/>
  <c r="T45" i="9" s="1"/>
  <c r="T47" i="9"/>
  <c r="U57" i="9"/>
  <c r="U59" i="9" s="1"/>
  <c r="T44" i="9"/>
  <c r="U55" i="9"/>
  <c r="T71" i="9" l="1"/>
  <c r="U20" i="9" s="1"/>
  <c r="U74" i="9" s="1"/>
  <c r="U76" i="9" s="1"/>
  <c r="U21" i="9" l="1"/>
  <c r="U75" i="9" s="1"/>
  <c r="U22" i="9"/>
  <c r="U32" i="9" l="1"/>
  <c r="U31" i="9"/>
  <c r="U39" i="9" s="1"/>
  <c r="U48" i="9" s="1"/>
  <c r="U26" i="9"/>
  <c r="U62" i="9" s="1"/>
  <c r="U30" i="9"/>
  <c r="U65" i="9" s="1"/>
  <c r="U27" i="9"/>
  <c r="U63" i="9" s="1"/>
  <c r="U29" i="9"/>
  <c r="U37" i="9" s="1"/>
  <c r="U25" i="9"/>
  <c r="U41" i="9"/>
  <c r="U46" i="9" l="1"/>
  <c r="V56" i="9"/>
  <c r="U34" i="9"/>
  <c r="U35" i="9"/>
  <c r="U38" i="9"/>
  <c r="U66" i="9"/>
  <c r="U68" i="9" s="1"/>
  <c r="U67" i="9"/>
  <c r="U69" i="9" s="1"/>
  <c r="U28" i="9"/>
  <c r="U64" i="9" s="1"/>
  <c r="U33" i="9"/>
  <c r="U49" i="9"/>
  <c r="V57" i="9" l="1"/>
  <c r="V59" i="9" s="1"/>
  <c r="U47" i="9"/>
  <c r="U43" i="9"/>
  <c r="V53" i="9"/>
  <c r="U42" i="9"/>
  <c r="V52" i="9"/>
  <c r="U36" i="9"/>
  <c r="U45" i="9" s="1"/>
  <c r="U40" i="9"/>
  <c r="U44" i="9"/>
  <c r="V54" i="9"/>
  <c r="V55" i="9" l="1"/>
  <c r="U71" i="9"/>
  <c r="V20" i="9" s="1"/>
  <c r="V74" i="9" s="1"/>
  <c r="V76" i="9" l="1"/>
  <c r="V21" i="9"/>
  <c r="V75" i="9" s="1"/>
  <c r="V22" i="9" l="1"/>
  <c r="V30" i="9" l="1"/>
  <c r="V65" i="9" s="1"/>
  <c r="V29" i="9"/>
  <c r="V37" i="9" s="1"/>
  <c r="V26" i="9"/>
  <c r="V62" i="9" s="1"/>
  <c r="V32" i="9"/>
  <c r="V27" i="9"/>
  <c r="V63" i="9" s="1"/>
  <c r="V25" i="9"/>
  <c r="V31" i="9"/>
  <c r="V38" i="9" l="1"/>
  <c r="W57" i="9" s="1"/>
  <c r="V34" i="9"/>
  <c r="W53" i="9" s="1"/>
  <c r="V28" i="9"/>
  <c r="V64" i="9" s="1"/>
  <c r="V33" i="9"/>
  <c r="V39" i="9"/>
  <c r="V48" i="9" s="1"/>
  <c r="V35" i="9"/>
  <c r="V46" i="9"/>
  <c r="W56" i="9"/>
  <c r="V41" i="9"/>
  <c r="V49" i="9" s="1"/>
  <c r="W59" i="9" l="1"/>
  <c r="V47" i="9"/>
  <c r="V43" i="9"/>
  <c r="V67" i="9"/>
  <c r="V69" i="9" s="1"/>
  <c r="W54" i="9"/>
  <c r="V44" i="9"/>
  <c r="V66" i="9"/>
  <c r="V68" i="9" s="1"/>
  <c r="V36" i="9"/>
  <c r="V45" i="9" s="1"/>
  <c r="W52" i="9"/>
  <c r="V42" i="9"/>
  <c r="V40" i="9"/>
  <c r="W55" i="9" l="1"/>
  <c r="V71" i="9"/>
  <c r="W20" i="9" s="1"/>
  <c r="W21" i="9" l="1"/>
  <c r="W75" i="9" s="1"/>
  <c r="H39" i="1" s="1"/>
  <c r="W74" i="9"/>
  <c r="W22" i="9" l="1"/>
  <c r="W27" i="9" s="1"/>
  <c r="W63" i="9" s="1"/>
  <c r="W76" i="9"/>
  <c r="H38" i="1"/>
  <c r="H18" i="1" s="1"/>
  <c r="Q13" i="7" s="1"/>
  <c r="G11" i="2"/>
  <c r="Q7" i="7" s="1"/>
  <c r="H21" i="1"/>
  <c r="W32" i="9"/>
  <c r="W29" i="9"/>
  <c r="W37" i="9" s="1"/>
  <c r="H25" i="1" s="1"/>
  <c r="W30" i="9" l="1"/>
  <c r="W65" i="9" s="1"/>
  <c r="W25" i="9"/>
  <c r="W33" i="9" s="1"/>
  <c r="W26" i="9"/>
  <c r="W62" i="9" s="1"/>
  <c r="W31" i="9"/>
  <c r="W39" i="9" s="1"/>
  <c r="H27" i="1" s="1"/>
  <c r="H33" i="1" s="1"/>
  <c r="W35" i="9"/>
  <c r="W44" i="9" s="1"/>
  <c r="Q16" i="7"/>
  <c r="H31" i="1"/>
  <c r="H19" i="1"/>
  <c r="G12" i="2"/>
  <c r="Q6" i="7" s="1"/>
  <c r="G10" i="2"/>
  <c r="H40" i="1"/>
  <c r="W46" i="9"/>
  <c r="W28" i="9"/>
  <c r="W64" i="9" s="1"/>
  <c r="W41" i="9"/>
  <c r="W38" i="9"/>
  <c r="W66" i="9" l="1"/>
  <c r="W68" i="9" s="1"/>
  <c r="W34" i="9"/>
  <c r="W43" i="9" s="1"/>
  <c r="W48" i="9"/>
  <c r="Q5" i="7"/>
  <c r="G13" i="2"/>
  <c r="Q8" i="7" s="1"/>
  <c r="W47" i="9"/>
  <c r="H26" i="1"/>
  <c r="H32" i="1" s="1"/>
  <c r="W49" i="9"/>
  <c r="H29" i="1"/>
  <c r="H20" i="1"/>
  <c r="Q15" i="7" s="1"/>
  <c r="Q14" i="7"/>
  <c r="W40" i="9"/>
  <c r="H28" i="1" s="1"/>
  <c r="Q18" i="7" s="1"/>
  <c r="W36" i="9"/>
  <c r="W42" i="9"/>
  <c r="W67" i="9"/>
  <c r="W69" i="9" s="1"/>
  <c r="W71" i="9" l="1"/>
  <c r="Q19" i="7"/>
  <c r="H34" i="1"/>
  <c r="W45" i="9"/>
  <c r="H24" i="1"/>
  <c r="Q17" i="7" l="1"/>
  <c r="H30" i="1"/>
</calcChain>
</file>

<file path=xl/sharedStrings.xml><?xml version="1.0" encoding="utf-8"?>
<sst xmlns="http://schemas.openxmlformats.org/spreadsheetml/2006/main" count="613" uniqueCount="335">
  <si>
    <t>INPUTS</t>
  </si>
  <si>
    <t>Total revenues measures</t>
  </si>
  <si>
    <t>Total program spending measures</t>
  </si>
  <si>
    <t>Net change on primary balance</t>
  </si>
  <si>
    <t>Fiscal year</t>
  </si>
  <si>
    <t>$ million</t>
  </si>
  <si>
    <t>Back-end</t>
  </si>
  <si>
    <t>OUTPUT</t>
  </si>
  <si>
    <t>Cumulative surplus</t>
  </si>
  <si>
    <t>Surplus for the year*</t>
  </si>
  <si>
    <t>_date_</t>
  </si>
  <si>
    <t>Marginal T-Bills Rate</t>
  </si>
  <si>
    <t>Marginal LT Bonds Rate</t>
  </si>
  <si>
    <t>Marginal 10yr Bonds Rate</t>
  </si>
  <si>
    <t>Debt Model Projections (Quarterly):</t>
  </si>
  <si>
    <t>RGCBLTB_0</t>
  </si>
  <si>
    <t>RGCB10B_0</t>
  </si>
  <si>
    <t>RTB_0</t>
  </si>
  <si>
    <t>Bond type</t>
  </si>
  <si>
    <t>2-Year</t>
  </si>
  <si>
    <t>3-Year</t>
  </si>
  <si>
    <t>5-Year</t>
  </si>
  <si>
    <t>2019-20</t>
  </si>
  <si>
    <t>2020-21</t>
  </si>
  <si>
    <t>2021-22</t>
  </si>
  <si>
    <t>2022-23</t>
  </si>
  <si>
    <t>Overall New Debt</t>
  </si>
  <si>
    <t>Rationale</t>
  </si>
  <si>
    <t>Primary balance * marginal eff. Int. rate</t>
  </si>
  <si>
    <t>Previous debt stock * running int. rate</t>
  </si>
  <si>
    <t>Primary balance + debt charges on primary balance + debt charges on existing debt stock</t>
  </si>
  <si>
    <t>From fiscal model</t>
  </si>
  <si>
    <t>Calculated from fiscal model outputs</t>
  </si>
  <si>
    <t>2023-24</t>
  </si>
  <si>
    <t>2024-25</t>
  </si>
  <si>
    <t>2025-26</t>
  </si>
  <si>
    <t>2026-27</t>
  </si>
  <si>
    <t>2027-28</t>
  </si>
  <si>
    <t>Assumed Market Debt Shares:</t>
  </si>
  <si>
    <t>T-Bills</t>
  </si>
  <si>
    <t>Long-term Bonds</t>
  </si>
  <si>
    <t>Medium-term Bonds</t>
  </si>
  <si>
    <t>Marginal Interest Rate Projections:</t>
  </si>
  <si>
    <t>Marginal MT Bonds Rate (0.6*10yr rate + 0.4* T-bills rate)</t>
  </si>
  <si>
    <t>Cumulative Public Debt Charges</t>
  </si>
  <si>
    <t>Old Interest Rates (March 2022 Projections)</t>
  </si>
  <si>
    <t>LT Bonds</t>
  </si>
  <si>
    <t>10Y Bonds</t>
  </si>
  <si>
    <t>MT Bonds</t>
  </si>
  <si>
    <t>Overall</t>
  </si>
  <si>
    <t>Cumulative Surplus</t>
  </si>
  <si>
    <t>90-day treasury bills rate</t>
  </si>
  <si>
    <t>Long-term bond rate (new borrowing)</t>
  </si>
  <si>
    <t>Running Applicable Interest Rate: Long-Term</t>
  </si>
  <si>
    <t>Running Applicable Interest Rate: All Debt</t>
  </si>
  <si>
    <t>Annual Debt Charges</t>
  </si>
  <si>
    <t>Long-term bond stock</t>
  </si>
  <si>
    <t>Marginal effective interest rate (all new debt)</t>
  </si>
  <si>
    <t>Cumulative public debt charges</t>
  </si>
  <si>
    <t>Annual public debt charges</t>
  </si>
  <si>
    <t>Overall Composition</t>
  </si>
  <si>
    <t>T-bills</t>
  </si>
  <si>
    <t>Medium Term Bonds Composition</t>
  </si>
  <si>
    <t>Share (2022-23)</t>
  </si>
  <si>
    <t>2022Q2</t>
  </si>
  <si>
    <t>2022Q3</t>
  </si>
  <si>
    <t>2022Q4</t>
  </si>
  <si>
    <t>2023Q1</t>
  </si>
  <si>
    <t>2023Q2</t>
  </si>
  <si>
    <t>2023Q3</t>
  </si>
  <si>
    <t>2023Q4</t>
  </si>
  <si>
    <t>2024Q1</t>
  </si>
  <si>
    <t>2024Q2</t>
  </si>
  <si>
    <t>2024Q3</t>
  </si>
  <si>
    <t>2024Q4</t>
  </si>
  <si>
    <t>2025Q1</t>
  </si>
  <si>
    <t>2025Q2</t>
  </si>
  <si>
    <t>2025Q3</t>
  </si>
  <si>
    <t>2025Q4</t>
  </si>
  <si>
    <t>2026Q1</t>
  </si>
  <si>
    <t>2026Q2</t>
  </si>
  <si>
    <t>2026Q3</t>
  </si>
  <si>
    <t>2026Q4</t>
  </si>
  <si>
    <t>2027Q1</t>
  </si>
  <si>
    <t>2027Q2</t>
  </si>
  <si>
    <t>2027Q3</t>
  </si>
  <si>
    <t>2027Q4</t>
  </si>
  <si>
    <t>2028Q1</t>
  </si>
  <si>
    <t>2028Q2</t>
  </si>
  <si>
    <t>2028Q3</t>
  </si>
  <si>
    <t>2028Q4</t>
  </si>
  <si>
    <t>2029Q1</t>
  </si>
  <si>
    <t>2029Q2</t>
  </si>
  <si>
    <t>2029Q3</t>
  </si>
  <si>
    <t>2029Q4</t>
  </si>
  <si>
    <t>2028-29</t>
  </si>
  <si>
    <t>2029-30</t>
  </si>
  <si>
    <t>2030-31</t>
  </si>
  <si>
    <t>Post 2023-24</t>
  </si>
  <si>
    <t>Actual</t>
  </si>
  <si>
    <t>Estimated</t>
  </si>
  <si>
    <t>Planned</t>
  </si>
  <si>
    <t>Treasury bills</t>
  </si>
  <si>
    <t>2-year</t>
  </si>
  <si>
    <t>3-year</t>
  </si>
  <si>
    <t>5-year</t>
  </si>
  <si>
    <t>10-year</t>
  </si>
  <si>
    <t>30-year</t>
  </si>
  <si>
    <t>Green bonds</t>
  </si>
  <si>
    <t>-</t>
  </si>
  <si>
    <t>Total bonds</t>
  </si>
  <si>
    <t>Total gross issuance</t>
  </si>
  <si>
    <t>Shares</t>
  </si>
  <si>
    <t>23-24</t>
  </si>
  <si>
    <t>22-23</t>
  </si>
  <si>
    <t>21-22</t>
  </si>
  <si>
    <t>2018-19</t>
  </si>
  <si>
    <t>LT</t>
  </si>
  <si>
    <t>* LT adjusted to long-term average at 22%, 3-year adjusted to 0 since they will no longer be issued, the share reductions for LT and 3-year are redistributed equally to 2-year and 5-year</t>
  </si>
  <si>
    <t>Based on the latest Debt Management Strategy</t>
  </si>
  <si>
    <t>Total Bonds</t>
  </si>
  <si>
    <t>Share (2023-24)</t>
  </si>
  <si>
    <t>Share (post 2023-24)</t>
  </si>
  <si>
    <t>Medium-term Bond Breakdown</t>
  </si>
  <si>
    <t>share (2021-22)</t>
  </si>
  <si>
    <t>Total MT bond expiring</t>
  </si>
  <si>
    <t>2-year bond expiring</t>
  </si>
  <si>
    <t>3-year bond expiring</t>
  </si>
  <si>
    <t>5-year bond expiring</t>
  </si>
  <si>
    <t>Long-term bonds: issuance</t>
  </si>
  <si>
    <t>(New borrowing requirement + total expiring debt) * share of T-bills</t>
  </si>
  <si>
    <t>(New borrowing requirement + total expiring debt) * share of LT bonds</t>
  </si>
  <si>
    <t>Equal to current year issuance</t>
  </si>
  <si>
    <t>Previous year stock + this year issuance - this year expiring</t>
  </si>
  <si>
    <t>Sum of 2y, 3y, 5y bonds expiring</t>
  </si>
  <si>
    <t>Government Bonds Composition (Isssuance &amp; Stock)</t>
  </si>
  <si>
    <t>Long-term Bond Breakdown</t>
  </si>
  <si>
    <t>Fiscal Model Imports</t>
  </si>
  <si>
    <t>Stock percentage: T-bills</t>
  </si>
  <si>
    <t>Stock percentage: Long-term bonds</t>
  </si>
  <si>
    <t>T-bills stock / total debt stock</t>
  </si>
  <si>
    <t>LT bond stock / total debt stock</t>
  </si>
  <si>
    <t>Weighted avg of T-bills rate and MT, LT running rates</t>
  </si>
  <si>
    <t>*Equals net change in primary balance + annual public debt charges. Includes debt charges on deficits/surplus from previous years resulting from policies implemented by the party platform</t>
  </si>
  <si>
    <t>Debt Expiring Amounts</t>
  </si>
  <si>
    <t>Interest of Expiring and Remaining MT Bonds</t>
  </si>
  <si>
    <t>Share new * new rate + share old * non-expiring rate</t>
  </si>
  <si>
    <t>Share of new long-term bonds</t>
  </si>
  <si>
    <t>Issuance/Stock, between 0 and 1</t>
  </si>
  <si>
    <t>2017-18</t>
  </si>
  <si>
    <t>2016-17</t>
  </si>
  <si>
    <t>2015-16</t>
  </si>
  <si>
    <t>2014-15</t>
  </si>
  <si>
    <t>2013-14</t>
  </si>
  <si>
    <t>2012-13</t>
  </si>
  <si>
    <t>Historical T-bill Issuance Shares</t>
  </si>
  <si>
    <t>Historical T-bill Stock Shares (End of Fiscal Year)</t>
  </si>
  <si>
    <t>type</t>
  </si>
  <si>
    <t>group_name_en</t>
  </si>
  <si>
    <t>group_name_fr</t>
  </si>
  <si>
    <t>label_en</t>
  </si>
  <si>
    <t>label_fr</t>
  </si>
  <si>
    <t>description_en</t>
  </si>
  <si>
    <t>description_fr</t>
  </si>
  <si>
    <t>warning_en</t>
  </si>
  <si>
    <t>warning_fr</t>
  </si>
  <si>
    <t>2025-2026</t>
  </si>
  <si>
    <t>2026-2027</t>
  </si>
  <si>
    <t>id</t>
  </si>
  <si>
    <t>input</t>
  </si>
  <si>
    <t>unit</t>
  </si>
  <si>
    <t>Revenu total provenant de nouvelles mesures</t>
  </si>
  <si>
    <t>total_revenue_measures</t>
  </si>
  <si>
    <t>Dépense totale provenant de nouvelles mesures</t>
  </si>
  <si>
    <t>millions</t>
  </si>
  <si>
    <t>total_program_spending_measures</t>
  </si>
  <si>
    <t>2027-2028</t>
  </si>
  <si>
    <t>2028-2029</t>
  </si>
  <si>
    <t>outputs</t>
  </si>
  <si>
    <t>Frais annuels de la dette publique</t>
  </si>
  <si>
    <t>Cumulative surplus/(deficit)</t>
  </si>
  <si>
    <t>Surplus/(déficit) cumulatif</t>
  </si>
  <si>
    <t>is_static</t>
  </si>
  <si>
    <t>Surplus/(déficit) pour l'année</t>
  </si>
  <si>
    <t>Inclut le service de la dette publique sur le surplus/(déficit) des années précédentes résultant des politiques mises en œuvre.</t>
  </si>
  <si>
    <t>Includes public debt charges on surplus/(deficit) from previous years resulting from the implemented policies.</t>
  </si>
  <si>
    <t>Frais cumulatifs de la dette publique</t>
  </si>
  <si>
    <t>backend</t>
  </si>
  <si>
    <t>Taux des bons du Trésor à 90 jours</t>
  </si>
  <si>
    <t>Taux d'intérêt</t>
  </si>
  <si>
    <t>Interest rates</t>
  </si>
  <si>
    <t>Long-term bonds rate</t>
  </si>
  <si>
    <t>Surplus for the year</t>
  </si>
  <si>
    <t>Taux des obligations à long terme</t>
  </si>
  <si>
    <t>Marginal effective interest rate</t>
  </si>
  <si>
    <t>Taux d'intérêt marginal effectif</t>
  </si>
  <si>
    <t>Nouvelle dette globale</t>
  </si>
  <si>
    <t>Overall new debt</t>
  </si>
  <si>
    <t>Encours de la dette</t>
  </si>
  <si>
    <t>The row will appear in either the `input` section, general `outputs` or backend depending of the value specified here.</t>
  </si>
  <si>
    <t>A user visible label in english.</t>
  </si>
  <si>
    <t>Field</t>
  </si>
  <si>
    <t>Description</t>
  </si>
  <si>
    <t>Required</t>
  </si>
  <si>
    <t>A user visible label in French</t>
  </si>
  <si>
    <t>A unique identifier for this aspect. Can be any chain of characters unless the aspect is an input (only letters, underscores and numbers are accepted). Not visible to the end user.</t>
  </si>
  <si>
    <t xml:space="preserve"> When type is `backend`</t>
  </si>
  <si>
    <t>Aspects will be grouped under this use visible group name. Use the same group name for multiple aspects to group them together.</t>
  </si>
  <si>
    <t>An optional user visible description. Will appear under the aspect label (and unit, if specified) with a gray tone.</t>
  </si>
  <si>
    <t>An optional user visible warning. Will appear under the aspect label, unit (if specified) and description (if specified) with a yellow tone.</t>
  </si>
  <si>
    <t>When TRUE, the values for a given aspect will appear within a grayed out box. Use to display constants and other non-variable values (eg. Imports from an external model).</t>
  </si>
  <si>
    <t>Can be `millions` or `percents`; will be localized to the end user's preference (and multiply values x100 if percents).</t>
  </si>
  <si>
    <t>[Fiscal years]</t>
  </si>
  <si>
    <t>A series of fical year columns must be included. Fiscal year headers MUST adopt the following format: `YYYY-YYYY`.</t>
  </si>
  <si>
    <t>A `machine_readable` sheet must be present and include the fields above.</t>
  </si>
  <si>
    <t xml:space="preserve"> The field headers MUST be on row 1.</t>
  </si>
  <si>
    <t>Empty rows are not allowed.</t>
  </si>
  <si>
    <t>User inputs should be set to 0 by default.</t>
  </si>
  <si>
    <t>Notes</t>
  </si>
  <si>
    <t>Changement net sur le solde primaire</t>
  </si>
  <si>
    <t>10-year bond rate</t>
  </si>
  <si>
    <t>Taux des obligations à 10 ans</t>
  </si>
  <si>
    <t>Public debt composition</t>
  </si>
  <si>
    <t>Composition de la dette publique</t>
  </si>
  <si>
    <t>Encours des bons du Trésor</t>
  </si>
  <si>
    <t>Encours des obligations à moyen terme</t>
  </si>
  <si>
    <t>Encours des obligations à long terme</t>
  </si>
  <si>
    <t>Surplus/(deficit) for the year</t>
  </si>
  <si>
    <t>24-25</t>
  </si>
  <si>
    <t>Marginal 2Y Bond Rate</t>
  </si>
  <si>
    <t>Marginal 3Y Bond Rate</t>
  </si>
  <si>
    <t>Marginal 5Y Bond Rate</t>
  </si>
  <si>
    <t>2 Year Bonds: issuance</t>
  </si>
  <si>
    <t>3 Year Bonds: issuance</t>
  </si>
  <si>
    <t>5 Year Bonds: issuance</t>
  </si>
  <si>
    <t xml:space="preserve">(New borrowing requirement + total expiring debt)  * share of 2Y bonds </t>
  </si>
  <si>
    <t xml:space="preserve">(New borrowing requirement + total expiring debt)  * share of 3Y bonds </t>
  </si>
  <si>
    <t xml:space="preserve">(New borrowing requirement + total expiring debt)  * share of 5Y bonds </t>
  </si>
  <si>
    <t>Stock percentage: 2Y bonds</t>
  </si>
  <si>
    <t>Stock percentage: 3Y bonds</t>
  </si>
  <si>
    <t>Stock percentage: 5Y bonds</t>
  </si>
  <si>
    <t>5Y bond stock / total debt stock</t>
  </si>
  <si>
    <t>2Y bond stock / total debt stock</t>
  </si>
  <si>
    <t>3Y bond stock / total debt stock</t>
  </si>
  <si>
    <t>Share of new 5Y bonds</t>
  </si>
  <si>
    <t>New financing requirement</t>
  </si>
  <si>
    <t>Running Applicable Interest Rate: 2Y Bonds</t>
  </si>
  <si>
    <t>Running Applicable Interest Rate: 3Y Bonds</t>
  </si>
  <si>
    <t>Weighted average of marginal 2Y bond rates in the last 2 years</t>
  </si>
  <si>
    <t>Weighted average of marginal 3Y bond rates in the last 3 years</t>
  </si>
  <si>
    <t>Running Applicable Interest Rate: 5Y Bonds</t>
  </si>
  <si>
    <t>2Y bond rate (new borrowing)</t>
  </si>
  <si>
    <t>3Y bond rate (new borrowing)</t>
  </si>
  <si>
    <t>5Y bond rate (new borrowing)</t>
  </si>
  <si>
    <t>RGCB2B_0</t>
  </si>
  <si>
    <t>RGCB3B_0</t>
  </si>
  <si>
    <t>RGCB5B_0</t>
  </si>
  <si>
    <t xml:space="preserve">RGCB2b_0 </t>
  </si>
  <si>
    <t>rgcb3b_0</t>
  </si>
  <si>
    <t>rgcb5b_0</t>
  </si>
  <si>
    <t>Sum of 2Y, 3Y, 5Y Stocks</t>
  </si>
  <si>
    <t>Interest on primary balances</t>
  </si>
  <si>
    <t>Interest on existing cumulative surplus/deficit</t>
  </si>
  <si>
    <t>Sum of previous new borrowings (if there is a cumulative deficit), otherwize zero</t>
  </si>
  <si>
    <t>Intérêt sur les soldes primaires</t>
  </si>
  <si>
    <t>Intérêt sur le surplus/(déficit) cumulatif existant</t>
  </si>
  <si>
    <t>Outstanding debt</t>
  </si>
  <si>
    <t>T-bills outstanding</t>
  </si>
  <si>
    <t>Medium-term bonds outstanding</t>
  </si>
  <si>
    <t>Long-term bond outstanding</t>
  </si>
  <si>
    <t>Treasury bills outstanding</t>
  </si>
  <si>
    <t>Long-term bonds outstanding</t>
  </si>
  <si>
    <t>2Y bonds: outstanding</t>
  </si>
  <si>
    <t>3Y bonds: outstanding</t>
  </si>
  <si>
    <t>5Y bonds: outstanding</t>
  </si>
  <si>
    <t>Nouveau besoin de financement</t>
  </si>
  <si>
    <t>1-month T-bills</t>
  </si>
  <si>
    <t>3 month T-bills</t>
  </si>
  <si>
    <t>6 month T-bills</t>
  </si>
  <si>
    <t>1 year T-bills</t>
  </si>
  <si>
    <t>T-bill interest timing adjustment</t>
  </si>
  <si>
    <t>Issuance %</t>
  </si>
  <si>
    <t>Adjustment factor</t>
  </si>
  <si>
    <t>Overall Adjustment Factor</t>
  </si>
  <si>
    <t>Quarter</t>
  </si>
  <si>
    <t>2030Q1</t>
  </si>
  <si>
    <t>Share of LT Bonds</t>
  </si>
  <si>
    <t>Share of T-bills</t>
  </si>
  <si>
    <t>Share of 2Y Bonds</t>
  </si>
  <si>
    <t>Share of 3Y Bonds</t>
  </si>
  <si>
    <t>Share of 5Y Bonds</t>
  </si>
  <si>
    <t>Marginal interest rate (all new debt)</t>
  </si>
  <si>
    <t>Marginal Interest Rate (All new debt)</t>
  </si>
  <si>
    <t>3 months T-bills: issuance</t>
  </si>
  <si>
    <t>6 months T-bills: issuance</t>
  </si>
  <si>
    <t>1 year T-bills: issuance</t>
  </si>
  <si>
    <t>Share of 3-month T-bills</t>
  </si>
  <si>
    <t>Share of 6-month T-bills</t>
  </si>
  <si>
    <t>Share of 1-year T-bills</t>
  </si>
  <si>
    <t>Total T-bills: issuance</t>
  </si>
  <si>
    <t>Sum of 3m, 6m, 1y T-bills</t>
  </si>
  <si>
    <t>Previous period stock + this year issuance - this year expiring</t>
  </si>
  <si>
    <t>3 months T-bills: outstanding</t>
  </si>
  <si>
    <t>Total T-bills expiring</t>
  </si>
  <si>
    <t>Same as current period issuance</t>
  </si>
  <si>
    <t>1 year T-bills: outstanding</t>
  </si>
  <si>
    <t>6 months T-bills: outstanding</t>
  </si>
  <si>
    <t>Total T-bills outstanding</t>
  </si>
  <si>
    <t>Sum of 3m, 6m, 1y T-bills outstanding</t>
  </si>
  <si>
    <t>3 month T-bills expiring</t>
  </si>
  <si>
    <t>6 month T-bills expiring</t>
  </si>
  <si>
    <t>1 year T-bills expiring</t>
  </si>
  <si>
    <t>Sum of 3m, 6m, 1y T-bills expiring</t>
  </si>
  <si>
    <t>issuance in previous period</t>
  </si>
  <si>
    <t>Issuance 2 years ago</t>
  </si>
  <si>
    <t>Issuance 3 years ago</t>
  </si>
  <si>
    <t>Issuance 5 years ago</t>
  </si>
  <si>
    <t>Issuance 6 months ago</t>
  </si>
  <si>
    <t>Issuance 1 year ago</t>
  </si>
  <si>
    <t>Stock percentage: 3 month T-bills</t>
  </si>
  <si>
    <t>Stock percentage: 6 month T-bills</t>
  </si>
  <si>
    <t>Stock percentage: 1 year T-bills</t>
  </si>
  <si>
    <t>Stock percentage: Total T-bills</t>
  </si>
  <si>
    <t>3 month T-bills stock / total debt stock</t>
  </si>
  <si>
    <t>6 month T-bills stock / total debt stock</t>
  </si>
  <si>
    <t>1 year T-bills stock / total debt stock</t>
  </si>
  <si>
    <t>Running Applicable Interest Rate: 3 month T-bills</t>
  </si>
  <si>
    <t>Same as marginal rate</t>
  </si>
  <si>
    <t>Running Applicable Interest Rate: 6 Month T-bills</t>
  </si>
  <si>
    <t>Running Applicable Interest Rate: 1 Year T-bills</t>
  </si>
  <si>
    <t>Weighted average of T-bill rates in past 6 months</t>
  </si>
  <si>
    <t>Weighted average of T-bill rates in past year</t>
  </si>
  <si>
    <t>* Divide interest by 4</t>
  </si>
  <si>
    <t xml:space="preserve"> </t>
  </si>
  <si>
    <t>2029-2030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</si>
</sst>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0.0"/>
    <numFmt numFmtId="166" formatCode="_(* #,##0.0_);_(* \(#,##0.0\);_(* &quot;-&quot;??_);_(@_)"/>
    <numFmt numFmtId="167" formatCode="0.0%"/>
    <numFmt numFmtId="168" formatCode="_(* #,##0.00000000_);_(* \(#,##0.0000000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8"/>
      <color rgb="FFFFFFFF"/>
      <name val="Noto Sans"/>
      <family val="2"/>
    </font>
    <font>
      <b/>
      <sz val="8"/>
      <color rgb="FF333333"/>
      <name val="Noto Sans"/>
      <family val="2"/>
    </font>
    <font>
      <sz val="8"/>
      <color rgb="FF333333"/>
      <name val="Noto Sans"/>
      <family val="2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43A4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DDDDDD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2" fillId="2" borderId="0" xfId="0" applyFont="1" applyFill="1"/>
    <xf numFmtId="0" fontId="0" fillId="2" borderId="0" xfId="0" applyFill="1"/>
    <xf numFmtId="0" fontId="4" fillId="3" borderId="0" xfId="0" applyFont="1" applyFill="1" applyAlignment="1">
      <alignment horizontal="left" indent="1"/>
    </xf>
    <xf numFmtId="0" fontId="0" fillId="3" borderId="0" xfId="0" applyFill="1"/>
    <xf numFmtId="0" fontId="3" fillId="4" borderId="0" xfId="0" applyFont="1" applyFill="1" applyAlignment="1">
      <alignment horizontal="left"/>
    </xf>
    <xf numFmtId="0" fontId="3" fillId="4" borderId="0" xfId="0" applyFont="1" applyFill="1"/>
    <xf numFmtId="0" fontId="0" fillId="5" borderId="0" xfId="0" applyFill="1"/>
    <xf numFmtId="164" fontId="0" fillId="5" borderId="0" xfId="1" applyFont="1" applyFill="1"/>
    <xf numFmtId="165" fontId="0" fillId="5" borderId="0" xfId="0" applyNumberFormat="1" applyFill="1"/>
    <xf numFmtId="0" fontId="0" fillId="6" borderId="0" xfId="0" applyFill="1" applyBorder="1"/>
    <xf numFmtId="165" fontId="0" fillId="6" borderId="0" xfId="0" applyNumberFormat="1" applyFill="1" applyBorder="1"/>
    <xf numFmtId="0" fontId="0" fillId="7" borderId="0" xfId="0" applyFill="1"/>
    <xf numFmtId="165" fontId="0" fillId="7" borderId="0" xfId="0" applyNumberFormat="1" applyFill="1"/>
    <xf numFmtId="0" fontId="0" fillId="8" borderId="0" xfId="0" applyFill="1" applyAlignment="1">
      <alignment wrapText="1"/>
    </xf>
    <xf numFmtId="0" fontId="0" fillId="0" borderId="0" xfId="0" applyAlignment="1">
      <alignment wrapText="1"/>
    </xf>
    <xf numFmtId="1" fontId="0" fillId="0" borderId="0" xfId="0" applyNumberFormat="1"/>
    <xf numFmtId="166" fontId="0" fillId="0" borderId="0" xfId="0" applyNumberFormat="1"/>
    <xf numFmtId="37" fontId="0" fillId="0" borderId="0" xfId="0" applyNumberFormat="1"/>
    <xf numFmtId="14" fontId="0" fillId="0" borderId="0" xfId="0" applyNumberFormat="1"/>
    <xf numFmtId="10" fontId="0" fillId="0" borderId="0" xfId="0" applyNumberFormat="1"/>
    <xf numFmtId="0" fontId="3" fillId="0" borderId="0" xfId="0" applyFont="1"/>
    <xf numFmtId="14" fontId="3" fillId="0" borderId="0" xfId="0" applyNumberFormat="1" applyFont="1"/>
    <xf numFmtId="0" fontId="0" fillId="0" borderId="0" xfId="0" applyFont="1"/>
    <xf numFmtId="2" fontId="0" fillId="0" borderId="0" xfId="0" applyNumberFormat="1"/>
    <xf numFmtId="2" fontId="3" fillId="0" borderId="0" xfId="0" applyNumberFormat="1" applyFont="1"/>
    <xf numFmtId="0" fontId="0" fillId="5" borderId="0" xfId="0" applyFont="1" applyFill="1"/>
    <xf numFmtId="0" fontId="5" fillId="9" borderId="0" xfId="0" applyFont="1" applyFill="1" applyAlignment="1">
      <alignment horizontal="left"/>
    </xf>
    <xf numFmtId="0" fontId="3" fillId="9" borderId="0" xfId="0" applyFont="1" applyFill="1"/>
    <xf numFmtId="0" fontId="5" fillId="9" borderId="0" xfId="0" applyFont="1" applyFill="1"/>
    <xf numFmtId="0" fontId="0" fillId="9" borderId="0" xfId="0" applyFill="1"/>
    <xf numFmtId="165" fontId="0" fillId="9" borderId="0" xfId="0" applyNumberFormat="1" applyFill="1"/>
    <xf numFmtId="2" fontId="0" fillId="5" borderId="0" xfId="0" applyNumberFormat="1" applyFill="1"/>
    <xf numFmtId="0" fontId="0" fillId="5" borderId="0" xfId="0" applyFont="1" applyFill="1" applyAlignment="1">
      <alignment horizontal="left"/>
    </xf>
    <xf numFmtId="2" fontId="0" fillId="5" borderId="0" xfId="0" applyNumberFormat="1" applyFont="1" applyFill="1"/>
    <xf numFmtId="0" fontId="7" fillId="5" borderId="0" xfId="0" applyFont="1" applyFill="1" applyAlignment="1">
      <alignment horizontal="left" wrapText="1"/>
    </xf>
    <xf numFmtId="0" fontId="7" fillId="5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8" fillId="2" borderId="0" xfId="0" applyFont="1" applyFill="1" applyAlignment="1">
      <alignment wrapText="1"/>
    </xf>
    <xf numFmtId="0" fontId="9" fillId="3" borderId="0" xfId="0" applyFont="1" applyFill="1" applyAlignment="1">
      <alignment horizontal="left" wrapText="1"/>
    </xf>
    <xf numFmtId="0" fontId="10" fillId="4" borderId="0" xfId="0" applyFont="1" applyFill="1" applyAlignment="1">
      <alignment horizontal="left" wrapText="1"/>
    </xf>
    <xf numFmtId="0" fontId="11" fillId="9" borderId="0" xfId="0" applyFont="1" applyFill="1" applyAlignment="1">
      <alignment horizontal="left" wrapText="1"/>
    </xf>
    <xf numFmtId="0" fontId="11" fillId="9" borderId="0" xfId="0" applyFont="1" applyFill="1" applyAlignment="1">
      <alignment wrapText="1"/>
    </xf>
    <xf numFmtId="0" fontId="7" fillId="6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7" fillId="9" borderId="0" xfId="0" applyFont="1" applyFill="1" applyAlignment="1">
      <alignment wrapText="1"/>
    </xf>
    <xf numFmtId="2" fontId="0" fillId="9" borderId="0" xfId="0" applyNumberFormat="1" applyFill="1"/>
    <xf numFmtId="10" fontId="0" fillId="0" borderId="0" xfId="0" applyNumberFormat="1" applyFont="1"/>
    <xf numFmtId="10" fontId="1" fillId="0" borderId="0" xfId="2" applyNumberFormat="1" applyFont="1"/>
    <xf numFmtId="2" fontId="0" fillId="0" borderId="0" xfId="0" applyNumberFormat="1" applyFont="1"/>
    <xf numFmtId="0" fontId="0" fillId="9" borderId="0" xfId="0" applyFont="1" applyFill="1"/>
    <xf numFmtId="165" fontId="0" fillId="7" borderId="0" xfId="2" applyNumberFormat="1" applyFont="1" applyFill="1"/>
    <xf numFmtId="166" fontId="0" fillId="0" borderId="0" xfId="1" applyNumberFormat="1" applyFont="1"/>
    <xf numFmtId="0" fontId="0" fillId="11" borderId="0" xfId="0" applyFill="1" applyAlignment="1">
      <alignment horizontal="right" wrapText="1"/>
    </xf>
    <xf numFmtId="0" fontId="12" fillId="11" borderId="0" xfId="0" applyFont="1" applyFill="1" applyAlignment="1">
      <alignment horizontal="right" wrapText="1"/>
    </xf>
    <xf numFmtId="0" fontId="12" fillId="11" borderId="1" xfId="0" applyFont="1" applyFill="1" applyBorder="1" applyAlignment="1">
      <alignment horizontal="right" wrapText="1"/>
    </xf>
    <xf numFmtId="0" fontId="13" fillId="10" borderId="0" xfId="0" applyFont="1" applyFill="1" applyAlignment="1">
      <alignment horizontal="left" vertical="top" wrapText="1"/>
    </xf>
    <xf numFmtId="0" fontId="13" fillId="10" borderId="0" xfId="0" applyFont="1" applyFill="1" applyAlignment="1">
      <alignment horizontal="right" vertical="top" wrapText="1"/>
    </xf>
    <xf numFmtId="0" fontId="14" fillId="10" borderId="0" xfId="0" applyFont="1" applyFill="1" applyAlignment="1">
      <alignment horizontal="left" vertical="center" wrapText="1"/>
    </xf>
    <xf numFmtId="0" fontId="14" fillId="10" borderId="0" xfId="0" applyFont="1" applyFill="1" applyAlignment="1">
      <alignment horizontal="right" vertical="top" wrapText="1"/>
    </xf>
    <xf numFmtId="0" fontId="13" fillId="10" borderId="0" xfId="0" applyFont="1" applyFill="1" applyAlignment="1">
      <alignment horizontal="left" vertical="center" wrapText="1"/>
    </xf>
    <xf numFmtId="0" fontId="12" fillId="11" borderId="0" xfId="0" applyFont="1" applyFill="1" applyBorder="1" applyAlignment="1">
      <alignment horizontal="right" wrapText="1"/>
    </xf>
    <xf numFmtId="0" fontId="0" fillId="0" borderId="0" xfId="0" applyAlignment="1">
      <alignment horizontal="right"/>
    </xf>
    <xf numFmtId="9" fontId="0" fillId="0" borderId="0" xfId="2" applyFont="1"/>
    <xf numFmtId="167" fontId="0" fillId="0" borderId="0" xfId="2" applyNumberFormat="1" applyFont="1"/>
    <xf numFmtId="167" fontId="0" fillId="0" borderId="0" xfId="0" applyNumberFormat="1"/>
    <xf numFmtId="10" fontId="0" fillId="9" borderId="0" xfId="0" applyNumberFormat="1" applyFill="1"/>
    <xf numFmtId="9" fontId="0" fillId="5" borderId="0" xfId="2" applyFont="1" applyFill="1"/>
    <xf numFmtId="165" fontId="0" fillId="3" borderId="0" xfId="0" applyNumberFormat="1" applyFill="1"/>
    <xf numFmtId="165" fontId="0" fillId="5" borderId="0" xfId="1" applyNumberFormat="1" applyFont="1" applyFill="1"/>
    <xf numFmtId="10" fontId="0" fillId="5" borderId="0" xfId="2" applyNumberFormat="1" applyFont="1" applyFill="1"/>
    <xf numFmtId="10" fontId="0" fillId="0" borderId="0" xfId="2" applyNumberFormat="1" applyFont="1"/>
    <xf numFmtId="168" fontId="0" fillId="5" borderId="0" xfId="1" applyNumberFormat="1" applyFont="1" applyFill="1"/>
    <xf numFmtId="0" fontId="3" fillId="0" borderId="0" xfId="0" applyFont="1" applyAlignment="1">
      <alignment wrapText="1"/>
    </xf>
    <xf numFmtId="0" fontId="3" fillId="0" borderId="0" xfId="0" applyFont="1" applyAlignment="1"/>
    <xf numFmtId="0" fontId="0" fillId="0" borderId="0" xfId="0" applyNumberFormat="1"/>
    <xf numFmtId="0" fontId="0" fillId="0" borderId="0" xfId="0" applyAlignment="1"/>
    <xf numFmtId="9" fontId="0" fillId="0" borderId="0" xfId="0" applyNumberFormat="1"/>
    <xf numFmtId="165" fontId="0" fillId="0" borderId="0" xfId="0" applyNumberFormat="1"/>
    <xf numFmtId="0" fontId="3" fillId="8" borderId="0" xfId="0" applyFont="1" applyFill="1" applyAlignment="1">
      <alignment wrapText="1"/>
    </xf>
  </cellXfs>
  <cellStyles count="3">
    <cellStyle name="Comma" xfId="1" builtinId="3"/>
    <cellStyle name="Normal" xfId="0" builtinId="0"/>
    <cellStyle name="Percent" xfId="2" builtinId="5"/>
  </cellStyles>
  <dxfs count="4"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8D3F2AD-386C-47D7-A08A-D0F9FA78FC08}" name="Table12" displayName="Table12" ref="A1:C14" totalsRowShown="0" headerRowDxfId="3">
  <autoFilter ref="A1:C14" xr:uid="{18D3F2AD-386C-47D7-A08A-D0F9FA78FC08}">
    <filterColumn colId="0" hiddenButton="1"/>
    <filterColumn colId="1" hiddenButton="1"/>
    <filterColumn colId="2" hiddenButton="1"/>
  </autoFilter>
  <tableColumns count="3">
    <tableColumn id="1" xr3:uid="{DC129F0C-83E5-4999-8067-EED30BFDDA18}" name="Field" dataDxfId="2"/>
    <tableColumn id="2" xr3:uid="{E72215B9-C65D-4070-9C6F-FFC8A4850319}" name="Required" dataDxfId="1"/>
    <tableColumn id="3" xr3:uid="{5E3BB497-0045-4EEA-BCF3-CC45DB3FD769}" name="Description" dataDxfId="0"/>
  </tableColumns>
  <tableStyleInfo name="TableStyleLight13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AB0358D-140B-43B9-A527-231BF75D29FD}" name="Table13" displayName="Table13" ref="C17:C21" totalsRowShown="0">
  <autoFilter ref="C17:C21" xr:uid="{AAB0358D-140B-43B9-A527-231BF75D29FD}">
    <filterColumn colId="0" hiddenButton="1"/>
  </autoFilter>
  <tableColumns count="1">
    <tableColumn id="1" xr3:uid="{3FA4E765-6020-4665-8A64-E72D3247D39B}" name="Not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E8843-9E22-442B-AC52-E0B48A2465F9}">
  <dimension ref="A1:C21"/>
  <sheetViews>
    <sheetView workbookViewId="0">
      <selection activeCell="B6" sqref="B6"/>
    </sheetView>
  </sheetViews>
  <sheetFormatPr defaultRowHeight="15" x14ac:dyDescent="0.25"/>
  <cols>
    <col min="1" max="1" width="15.140625" customWidth="1"/>
    <col min="2" max="2" width="12.7109375" customWidth="1"/>
    <col min="3" max="3" width="156.85546875" customWidth="1"/>
    <col min="6" max="6" width="16.85546875" customWidth="1"/>
  </cols>
  <sheetData>
    <row r="1" spans="1:3" x14ac:dyDescent="0.25">
      <c r="A1" s="74" t="s">
        <v>201</v>
      </c>
      <c r="B1" s="74" t="s">
        <v>203</v>
      </c>
      <c r="C1" s="74" t="s">
        <v>202</v>
      </c>
    </row>
    <row r="2" spans="1:3" ht="30" x14ac:dyDescent="0.25">
      <c r="A2" s="74" t="s">
        <v>168</v>
      </c>
      <c r="B2" s="76" t="b">
        <v>1</v>
      </c>
      <c r="C2" s="15" t="s">
        <v>205</v>
      </c>
    </row>
    <row r="3" spans="1:3" x14ac:dyDescent="0.25">
      <c r="A3" s="74" t="s">
        <v>157</v>
      </c>
      <c r="B3" s="76" t="b">
        <v>1</v>
      </c>
      <c r="C3" s="15" t="s">
        <v>199</v>
      </c>
    </row>
    <row r="4" spans="1:3" x14ac:dyDescent="0.25">
      <c r="A4" s="74" t="s">
        <v>160</v>
      </c>
      <c r="B4" s="76" t="b">
        <v>1</v>
      </c>
      <c r="C4" s="15" t="s">
        <v>200</v>
      </c>
    </row>
    <row r="5" spans="1:3" x14ac:dyDescent="0.25">
      <c r="A5" s="74" t="s">
        <v>161</v>
      </c>
      <c r="B5" s="76" t="b">
        <v>1</v>
      </c>
      <c r="C5" s="15" t="s">
        <v>204</v>
      </c>
    </row>
    <row r="6" spans="1:3" x14ac:dyDescent="0.25">
      <c r="A6" s="74" t="s">
        <v>158</v>
      </c>
      <c r="B6" s="76" t="s">
        <v>206</v>
      </c>
      <c r="C6" s="15" t="s">
        <v>207</v>
      </c>
    </row>
    <row r="7" spans="1:3" x14ac:dyDescent="0.25">
      <c r="A7" s="74" t="s">
        <v>159</v>
      </c>
      <c r="B7" s="76"/>
      <c r="C7" s="15" t="s">
        <v>207</v>
      </c>
    </row>
    <row r="8" spans="1:3" x14ac:dyDescent="0.25">
      <c r="A8" s="74" t="s">
        <v>162</v>
      </c>
      <c r="B8" s="76"/>
      <c r="C8" s="15" t="s">
        <v>208</v>
      </c>
    </row>
    <row r="9" spans="1:3" x14ac:dyDescent="0.25">
      <c r="A9" s="74" t="s">
        <v>163</v>
      </c>
      <c r="B9" s="76"/>
      <c r="C9" s="15" t="s">
        <v>208</v>
      </c>
    </row>
    <row r="10" spans="1:3" x14ac:dyDescent="0.25">
      <c r="A10" s="74" t="s">
        <v>164</v>
      </c>
      <c r="B10" s="76"/>
      <c r="C10" s="15" t="s">
        <v>209</v>
      </c>
    </row>
    <row r="11" spans="1:3" x14ac:dyDescent="0.25">
      <c r="A11" s="74" t="s">
        <v>165</v>
      </c>
      <c r="B11" s="76"/>
      <c r="C11" s="15" t="s">
        <v>209</v>
      </c>
    </row>
    <row r="12" spans="1:3" x14ac:dyDescent="0.25">
      <c r="A12" s="74" t="s">
        <v>182</v>
      </c>
      <c r="B12" s="76"/>
      <c r="C12" s="15" t="s">
        <v>210</v>
      </c>
    </row>
    <row r="13" spans="1:3" x14ac:dyDescent="0.25">
      <c r="A13" s="74" t="s">
        <v>170</v>
      </c>
      <c r="B13" s="76"/>
      <c r="C13" s="15" t="s">
        <v>211</v>
      </c>
    </row>
    <row r="14" spans="1:3" x14ac:dyDescent="0.25">
      <c r="A14" s="74" t="s">
        <v>212</v>
      </c>
      <c r="B14" s="76"/>
      <c r="C14" s="15" t="s">
        <v>213</v>
      </c>
    </row>
    <row r="17" spans="3:3" x14ac:dyDescent="0.25">
      <c r="C17" t="s">
        <v>218</v>
      </c>
    </row>
    <row r="18" spans="3:3" x14ac:dyDescent="0.25">
      <c r="C18" t="s">
        <v>214</v>
      </c>
    </row>
    <row r="19" spans="3:3" x14ac:dyDescent="0.25">
      <c r="C19" t="s">
        <v>215</v>
      </c>
    </row>
    <row r="20" spans="3:3" x14ac:dyDescent="0.25">
      <c r="C20" t="s">
        <v>216</v>
      </c>
    </row>
    <row r="21" spans="3:3" x14ac:dyDescent="0.25">
      <c r="C21" t="s">
        <v>217</v>
      </c>
    </row>
  </sheetData>
  <phoneticPr fontId="6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A5658-E2EA-4E0B-B547-2D4F388F10E4}">
  <dimension ref="A1:Q26"/>
  <sheetViews>
    <sheetView tabSelected="1" zoomScale="85" zoomScaleNormal="85" workbookViewId="0">
      <selection activeCell="Q3" sqref="Q3"/>
    </sheetView>
  </sheetViews>
  <sheetFormatPr defaultRowHeight="15" x14ac:dyDescent="0.25"/>
  <cols>
    <col min="1" max="1" width="43.5703125" bestFit="1" customWidth="1"/>
    <col min="2" max="2" width="8.42578125" customWidth="1"/>
    <col min="3" max="3" width="26.5703125" style="73" customWidth="1"/>
    <col min="4" max="4" width="29.28515625" style="73" customWidth="1"/>
    <col min="5" max="5" width="16.5703125" customWidth="1"/>
    <col min="6" max="6" width="19" customWidth="1"/>
    <col min="7" max="7" width="15.85546875" customWidth="1"/>
    <col min="8" max="8" width="18.7109375" customWidth="1"/>
    <col min="9" max="9" width="16.7109375" customWidth="1"/>
    <col min="10" max="12" width="25.7109375" customWidth="1"/>
    <col min="13" max="17" width="9.140625" style="75"/>
  </cols>
  <sheetData>
    <row r="1" spans="1:17" x14ac:dyDescent="0.25">
      <c r="A1" t="s">
        <v>168</v>
      </c>
      <c r="B1" t="s">
        <v>157</v>
      </c>
      <c r="C1" s="73" t="s">
        <v>160</v>
      </c>
      <c r="D1" s="73" t="s">
        <v>161</v>
      </c>
      <c r="E1" t="s">
        <v>158</v>
      </c>
      <c r="F1" t="s">
        <v>159</v>
      </c>
      <c r="G1" t="s">
        <v>162</v>
      </c>
      <c r="H1" t="s">
        <v>163</v>
      </c>
      <c r="I1" t="s">
        <v>164</v>
      </c>
      <c r="J1" t="s">
        <v>165</v>
      </c>
      <c r="K1" t="s">
        <v>182</v>
      </c>
      <c r="L1" t="s">
        <v>170</v>
      </c>
      <c r="M1" s="75" t="s">
        <v>166</v>
      </c>
      <c r="N1" s="75" t="s">
        <v>167</v>
      </c>
      <c r="O1" s="75" t="s">
        <v>176</v>
      </c>
      <c r="P1" s="75" t="s">
        <v>177</v>
      </c>
      <c r="Q1" s="75" t="s">
        <v>334</v>
      </c>
    </row>
    <row r="2" spans="1:17" ht="12.75" customHeight="1" x14ac:dyDescent="0.25">
      <c r="A2" t="s">
        <v>172</v>
      </c>
      <c r="B2" s="15" t="s">
        <v>169</v>
      </c>
      <c r="C2" s="73" t="s">
        <v>1</v>
      </c>
      <c r="D2" s="73" t="s">
        <v>171</v>
      </c>
      <c r="E2" s="15"/>
      <c r="F2" s="15"/>
      <c r="G2" s="15"/>
      <c r="H2" s="15"/>
      <c r="I2" s="15"/>
      <c r="J2" s="15"/>
      <c r="K2" s="15"/>
      <c r="L2" s="15" t="s">
        <v>174</v>
      </c>
      <c r="M2" s="75">
        <v>0</v>
      </c>
      <c r="N2" s="75">
        <v>0</v>
      </c>
      <c r="O2" s="75">
        <v>0</v>
      </c>
      <c r="P2" s="75">
        <v>0</v>
      </c>
      <c r="Q2" s="75">
        <v>0</v>
      </c>
    </row>
    <row r="3" spans="1:17" ht="30" x14ac:dyDescent="0.25">
      <c r="A3" t="s">
        <v>175</v>
      </c>
      <c r="B3" s="15" t="s">
        <v>169</v>
      </c>
      <c r="C3" s="73" t="s">
        <v>2</v>
      </c>
      <c r="D3" s="73" t="s">
        <v>173</v>
      </c>
      <c r="E3" s="15"/>
      <c r="F3" s="15"/>
      <c r="G3" s="15"/>
      <c r="H3" s="15"/>
      <c r="I3" s="15"/>
      <c r="J3" s="15"/>
      <c r="K3" s="15"/>
      <c r="L3" s="15" t="s">
        <v>174</v>
      </c>
      <c r="M3" s="75">
        <v>0</v>
      </c>
      <c r="N3" s="75">
        <v>0</v>
      </c>
      <c r="O3" s="75">
        <v>0</v>
      </c>
      <c r="P3" s="75">
        <v>0</v>
      </c>
      <c r="Q3" s="75">
        <v>0</v>
      </c>
    </row>
    <row r="4" spans="1:17" ht="30" x14ac:dyDescent="0.25">
      <c r="A4" s="12" t="s">
        <v>3</v>
      </c>
      <c r="B4" s="15" t="s">
        <v>178</v>
      </c>
      <c r="C4" s="73" t="s">
        <v>3</v>
      </c>
      <c r="D4" s="73" t="s">
        <v>219</v>
      </c>
      <c r="E4" s="15"/>
      <c r="F4" s="15"/>
      <c r="G4" s="15"/>
      <c r="H4" s="15"/>
      <c r="I4" s="15"/>
      <c r="J4" s="15"/>
      <c r="K4" s="15"/>
      <c r="L4" s="15" t="s">
        <v>174</v>
      </c>
      <c r="M4" s="75">
        <f>'For user (EN)'!C6</f>
        <v>0</v>
      </c>
      <c r="N4" s="75">
        <f>'For user (EN)'!D6</f>
        <v>0</v>
      </c>
      <c r="O4" s="75">
        <f>'For user (EN)'!E6</f>
        <v>0</v>
      </c>
      <c r="P4" s="75">
        <f>'For user (EN)'!F6</f>
        <v>0</v>
      </c>
      <c r="Q4" s="75">
        <f>'For user (EN)'!G6</f>
        <v>0</v>
      </c>
    </row>
    <row r="5" spans="1:17" ht="30" x14ac:dyDescent="0.25">
      <c r="A5" s="12" t="s">
        <v>59</v>
      </c>
      <c r="B5" s="15" t="s">
        <v>178</v>
      </c>
      <c r="C5" s="73" t="s">
        <v>59</v>
      </c>
      <c r="D5" s="73" t="s">
        <v>179</v>
      </c>
      <c r="E5" s="15"/>
      <c r="F5" s="15"/>
      <c r="G5" s="15"/>
      <c r="H5" s="15"/>
      <c r="I5" s="15"/>
      <c r="J5" s="15"/>
      <c r="K5" s="15"/>
      <c r="L5" s="15" t="s">
        <v>174</v>
      </c>
      <c r="M5" s="75">
        <f>'For user (EN)'!C10</f>
        <v>0</v>
      </c>
      <c r="N5" s="75">
        <f>'For user (EN)'!D10</f>
        <v>0</v>
      </c>
      <c r="O5" s="75">
        <f>'For user (EN)'!E10</f>
        <v>0</v>
      </c>
      <c r="P5" s="75">
        <f>'For user (EN)'!F10</f>
        <v>0</v>
      </c>
      <c r="Q5" s="75">
        <f>'For user (EN)'!G10</f>
        <v>0</v>
      </c>
    </row>
    <row r="6" spans="1:17" ht="120" x14ac:dyDescent="0.25">
      <c r="A6" s="12" t="s">
        <v>192</v>
      </c>
      <c r="B6" s="15" t="s">
        <v>178</v>
      </c>
      <c r="C6" s="73" t="s">
        <v>227</v>
      </c>
      <c r="D6" s="73" t="s">
        <v>183</v>
      </c>
      <c r="E6" s="15"/>
      <c r="F6" s="15"/>
      <c r="G6" s="15"/>
      <c r="H6" s="15"/>
      <c r="I6" s="15" t="s">
        <v>185</v>
      </c>
      <c r="J6" s="15" t="s">
        <v>184</v>
      </c>
      <c r="K6" s="15"/>
      <c r="L6" s="15" t="s">
        <v>174</v>
      </c>
      <c r="M6" s="75">
        <f>'For user (EN)'!C12</f>
        <v>0</v>
      </c>
      <c r="N6" s="75">
        <f>'For user (EN)'!D12</f>
        <v>0</v>
      </c>
      <c r="O6" s="75">
        <f>'For user (EN)'!E12</f>
        <v>0</v>
      </c>
      <c r="P6" s="75">
        <f>'For user (EN)'!F12</f>
        <v>0</v>
      </c>
      <c r="Q6" s="75">
        <f>'For user (EN)'!G12</f>
        <v>0</v>
      </c>
    </row>
    <row r="7" spans="1:17" x14ac:dyDescent="0.25">
      <c r="A7" s="12" t="s">
        <v>8</v>
      </c>
      <c r="B7" s="15" t="s">
        <v>178</v>
      </c>
      <c r="C7" s="73" t="s">
        <v>180</v>
      </c>
      <c r="D7" s="73" t="s">
        <v>181</v>
      </c>
      <c r="E7" s="15"/>
      <c r="F7" s="15"/>
      <c r="G7" s="15"/>
      <c r="H7" s="15"/>
      <c r="I7" s="15"/>
      <c r="J7" s="15"/>
      <c r="K7" s="15"/>
      <c r="L7" s="15" t="s">
        <v>174</v>
      </c>
      <c r="M7" s="75">
        <f>'For user (EN)'!C11</f>
        <v>0</v>
      </c>
      <c r="N7" s="75">
        <f>'For user (EN)'!D11</f>
        <v>0</v>
      </c>
      <c r="O7" s="75">
        <f>'For user (EN)'!E11</f>
        <v>0</v>
      </c>
      <c r="P7" s="75">
        <f>'For user (EN)'!F11</f>
        <v>0</v>
      </c>
      <c r="Q7" s="75">
        <f>'For user (EN)'!G11</f>
        <v>0</v>
      </c>
    </row>
    <row r="8" spans="1:17" ht="30" x14ac:dyDescent="0.25">
      <c r="A8" s="12" t="s">
        <v>58</v>
      </c>
      <c r="B8" s="15" t="s">
        <v>178</v>
      </c>
      <c r="C8" s="73" t="s">
        <v>58</v>
      </c>
      <c r="D8" s="73" t="s">
        <v>186</v>
      </c>
      <c r="E8" s="15"/>
      <c r="F8" s="15"/>
      <c r="G8" s="15"/>
      <c r="H8" s="15"/>
      <c r="I8" s="15"/>
      <c r="J8" s="15"/>
      <c r="K8" s="15"/>
      <c r="L8" s="15" t="s">
        <v>174</v>
      </c>
      <c r="M8" s="75">
        <f>'For user (EN)'!C13</f>
        <v>0</v>
      </c>
      <c r="N8" s="75">
        <f>'For user (EN)'!D13</f>
        <v>0</v>
      </c>
      <c r="O8" s="75">
        <f>'For user (EN)'!E13</f>
        <v>0</v>
      </c>
      <c r="P8" s="75">
        <f>'For user (EN)'!F13</f>
        <v>0</v>
      </c>
      <c r="Q8" s="75">
        <f>'For user (EN)'!G13</f>
        <v>0</v>
      </c>
    </row>
    <row r="9" spans="1:17" ht="30" x14ac:dyDescent="0.25">
      <c r="A9" s="33" t="s">
        <v>51</v>
      </c>
      <c r="B9" s="15" t="s">
        <v>187</v>
      </c>
      <c r="C9" s="73" t="s">
        <v>51</v>
      </c>
      <c r="D9" s="73" t="s">
        <v>188</v>
      </c>
      <c r="E9" s="15" t="s">
        <v>190</v>
      </c>
      <c r="F9" s="15" t="s">
        <v>189</v>
      </c>
      <c r="G9" s="15"/>
      <c r="H9" s="15"/>
      <c r="I9" s="15"/>
      <c r="J9" s="15"/>
      <c r="K9" s="15" t="b">
        <v>1</v>
      </c>
      <c r="L9" s="15"/>
      <c r="M9" s="75">
        <f>Model!D10</f>
        <v>2.7</v>
      </c>
      <c r="N9" s="75">
        <f>Model!E10</f>
        <v>2.7</v>
      </c>
      <c r="O9" s="75">
        <f>Model!F10</f>
        <v>2.7</v>
      </c>
      <c r="P9" s="75">
        <f>Model!G10</f>
        <v>2.7</v>
      </c>
      <c r="Q9" s="75">
        <f>Model!H10</f>
        <v>2.7</v>
      </c>
    </row>
    <row r="10" spans="1:17" x14ac:dyDescent="0.25">
      <c r="A10" s="33" t="s">
        <v>220</v>
      </c>
      <c r="B10" s="15" t="s">
        <v>187</v>
      </c>
      <c r="C10" s="73" t="s">
        <v>220</v>
      </c>
      <c r="D10" s="73" t="s">
        <v>221</v>
      </c>
      <c r="E10" s="15" t="s">
        <v>190</v>
      </c>
      <c r="F10" s="15" t="s">
        <v>189</v>
      </c>
      <c r="G10" s="15"/>
      <c r="H10" s="15"/>
      <c r="I10" s="15"/>
      <c r="J10" s="15"/>
      <c r="K10" s="15" t="b">
        <v>1</v>
      </c>
      <c r="L10" s="15"/>
      <c r="M10" s="24">
        <f>'Fiscal Model Import'!F18</f>
        <v>3.5</v>
      </c>
      <c r="N10" s="24">
        <f>'Fiscal Model Import'!G18</f>
        <v>3.5</v>
      </c>
      <c r="O10" s="24">
        <f>'Fiscal Model Import'!H18</f>
        <v>3.5</v>
      </c>
      <c r="P10" s="24">
        <f>'Fiscal Model Import'!I18</f>
        <v>3.5</v>
      </c>
      <c r="Q10" s="24">
        <f>'Fiscal Model Import'!J18</f>
        <v>3.5</v>
      </c>
    </row>
    <row r="11" spans="1:17" ht="30" x14ac:dyDescent="0.25">
      <c r="A11" s="26" t="s">
        <v>52</v>
      </c>
      <c r="B11" s="15" t="s">
        <v>187</v>
      </c>
      <c r="C11" s="73" t="s">
        <v>191</v>
      </c>
      <c r="D11" s="73" t="s">
        <v>193</v>
      </c>
      <c r="E11" s="15" t="s">
        <v>190</v>
      </c>
      <c r="F11" s="15" t="s">
        <v>189</v>
      </c>
      <c r="G11" s="15"/>
      <c r="H11" s="15"/>
      <c r="I11" s="15"/>
      <c r="J11" s="15"/>
      <c r="K11" s="15" t="b">
        <v>1</v>
      </c>
      <c r="L11" s="15"/>
      <c r="M11" s="75">
        <f>Model!D11</f>
        <v>3.75</v>
      </c>
      <c r="N11" s="75">
        <f>Model!E11</f>
        <v>3.75</v>
      </c>
      <c r="O11" s="75">
        <f>Model!F11</f>
        <v>3.75</v>
      </c>
      <c r="P11" s="75">
        <f>Model!G11</f>
        <v>3.75</v>
      </c>
      <c r="Q11" s="75">
        <f>Model!H11</f>
        <v>3.75</v>
      </c>
    </row>
    <row r="12" spans="1:17" ht="30" x14ac:dyDescent="0.25">
      <c r="A12" s="7" t="s">
        <v>57</v>
      </c>
      <c r="B12" s="15" t="s">
        <v>187</v>
      </c>
      <c r="C12" s="73" t="s">
        <v>194</v>
      </c>
      <c r="D12" s="73" t="s">
        <v>195</v>
      </c>
      <c r="E12" s="15" t="s">
        <v>190</v>
      </c>
      <c r="F12" s="15" t="s">
        <v>189</v>
      </c>
      <c r="G12" s="15"/>
      <c r="H12" s="15"/>
      <c r="I12" s="15"/>
      <c r="J12" s="15"/>
      <c r="K12" s="15" t="b">
        <v>1</v>
      </c>
      <c r="L12" s="15"/>
      <c r="M12" s="75">
        <f>Model!D15</f>
        <v>2.9141503759398493</v>
      </c>
      <c r="N12" s="75">
        <f>Model!E15</f>
        <v>2.9141503759398493</v>
      </c>
      <c r="O12" s="75">
        <f>Model!F15</f>
        <v>2.9141503759398493</v>
      </c>
      <c r="P12" s="75">
        <f>Model!G15</f>
        <v>2.9141503759398493</v>
      </c>
      <c r="Q12" s="75">
        <f>Model!H15</f>
        <v>2.9141503759398493</v>
      </c>
    </row>
    <row r="13" spans="1:17" ht="30" x14ac:dyDescent="0.25">
      <c r="A13" s="7" t="s">
        <v>261</v>
      </c>
      <c r="B13" s="15" t="s">
        <v>187</v>
      </c>
      <c r="C13" s="73" t="s">
        <v>261</v>
      </c>
      <c r="D13" s="79" t="s">
        <v>264</v>
      </c>
      <c r="E13" s="15" t="s">
        <v>197</v>
      </c>
      <c r="F13" s="15" t="s">
        <v>196</v>
      </c>
      <c r="G13" s="15"/>
      <c r="H13" s="15"/>
      <c r="I13" s="15"/>
      <c r="J13" s="15"/>
      <c r="K13" s="15"/>
      <c r="L13" s="15"/>
      <c r="M13" s="75">
        <f>Model!D18</f>
        <v>0</v>
      </c>
      <c r="N13" s="75">
        <f>Model!E18</f>
        <v>0</v>
      </c>
      <c r="O13" s="75">
        <f>Model!F18</f>
        <v>0</v>
      </c>
      <c r="P13" s="75">
        <f>Model!G18</f>
        <v>0</v>
      </c>
      <c r="Q13" s="75">
        <f>Model!H18</f>
        <v>0</v>
      </c>
    </row>
    <row r="14" spans="1:17" ht="30" x14ac:dyDescent="0.25">
      <c r="A14" s="7" t="s">
        <v>262</v>
      </c>
      <c r="B14" s="15" t="s">
        <v>187</v>
      </c>
      <c r="C14" s="73" t="s">
        <v>262</v>
      </c>
      <c r="D14" s="79" t="s">
        <v>265</v>
      </c>
      <c r="E14" s="15" t="s">
        <v>197</v>
      </c>
      <c r="F14" s="15" t="s">
        <v>196</v>
      </c>
      <c r="G14" s="15"/>
      <c r="H14" s="15"/>
      <c r="I14" s="15"/>
      <c r="J14" s="15"/>
      <c r="K14" s="15"/>
      <c r="L14" s="15"/>
      <c r="M14" s="75">
        <f>Model!D19</f>
        <v>0</v>
      </c>
      <c r="N14" s="75">
        <f>Model!E19</f>
        <v>0</v>
      </c>
      <c r="O14" s="75">
        <f>Model!F19</f>
        <v>0</v>
      </c>
      <c r="P14" s="75">
        <f>Model!G19</f>
        <v>0</v>
      </c>
      <c r="Q14" s="75">
        <f>Model!H19</f>
        <v>0</v>
      </c>
    </row>
    <row r="15" spans="1:17" ht="30" x14ac:dyDescent="0.25">
      <c r="A15" s="7" t="s">
        <v>245</v>
      </c>
      <c r="B15" s="15" t="s">
        <v>187</v>
      </c>
      <c r="C15" s="73" t="s">
        <v>245</v>
      </c>
      <c r="D15" s="79" t="s">
        <v>275</v>
      </c>
      <c r="E15" s="15" t="s">
        <v>197</v>
      </c>
      <c r="F15" s="15" t="s">
        <v>196</v>
      </c>
      <c r="G15" s="15"/>
      <c r="H15" s="15"/>
      <c r="I15" s="15"/>
      <c r="J15" s="15"/>
      <c r="K15" s="15"/>
      <c r="L15" s="15"/>
      <c r="M15" s="75">
        <f>Model!D20</f>
        <v>0</v>
      </c>
      <c r="N15" s="75">
        <f>Model!E20</f>
        <v>0</v>
      </c>
      <c r="O15" s="75">
        <f>Model!F20</f>
        <v>0</v>
      </c>
      <c r="P15" s="75">
        <f>Model!G20</f>
        <v>0</v>
      </c>
      <c r="Q15" s="75">
        <f>Model!H20</f>
        <v>0</v>
      </c>
    </row>
    <row r="16" spans="1:17" ht="30" x14ac:dyDescent="0.25">
      <c r="A16" s="7" t="s">
        <v>266</v>
      </c>
      <c r="B16" s="15" t="s">
        <v>187</v>
      </c>
      <c r="C16" s="79" t="s">
        <v>266</v>
      </c>
      <c r="D16" s="73" t="s">
        <v>198</v>
      </c>
      <c r="E16" s="15" t="s">
        <v>197</v>
      </c>
      <c r="F16" s="15" t="s">
        <v>196</v>
      </c>
      <c r="G16" s="15"/>
      <c r="H16" s="15"/>
      <c r="I16" s="15"/>
      <c r="J16" s="15"/>
      <c r="K16" s="15"/>
      <c r="L16" s="15"/>
      <c r="M16" s="75">
        <f>Model!D21</f>
        <v>0</v>
      </c>
      <c r="N16" s="75">
        <f>Model!E21</f>
        <v>0</v>
      </c>
      <c r="O16" s="75">
        <f>Model!F21</f>
        <v>0</v>
      </c>
      <c r="P16" s="75">
        <f>Model!G21</f>
        <v>0</v>
      </c>
      <c r="Q16" s="75">
        <f>Model!H21</f>
        <v>0</v>
      </c>
    </row>
    <row r="17" spans="1:17" ht="30" x14ac:dyDescent="0.25">
      <c r="A17" s="26" t="s">
        <v>267</v>
      </c>
      <c r="B17" s="15" t="s">
        <v>187</v>
      </c>
      <c r="C17" s="79" t="s">
        <v>270</v>
      </c>
      <c r="D17" s="73" t="s">
        <v>224</v>
      </c>
      <c r="E17" s="15" t="s">
        <v>222</v>
      </c>
      <c r="F17" s="15" t="s">
        <v>223</v>
      </c>
      <c r="G17" s="15"/>
      <c r="H17" s="15"/>
      <c r="I17" s="15"/>
      <c r="J17" s="15"/>
      <c r="K17" s="15"/>
      <c r="L17" s="15"/>
      <c r="M17" s="75">
        <f>Model!D24</f>
        <v>0</v>
      </c>
      <c r="N17" s="75">
        <f>Model!E24</f>
        <v>0</v>
      </c>
      <c r="O17" s="75">
        <f>Model!F24</f>
        <v>0</v>
      </c>
      <c r="P17" s="75">
        <f>Model!G24</f>
        <v>0</v>
      </c>
      <c r="Q17" s="75">
        <f>Model!H24</f>
        <v>0</v>
      </c>
    </row>
    <row r="18" spans="1:17" ht="30" x14ac:dyDescent="0.25">
      <c r="A18" s="7" t="s">
        <v>268</v>
      </c>
      <c r="B18" s="15" t="s">
        <v>187</v>
      </c>
      <c r="C18" s="79" t="s">
        <v>268</v>
      </c>
      <c r="D18" s="73" t="s">
        <v>225</v>
      </c>
      <c r="E18" s="15" t="s">
        <v>222</v>
      </c>
      <c r="F18" s="15" t="s">
        <v>223</v>
      </c>
      <c r="G18" s="15"/>
      <c r="H18" s="15"/>
      <c r="I18" s="15"/>
      <c r="J18" s="15"/>
      <c r="K18" s="15"/>
      <c r="L18" s="15"/>
      <c r="M18" s="75">
        <f>Model!D28</f>
        <v>0</v>
      </c>
      <c r="N18" s="75">
        <f>Model!E28</f>
        <v>0</v>
      </c>
      <c r="O18" s="75">
        <f>Model!F28</f>
        <v>0</v>
      </c>
      <c r="P18" s="75">
        <f>Model!G28</f>
        <v>0</v>
      </c>
      <c r="Q18" s="75">
        <f>Model!H28</f>
        <v>0</v>
      </c>
    </row>
    <row r="19" spans="1:17" ht="30" x14ac:dyDescent="0.25">
      <c r="A19" s="7" t="s">
        <v>269</v>
      </c>
      <c r="B19" s="15" t="s">
        <v>187</v>
      </c>
      <c r="C19" s="79" t="s">
        <v>271</v>
      </c>
      <c r="D19" s="73" t="s">
        <v>226</v>
      </c>
      <c r="E19" s="15" t="s">
        <v>222</v>
      </c>
      <c r="F19" s="15" t="s">
        <v>223</v>
      </c>
      <c r="G19" s="15"/>
      <c r="H19" s="15"/>
      <c r="I19" s="15"/>
      <c r="J19" s="15"/>
      <c r="K19" s="15"/>
      <c r="L19" s="15"/>
      <c r="M19" s="75">
        <f>Model!D29</f>
        <v>0</v>
      </c>
      <c r="N19" s="75">
        <f>Model!E29</f>
        <v>0</v>
      </c>
      <c r="O19" s="75">
        <f>Model!F29</f>
        <v>0</v>
      </c>
      <c r="P19" s="75">
        <f>Model!G29</f>
        <v>0</v>
      </c>
      <c r="Q19" s="75">
        <f>Model!H29</f>
        <v>0</v>
      </c>
    </row>
    <row r="26" spans="1:17" x14ac:dyDescent="0.25">
      <c r="Q26" s="75" t="s">
        <v>333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7E90E-259F-4B12-BB0C-68506FD8C7E4}">
  <sheetPr>
    <tabColor theme="5" tint="0.59999389629810485"/>
  </sheetPr>
  <dimension ref="A1:W44"/>
  <sheetViews>
    <sheetView zoomScale="92" zoomScaleNormal="100" workbookViewId="0">
      <selection activeCell="K26" sqref="K26"/>
    </sheetView>
  </sheetViews>
  <sheetFormatPr defaultRowHeight="15" x14ac:dyDescent="0.25"/>
  <cols>
    <col min="1" max="1" width="77.42578125" customWidth="1"/>
    <col min="2" max="2" width="42.140625" style="37" bestFit="1" customWidth="1"/>
    <col min="4" max="4" width="11.7109375" bestFit="1" customWidth="1"/>
    <col min="5" max="6" width="11.85546875" bestFit="1" customWidth="1"/>
    <col min="7" max="8" width="12.85546875" bestFit="1" customWidth="1"/>
  </cols>
  <sheetData>
    <row r="1" spans="1:23" x14ac:dyDescent="0.25">
      <c r="A1" t="s">
        <v>4</v>
      </c>
      <c r="D1">
        <v>2025</v>
      </c>
      <c r="E1">
        <f>D1+1</f>
        <v>2026</v>
      </c>
      <c r="F1">
        <f t="shared" ref="F1:H2" si="0">E1+1</f>
        <v>2027</v>
      </c>
      <c r="G1">
        <f>F1+1</f>
        <v>2028</v>
      </c>
      <c r="H1">
        <f t="shared" si="0"/>
        <v>2029</v>
      </c>
    </row>
    <row r="2" spans="1:23" x14ac:dyDescent="0.25">
      <c r="D2">
        <v>2026</v>
      </c>
      <c r="E2">
        <f>D2+1</f>
        <v>2027</v>
      </c>
      <c r="F2">
        <f t="shared" si="0"/>
        <v>2028</v>
      </c>
      <c r="G2">
        <f>F2+1</f>
        <v>2029</v>
      </c>
      <c r="H2">
        <f t="shared" si="0"/>
        <v>2030</v>
      </c>
    </row>
    <row r="3" spans="1:23" x14ac:dyDescent="0.25">
      <c r="A3" s="1" t="s">
        <v>0</v>
      </c>
      <c r="B3" s="38" t="s">
        <v>27</v>
      </c>
      <c r="C3" s="2"/>
      <c r="D3" s="2"/>
      <c r="E3" s="2"/>
      <c r="F3" s="2"/>
      <c r="G3" s="2"/>
      <c r="H3" s="2"/>
    </row>
    <row r="4" spans="1:23" x14ac:dyDescent="0.25">
      <c r="A4" s="3" t="s">
        <v>1</v>
      </c>
      <c r="B4" s="39"/>
      <c r="C4" s="4" t="s">
        <v>5</v>
      </c>
      <c r="D4" s="68">
        <f>'For user (EN)'!C4</f>
        <v>0</v>
      </c>
      <c r="E4" s="68">
        <f>'For user (EN)'!D4</f>
        <v>0</v>
      </c>
      <c r="F4" s="68">
        <f>'For user (EN)'!E4</f>
        <v>0</v>
      </c>
      <c r="G4" s="68">
        <f>'For user (EN)'!F4</f>
        <v>0</v>
      </c>
      <c r="H4" s="68">
        <f>'For user (EN)'!G4</f>
        <v>0</v>
      </c>
    </row>
    <row r="5" spans="1:23" x14ac:dyDescent="0.25">
      <c r="A5" s="3" t="s">
        <v>2</v>
      </c>
      <c r="B5" s="39"/>
      <c r="C5" s="4" t="s">
        <v>5</v>
      </c>
      <c r="D5" s="68">
        <f>'For user (EN)'!C5</f>
        <v>0</v>
      </c>
      <c r="E5" s="68">
        <f>'For user (EN)'!D5</f>
        <v>0</v>
      </c>
      <c r="F5" s="68">
        <f>'For user (EN)'!E5</f>
        <v>0</v>
      </c>
      <c r="G5" s="68">
        <f>'For user (EN)'!F5</f>
        <v>0</v>
      </c>
      <c r="H5" s="68">
        <f>'For user (EN)'!G5</f>
        <v>0</v>
      </c>
    </row>
    <row r="6" spans="1:23" x14ac:dyDescent="0.25">
      <c r="A6" s="3" t="s">
        <v>3</v>
      </c>
      <c r="B6" s="39"/>
      <c r="C6" s="4" t="s">
        <v>5</v>
      </c>
      <c r="D6" s="68">
        <f>'For user (EN)'!C6</f>
        <v>0</v>
      </c>
      <c r="E6" s="68">
        <f>'For user (EN)'!D6</f>
        <v>0</v>
      </c>
      <c r="F6" s="68">
        <f>'For user (EN)'!E6</f>
        <v>0</v>
      </c>
      <c r="G6" s="68">
        <f>'For user (EN)'!F6</f>
        <v>0</v>
      </c>
      <c r="H6" s="68">
        <f>'For user (EN)'!G6</f>
        <v>0</v>
      </c>
    </row>
    <row r="8" spans="1:23" x14ac:dyDescent="0.25">
      <c r="A8" s="5" t="s">
        <v>6</v>
      </c>
      <c r="B8" s="40"/>
      <c r="C8" s="6"/>
      <c r="D8" s="6"/>
      <c r="E8" s="6"/>
      <c r="F8" s="6"/>
      <c r="G8" s="6"/>
      <c r="H8" s="6"/>
    </row>
    <row r="9" spans="1:23" x14ac:dyDescent="0.25">
      <c r="A9" s="27" t="s">
        <v>137</v>
      </c>
      <c r="B9" s="41"/>
      <c r="C9" s="28"/>
      <c r="D9" s="28"/>
      <c r="E9" s="28"/>
      <c r="F9" s="28"/>
      <c r="G9" s="28"/>
      <c r="H9" s="28"/>
    </row>
    <row r="10" spans="1:23" x14ac:dyDescent="0.25">
      <c r="A10" s="33" t="s">
        <v>51</v>
      </c>
      <c r="B10" s="35" t="s">
        <v>31</v>
      </c>
      <c r="C10" s="50"/>
      <c r="D10" s="34">
        <f>'Fiscal Model Import'!F16</f>
        <v>2.7</v>
      </c>
      <c r="E10" s="34">
        <f>'Fiscal Model Import'!G16</f>
        <v>2.7</v>
      </c>
      <c r="F10" s="34">
        <f>'Fiscal Model Import'!H16</f>
        <v>2.7</v>
      </c>
      <c r="G10" s="34">
        <f>'Fiscal Model Import'!I16</f>
        <v>2.7</v>
      </c>
      <c r="H10" s="34">
        <f>'Fiscal Model Import'!J16</f>
        <v>2.7</v>
      </c>
    </row>
    <row r="11" spans="1:23" x14ac:dyDescent="0.25">
      <c r="A11" s="26" t="s">
        <v>52</v>
      </c>
      <c r="B11" s="36" t="s">
        <v>31</v>
      </c>
      <c r="C11" s="30"/>
      <c r="D11" s="32">
        <f>'Fiscal Model Import'!F17</f>
        <v>3.75</v>
      </c>
      <c r="E11" s="32">
        <f>'Fiscal Model Import'!G17</f>
        <v>3.75</v>
      </c>
      <c r="F11" s="32">
        <f>'Fiscal Model Import'!H17</f>
        <v>3.75</v>
      </c>
      <c r="G11" s="32">
        <f>'Fiscal Model Import'!I17</f>
        <v>3.75</v>
      </c>
      <c r="H11" s="32">
        <f>'Fiscal Model Import'!J17</f>
        <v>3.75</v>
      </c>
    </row>
    <row r="12" spans="1:23" x14ac:dyDescent="0.25">
      <c r="A12" s="26" t="s">
        <v>251</v>
      </c>
      <c r="B12" s="36" t="s">
        <v>31</v>
      </c>
      <c r="C12" s="30"/>
      <c r="D12" s="32">
        <f>'Fiscal Model Import'!F20</f>
        <v>2.82</v>
      </c>
      <c r="E12" s="32">
        <f>'Fiscal Model Import'!G20</f>
        <v>2.82</v>
      </c>
      <c r="F12" s="32">
        <f>'Fiscal Model Import'!H20</f>
        <v>2.82</v>
      </c>
      <c r="G12" s="32">
        <f>'Fiscal Model Import'!I20</f>
        <v>2.82</v>
      </c>
      <c r="H12" s="32">
        <f>'Fiscal Model Import'!J20</f>
        <v>2.82</v>
      </c>
    </row>
    <row r="13" spans="1:23" x14ac:dyDescent="0.25">
      <c r="A13" s="26" t="s">
        <v>252</v>
      </c>
      <c r="B13" s="36" t="s">
        <v>31</v>
      </c>
      <c r="C13" s="30"/>
      <c r="D13" s="32">
        <f>'Fiscal Model Import'!F21</f>
        <v>2.8679999999999999</v>
      </c>
      <c r="E13" s="32">
        <f>'Fiscal Model Import'!G21</f>
        <v>2.8679999999999999</v>
      </c>
      <c r="F13" s="32">
        <f>'Fiscal Model Import'!H21</f>
        <v>2.8679999999999999</v>
      </c>
      <c r="G13" s="32">
        <f>'Fiscal Model Import'!I21</f>
        <v>2.8679999999999999</v>
      </c>
      <c r="H13" s="32">
        <f>'Fiscal Model Import'!J21</f>
        <v>2.8679999999999999</v>
      </c>
    </row>
    <row r="14" spans="1:23" x14ac:dyDescent="0.25">
      <c r="A14" s="26" t="s">
        <v>253</v>
      </c>
      <c r="B14" s="36" t="s">
        <v>31</v>
      </c>
      <c r="C14" s="30"/>
      <c r="D14" s="32">
        <f>'Fiscal Model Import'!F22</f>
        <v>2.996</v>
      </c>
      <c r="E14" s="32">
        <f>'Fiscal Model Import'!G22</f>
        <v>2.996</v>
      </c>
      <c r="F14" s="32">
        <f>'Fiscal Model Import'!H22</f>
        <v>2.996</v>
      </c>
      <c r="G14" s="32">
        <f>'Fiscal Model Import'!I22</f>
        <v>2.996</v>
      </c>
      <c r="H14" s="32">
        <f>'Fiscal Model Import'!J22</f>
        <v>2.996</v>
      </c>
    </row>
    <row r="15" spans="1:23" x14ac:dyDescent="0.25">
      <c r="A15" s="7" t="s">
        <v>57</v>
      </c>
      <c r="B15" s="36" t="s">
        <v>32</v>
      </c>
      <c r="C15" s="30"/>
      <c r="D15" s="8">
        <f>'Fiscal Model Import'!F25</f>
        <v>2.9141503759398493</v>
      </c>
      <c r="E15" s="8">
        <f>'Fiscal Model Import'!G25</f>
        <v>2.9141503759398493</v>
      </c>
      <c r="F15" s="8">
        <f>'Fiscal Model Import'!H25</f>
        <v>2.9141503759398493</v>
      </c>
      <c r="G15" s="8">
        <f>'Fiscal Model Import'!I25</f>
        <v>2.9141503759398493</v>
      </c>
      <c r="H15" s="8">
        <f>'Fiscal Model Import'!J25</f>
        <v>2.9141503759398493</v>
      </c>
    </row>
    <row r="16" spans="1:23" x14ac:dyDescent="0.25">
      <c r="A16" s="7"/>
      <c r="B16" s="36"/>
      <c r="C16" s="30"/>
      <c r="D16" s="8"/>
      <c r="E16" s="8"/>
      <c r="F16" s="8"/>
      <c r="G16" s="8"/>
      <c r="H16" s="8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</row>
    <row r="17" spans="1:22" x14ac:dyDescent="0.25">
      <c r="A17" s="29" t="s">
        <v>26</v>
      </c>
      <c r="B17" s="30"/>
      <c r="C17" s="30"/>
      <c r="D17" s="30"/>
      <c r="E17" s="30"/>
      <c r="F17" s="30"/>
      <c r="G17" s="30"/>
      <c r="H17" s="30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</row>
    <row r="18" spans="1:22" x14ac:dyDescent="0.25">
      <c r="A18" s="7" t="s">
        <v>261</v>
      </c>
      <c r="B18" s="36" t="s">
        <v>28</v>
      </c>
      <c r="C18" s="30"/>
      <c r="D18" s="9">
        <f>SUM('Model Quarterly'!D19:G20)</f>
        <v>0</v>
      </c>
      <c r="E18" s="9">
        <f>IF(D6=0,E38,$D$18*(E6/D6)*(E15/D15))</f>
        <v>0</v>
      </c>
      <c r="F18" s="9">
        <f>IF(E6=0,F38,$D$18*(F6/E6)*(F15/E15))</f>
        <v>0</v>
      </c>
      <c r="G18" s="9">
        <f>IF(F6=0,G38,$D$18*(G6/F6)*(G15/F15))</f>
        <v>0</v>
      </c>
      <c r="H18" s="9">
        <f>IF(G6=0,H38,$D$18*(H6/G6)*(H15/G15))</f>
        <v>0</v>
      </c>
      <c r="V18" s="24"/>
    </row>
    <row r="19" spans="1:22" x14ac:dyDescent="0.25">
      <c r="A19" s="7" t="s">
        <v>262</v>
      </c>
      <c r="B19" s="36" t="s">
        <v>29</v>
      </c>
      <c r="C19" s="30"/>
      <c r="D19" s="9">
        <f>D38-D18</f>
        <v>0</v>
      </c>
      <c r="E19" s="9">
        <f>E38-E18</f>
        <v>0</v>
      </c>
      <c r="F19" s="9">
        <f>F38-F18</f>
        <v>0</v>
      </c>
      <c r="G19" s="9">
        <f>G38-G18</f>
        <v>0</v>
      </c>
      <c r="H19" s="9">
        <f>H38-H18</f>
        <v>0</v>
      </c>
    </row>
    <row r="20" spans="1:22" ht="26.25" x14ac:dyDescent="0.25">
      <c r="A20" s="7" t="s">
        <v>245</v>
      </c>
      <c r="B20" s="36" t="s">
        <v>30</v>
      </c>
      <c r="C20" s="30"/>
      <c r="D20" s="9">
        <f>-(D6+D18+D19)</f>
        <v>0</v>
      </c>
      <c r="E20" s="9">
        <f>-(E6+E18+E19)</f>
        <v>0</v>
      </c>
      <c r="F20" s="9">
        <f>-(F6+F18+F19)</f>
        <v>0</v>
      </c>
      <c r="G20" s="9">
        <f>-(G6+G18+G19)</f>
        <v>0</v>
      </c>
      <c r="H20" s="9">
        <f>-(H6+H18+H19)</f>
        <v>0</v>
      </c>
    </row>
    <row r="21" spans="1:22" ht="26.25" x14ac:dyDescent="0.25">
      <c r="A21" s="7" t="s">
        <v>266</v>
      </c>
      <c r="B21" s="36" t="s">
        <v>263</v>
      </c>
      <c r="C21" s="30"/>
      <c r="D21" s="9">
        <f>MAX(0,D39*-1)</f>
        <v>0</v>
      </c>
      <c r="E21" s="9">
        <f>MAX(0,E39*-1)</f>
        <v>0</v>
      </c>
      <c r="F21" s="9">
        <f>MAX(0,F39*-1)</f>
        <v>0</v>
      </c>
      <c r="G21" s="9">
        <f>MAX(0,G39*-1)</f>
        <v>0</v>
      </c>
      <c r="H21" s="9">
        <f>MAX(0,H39*-1)</f>
        <v>0</v>
      </c>
    </row>
    <row r="22" spans="1:22" x14ac:dyDescent="0.25">
      <c r="A22" s="7"/>
      <c r="B22" s="36"/>
      <c r="C22" s="30"/>
      <c r="D22" s="9"/>
      <c r="E22" s="9"/>
      <c r="F22" s="9"/>
      <c r="G22" s="9"/>
      <c r="H22" s="9"/>
    </row>
    <row r="23" spans="1:22" x14ac:dyDescent="0.25">
      <c r="A23" s="29" t="s">
        <v>135</v>
      </c>
      <c r="B23" s="42"/>
      <c r="C23" s="30"/>
      <c r="D23" s="31"/>
      <c r="E23" s="31"/>
      <c r="F23" s="31"/>
      <c r="G23" s="31"/>
      <c r="H23" s="31"/>
    </row>
    <row r="24" spans="1:22" x14ac:dyDescent="0.25">
      <c r="A24" s="26" t="s">
        <v>267</v>
      </c>
      <c r="B24" s="36" t="s">
        <v>132</v>
      </c>
      <c r="C24" s="30"/>
      <c r="D24" s="9">
        <f>'Model Quarterly'!G36</f>
        <v>0</v>
      </c>
      <c r="E24" s="69">
        <f>'Model Quarterly'!K36</f>
        <v>0</v>
      </c>
      <c r="F24" s="69">
        <f>'Model Quarterly'!O36</f>
        <v>0</v>
      </c>
      <c r="G24" s="69">
        <f>'Model Quarterly'!S36</f>
        <v>0</v>
      </c>
      <c r="H24" s="69">
        <f>'Model Quarterly'!W36</f>
        <v>0</v>
      </c>
    </row>
    <row r="25" spans="1:22" ht="26.25" x14ac:dyDescent="0.25">
      <c r="A25" s="26" t="s">
        <v>272</v>
      </c>
      <c r="B25" s="36" t="s">
        <v>133</v>
      </c>
      <c r="C25" s="30"/>
      <c r="D25" s="9">
        <f>'Model Quarterly'!G37</f>
        <v>0</v>
      </c>
      <c r="E25" s="69">
        <f>'Model Quarterly'!K37</f>
        <v>0</v>
      </c>
      <c r="F25" s="69">
        <f>'Model Quarterly'!O37</f>
        <v>0</v>
      </c>
      <c r="G25" s="69">
        <f>'Model Quarterly'!S37</f>
        <v>0</v>
      </c>
      <c r="H25" s="69">
        <f>'Model Quarterly'!W37</f>
        <v>0</v>
      </c>
    </row>
    <row r="26" spans="1:22" ht="26.25" x14ac:dyDescent="0.25">
      <c r="A26" s="26" t="s">
        <v>273</v>
      </c>
      <c r="B26" s="36" t="s">
        <v>133</v>
      </c>
      <c r="C26" s="30"/>
      <c r="D26" s="9">
        <f>'Model Quarterly'!G38</f>
        <v>0</v>
      </c>
      <c r="E26" s="69">
        <f>'Model Quarterly'!K38</f>
        <v>0</v>
      </c>
      <c r="F26" s="69">
        <f>'Model Quarterly'!O38</f>
        <v>0</v>
      </c>
      <c r="G26" s="69">
        <f>'Model Quarterly'!S38</f>
        <v>0</v>
      </c>
      <c r="H26" s="69">
        <f>'Model Quarterly'!W38</f>
        <v>0</v>
      </c>
    </row>
    <row r="27" spans="1:22" ht="26.25" x14ac:dyDescent="0.25">
      <c r="A27" s="7" t="s">
        <v>274</v>
      </c>
      <c r="B27" s="36" t="s">
        <v>133</v>
      </c>
      <c r="C27" s="30"/>
      <c r="D27" s="9">
        <f>'Model Quarterly'!G39</f>
        <v>0</v>
      </c>
      <c r="E27" s="69">
        <f>'Model Quarterly'!K39</f>
        <v>0</v>
      </c>
      <c r="F27" s="69">
        <f>'Model Quarterly'!O39</f>
        <v>0</v>
      </c>
      <c r="G27" s="69">
        <f>'Model Quarterly'!S39</f>
        <v>0</v>
      </c>
      <c r="H27" s="69">
        <f>'Model Quarterly'!W39</f>
        <v>0</v>
      </c>
    </row>
    <row r="28" spans="1:22" x14ac:dyDescent="0.25">
      <c r="A28" s="7" t="s">
        <v>268</v>
      </c>
      <c r="B28" s="36" t="s">
        <v>260</v>
      </c>
      <c r="C28" s="30"/>
      <c r="D28" s="9">
        <f>'Model Quarterly'!G40</f>
        <v>0</v>
      </c>
      <c r="E28" s="69">
        <f>'Model Quarterly'!K40</f>
        <v>0</v>
      </c>
      <c r="F28" s="69">
        <f>'Model Quarterly'!O40</f>
        <v>0</v>
      </c>
      <c r="G28" s="69">
        <f>'Model Quarterly'!S40</f>
        <v>0</v>
      </c>
      <c r="H28" s="69">
        <f>'Model Quarterly'!W40</f>
        <v>0</v>
      </c>
    </row>
    <row r="29" spans="1:22" ht="26.25" x14ac:dyDescent="0.25">
      <c r="A29" s="7" t="s">
        <v>56</v>
      </c>
      <c r="B29" s="36" t="s">
        <v>133</v>
      </c>
      <c r="C29" s="30"/>
      <c r="D29" s="9">
        <f>'Model Quarterly'!G41</f>
        <v>0</v>
      </c>
      <c r="E29" s="69">
        <f>'Model Quarterly'!K41</f>
        <v>0</v>
      </c>
      <c r="F29" s="69">
        <f>'Model Quarterly'!O41</f>
        <v>0</v>
      </c>
      <c r="G29" s="69">
        <f>'Model Quarterly'!S41</f>
        <v>0</v>
      </c>
      <c r="H29" s="69">
        <f>'Model Quarterly'!W41</f>
        <v>0</v>
      </c>
      <c r="J29" s="78"/>
    </row>
    <row r="30" spans="1:22" x14ac:dyDescent="0.25">
      <c r="A30" s="7" t="s">
        <v>138</v>
      </c>
      <c r="B30" s="36" t="s">
        <v>140</v>
      </c>
      <c r="C30" s="30"/>
      <c r="D30" s="67">
        <f>IF(D21=0,0,D24/D21)</f>
        <v>0</v>
      </c>
      <c r="E30" s="67">
        <f>IF(E21=0,0,E24/E21)</f>
        <v>0</v>
      </c>
      <c r="F30" s="67">
        <f>IF(F21=0,0,F24/F21)</f>
        <v>0</v>
      </c>
      <c r="G30" s="67">
        <f>IF(G21=0,0,G24/G21)</f>
        <v>0</v>
      </c>
      <c r="H30" s="67">
        <f>IF(H21=0,0,H24/H21)</f>
        <v>0</v>
      </c>
      <c r="J30" s="77"/>
      <c r="K30" s="77"/>
      <c r="L30" s="77"/>
      <c r="M30" s="77"/>
      <c r="N30" s="77"/>
    </row>
    <row r="31" spans="1:22" x14ac:dyDescent="0.25">
      <c r="A31" s="7" t="s">
        <v>238</v>
      </c>
      <c r="B31" s="36" t="s">
        <v>242</v>
      </c>
      <c r="C31" s="30"/>
      <c r="D31" s="67">
        <f t="shared" ref="D31:H32" si="1">IF(D$21=0,0,D25/D$21)</f>
        <v>0</v>
      </c>
      <c r="E31" s="67">
        <f t="shared" si="1"/>
        <v>0</v>
      </c>
      <c r="F31" s="67">
        <f t="shared" si="1"/>
        <v>0</v>
      </c>
      <c r="G31" s="67">
        <f t="shared" si="1"/>
        <v>0</v>
      </c>
      <c r="H31" s="67">
        <f t="shared" si="1"/>
        <v>0</v>
      </c>
    </row>
    <row r="32" spans="1:22" x14ac:dyDescent="0.25">
      <c r="A32" s="7" t="s">
        <v>239</v>
      </c>
      <c r="B32" s="36" t="s">
        <v>243</v>
      </c>
      <c r="C32" s="30"/>
      <c r="D32" s="67">
        <f t="shared" si="1"/>
        <v>0</v>
      </c>
      <c r="E32" s="67">
        <f t="shared" si="1"/>
        <v>0</v>
      </c>
      <c r="F32" s="67">
        <f t="shared" si="1"/>
        <v>0</v>
      </c>
      <c r="G32" s="67">
        <f t="shared" si="1"/>
        <v>0</v>
      </c>
      <c r="H32" s="67">
        <f t="shared" si="1"/>
        <v>0</v>
      </c>
    </row>
    <row r="33" spans="1:8" x14ac:dyDescent="0.25">
      <c r="A33" s="7" t="s">
        <v>240</v>
      </c>
      <c r="B33" s="36" t="s">
        <v>241</v>
      </c>
      <c r="C33" s="30"/>
      <c r="D33" s="67">
        <f>IF(D$21=0,0,D27/D$21)</f>
        <v>0</v>
      </c>
      <c r="E33" s="67">
        <f t="shared" ref="E33:H33" si="2">IF(E$21=0,0,E27/E$21)</f>
        <v>0</v>
      </c>
      <c r="F33" s="67">
        <f t="shared" si="2"/>
        <v>0</v>
      </c>
      <c r="G33" s="67">
        <f t="shared" si="2"/>
        <v>0</v>
      </c>
      <c r="H33" s="67">
        <f t="shared" si="2"/>
        <v>0</v>
      </c>
    </row>
    <row r="34" spans="1:8" x14ac:dyDescent="0.25">
      <c r="A34" s="7" t="s">
        <v>139</v>
      </c>
      <c r="B34" s="36" t="s">
        <v>141</v>
      </c>
      <c r="C34" s="30"/>
      <c r="D34" s="67">
        <f>IF(D21=0,0,D29/D21)</f>
        <v>0</v>
      </c>
      <c r="E34" s="67">
        <f>IF(E21=0,0,E29/E21)</f>
        <v>0</v>
      </c>
      <c r="F34" s="67">
        <f>IF(F21=0,0,F29/F21)</f>
        <v>0</v>
      </c>
      <c r="G34" s="67">
        <f>IF(G21=0,0,G29/G21)</f>
        <v>0</v>
      </c>
      <c r="H34" s="67">
        <f>IF(H21=0,0,H29/H21)</f>
        <v>0</v>
      </c>
    </row>
    <row r="35" spans="1:8" x14ac:dyDescent="0.25">
      <c r="A35" s="7"/>
      <c r="B35" s="36"/>
      <c r="C35" s="30"/>
      <c r="D35" s="8"/>
      <c r="E35" s="8"/>
      <c r="F35" s="72"/>
      <c r="G35" s="72"/>
      <c r="H35" s="72"/>
    </row>
    <row r="37" spans="1:8" x14ac:dyDescent="0.25">
      <c r="A37" s="10" t="s">
        <v>7</v>
      </c>
      <c r="B37" s="43"/>
      <c r="C37" s="10"/>
      <c r="D37" s="11"/>
      <c r="E37" s="11"/>
      <c r="F37" s="11"/>
      <c r="G37" s="11"/>
      <c r="H37" s="11"/>
    </row>
    <row r="38" spans="1:8" x14ac:dyDescent="0.25">
      <c r="A38" s="12" t="s">
        <v>55</v>
      </c>
      <c r="B38" s="44"/>
      <c r="C38" s="12"/>
      <c r="D38" s="13">
        <f>SUM('Model Quarterly'!D74:G74)</f>
        <v>0</v>
      </c>
      <c r="E38" s="13">
        <f>SUM('Model Quarterly'!H74:K74)</f>
        <v>0</v>
      </c>
      <c r="F38" s="13">
        <f>SUM('Model Quarterly'!L74:O74)</f>
        <v>0</v>
      </c>
      <c r="G38" s="13">
        <f>SUM('Model Quarterly'!P74:S74)</f>
        <v>0</v>
      </c>
      <c r="H38" s="13">
        <f>SUM('Model Quarterly'!T74:W74)</f>
        <v>0</v>
      </c>
    </row>
    <row r="39" spans="1:8" x14ac:dyDescent="0.25">
      <c r="A39" s="12" t="s">
        <v>50</v>
      </c>
      <c r="B39" s="44"/>
      <c r="C39" s="12"/>
      <c r="D39" s="13">
        <f>'Model Quarterly'!G75</f>
        <v>0</v>
      </c>
      <c r="E39" s="13">
        <f>'Model Quarterly'!K75</f>
        <v>0</v>
      </c>
      <c r="F39" s="13">
        <f>'Model Quarterly'!O75</f>
        <v>0</v>
      </c>
      <c r="G39" s="13">
        <f>'Model Quarterly'!S75</f>
        <v>0</v>
      </c>
      <c r="H39" s="13">
        <f>'Model Quarterly'!W75</f>
        <v>0</v>
      </c>
    </row>
    <row r="40" spans="1:8" x14ac:dyDescent="0.25">
      <c r="A40" s="12" t="s">
        <v>44</v>
      </c>
      <c r="B40" s="44"/>
      <c r="C40" s="12"/>
      <c r="D40" s="13">
        <f>SUM($D38:D38)</f>
        <v>0</v>
      </c>
      <c r="E40" s="13">
        <f>SUM($D38:E38)</f>
        <v>0</v>
      </c>
      <c r="F40" s="13">
        <f>SUM($D38:F38)</f>
        <v>0</v>
      </c>
      <c r="G40" s="13">
        <f>SUM($D38:G38)</f>
        <v>0</v>
      </c>
      <c r="H40" s="13">
        <f>SUM($D38:H38)</f>
        <v>0</v>
      </c>
    </row>
    <row r="42" spans="1:8" x14ac:dyDescent="0.25">
      <c r="D42" s="16"/>
      <c r="E42" s="16"/>
      <c r="F42" s="16"/>
      <c r="G42" s="16"/>
      <c r="H42" s="16"/>
    </row>
    <row r="43" spans="1:8" x14ac:dyDescent="0.25">
      <c r="D43" s="18"/>
      <c r="E43" s="18"/>
      <c r="F43" s="18"/>
      <c r="G43" s="18"/>
      <c r="H43" s="18"/>
    </row>
    <row r="44" spans="1:8" x14ac:dyDescent="0.25">
      <c r="D44" s="17"/>
    </row>
  </sheetData>
  <phoneticPr fontId="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0CC84-2C73-4E9A-9D27-7F30E585FDDE}">
  <dimension ref="A1:W83"/>
  <sheetViews>
    <sheetView workbookViewId="0">
      <pane xSplit="1" topLeftCell="C1" activePane="topRight" state="frozen"/>
      <selection activeCell="A3" sqref="A3"/>
      <selection pane="topRight" activeCell="D8" sqref="D8"/>
    </sheetView>
  </sheetViews>
  <sheetFormatPr defaultRowHeight="15" x14ac:dyDescent="0.25"/>
  <cols>
    <col min="1" max="1" width="77.42578125" customWidth="1"/>
    <col min="2" max="2" width="42.140625" style="37" bestFit="1" customWidth="1"/>
    <col min="4" max="4" width="11.7109375" bestFit="1" customWidth="1"/>
    <col min="5" max="8" width="11.7109375" customWidth="1"/>
    <col min="9" max="10" width="11.85546875" bestFit="1" customWidth="1"/>
    <col min="11" max="12" width="12.85546875" bestFit="1" customWidth="1"/>
  </cols>
  <sheetData>
    <row r="1" spans="1:23" x14ac:dyDescent="0.25">
      <c r="A1" t="s">
        <v>4</v>
      </c>
      <c r="D1">
        <v>2025</v>
      </c>
      <c r="E1">
        <v>2025</v>
      </c>
      <c r="F1">
        <v>2025</v>
      </c>
      <c r="G1">
        <v>2025</v>
      </c>
      <c r="H1">
        <v>2026</v>
      </c>
      <c r="I1">
        <v>2026</v>
      </c>
      <c r="J1">
        <v>2026</v>
      </c>
      <c r="K1">
        <v>2026</v>
      </c>
      <c r="L1">
        <v>2027</v>
      </c>
      <c r="M1">
        <v>2027</v>
      </c>
      <c r="N1">
        <v>2027</v>
      </c>
      <c r="O1">
        <v>2027</v>
      </c>
      <c r="P1">
        <v>2028</v>
      </c>
      <c r="Q1">
        <v>2028</v>
      </c>
      <c r="R1">
        <v>2028</v>
      </c>
      <c r="S1">
        <v>2028</v>
      </c>
      <c r="T1">
        <v>2029</v>
      </c>
      <c r="U1">
        <v>2029</v>
      </c>
      <c r="V1">
        <v>2029</v>
      </c>
      <c r="W1">
        <v>2029</v>
      </c>
    </row>
    <row r="2" spans="1:23" x14ac:dyDescent="0.25">
      <c r="D2">
        <v>2026</v>
      </c>
      <c r="E2">
        <v>2026</v>
      </c>
      <c r="F2">
        <v>2026</v>
      </c>
      <c r="G2">
        <v>2026</v>
      </c>
      <c r="H2">
        <v>2027</v>
      </c>
      <c r="I2">
        <v>2027</v>
      </c>
      <c r="J2">
        <v>2027</v>
      </c>
      <c r="K2">
        <v>2027</v>
      </c>
      <c r="L2">
        <v>2028</v>
      </c>
      <c r="M2">
        <v>2028</v>
      </c>
      <c r="N2">
        <v>2028</v>
      </c>
      <c r="O2">
        <v>2028</v>
      </c>
      <c r="P2">
        <v>2029</v>
      </c>
      <c r="Q2">
        <v>2029</v>
      </c>
      <c r="R2">
        <v>2029</v>
      </c>
      <c r="S2">
        <v>2029</v>
      </c>
      <c r="T2">
        <v>2030</v>
      </c>
      <c r="U2">
        <v>2030</v>
      </c>
      <c r="V2">
        <v>2030</v>
      </c>
      <c r="W2">
        <v>2030</v>
      </c>
    </row>
    <row r="3" spans="1:23" x14ac:dyDescent="0.25">
      <c r="A3" t="s">
        <v>284</v>
      </c>
      <c r="D3" t="s">
        <v>76</v>
      </c>
      <c r="E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285</v>
      </c>
    </row>
    <row r="4" spans="1:23" x14ac:dyDescent="0.25">
      <c r="A4" s="1" t="s">
        <v>0</v>
      </c>
      <c r="B4" s="38" t="s">
        <v>27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x14ac:dyDescent="0.25">
      <c r="A5" s="3" t="s">
        <v>1</v>
      </c>
      <c r="B5" s="39"/>
      <c r="C5" s="4" t="s">
        <v>5</v>
      </c>
      <c r="D5" s="4">
        <f>'For user (EN)'!C4/4</f>
        <v>0</v>
      </c>
      <c r="E5" s="4">
        <f>'For user (EN)'!C4/4</f>
        <v>0</v>
      </c>
      <c r="F5" s="4">
        <f>'For user (EN)'!C4/4</f>
        <v>0</v>
      </c>
      <c r="G5" s="4">
        <f>'For user (EN)'!C4/4</f>
        <v>0</v>
      </c>
      <c r="H5" s="68">
        <f>'For user (EN)'!D4/4</f>
        <v>0</v>
      </c>
      <c r="I5" s="68">
        <f>'For user (EN)'!$D4/4</f>
        <v>0</v>
      </c>
      <c r="J5" s="68">
        <f>'For user (EN)'!$D4/4</f>
        <v>0</v>
      </c>
      <c r="K5" s="68">
        <f>'For user (EN)'!$D4/4</f>
        <v>0</v>
      </c>
      <c r="L5" s="4">
        <f>'For user (EN)'!$E4/4</f>
        <v>0</v>
      </c>
      <c r="M5" s="4">
        <f>'For user (EN)'!$E4/4</f>
        <v>0</v>
      </c>
      <c r="N5" s="4">
        <f>'For user (EN)'!$E4/4</f>
        <v>0</v>
      </c>
      <c r="O5" s="4">
        <f>'For user (EN)'!$E4/4</f>
        <v>0</v>
      </c>
      <c r="P5" s="4">
        <f>'For user (EN)'!$F4/4</f>
        <v>0</v>
      </c>
      <c r="Q5" s="4">
        <f>'For user (EN)'!$F4/4</f>
        <v>0</v>
      </c>
      <c r="R5" s="4">
        <f>'For user (EN)'!$F4/4</f>
        <v>0</v>
      </c>
      <c r="S5" s="4">
        <f>'For user (EN)'!$F4/4</f>
        <v>0</v>
      </c>
      <c r="T5" s="4">
        <f>'For user (EN)'!$G4/4</f>
        <v>0</v>
      </c>
      <c r="U5" s="4">
        <f>'For user (EN)'!$G4/4</f>
        <v>0</v>
      </c>
      <c r="V5" s="4">
        <f>'For user (EN)'!$G4/4</f>
        <v>0</v>
      </c>
      <c r="W5" s="4">
        <f>'For user (EN)'!$G4/4</f>
        <v>0</v>
      </c>
    </row>
    <row r="6" spans="1:23" x14ac:dyDescent="0.25">
      <c r="A6" s="3" t="s">
        <v>2</v>
      </c>
      <c r="B6" s="39"/>
      <c r="C6" s="4" t="s">
        <v>5</v>
      </c>
      <c r="D6" s="68">
        <f>'For user (EN)'!C5/4</f>
        <v>0</v>
      </c>
      <c r="E6" s="68">
        <f>'For user (EN)'!C5/4</f>
        <v>0</v>
      </c>
      <c r="F6" s="68">
        <f>'For user (EN)'!C5/4</f>
        <v>0</v>
      </c>
      <c r="G6" s="68">
        <f>'For user (EN)'!C5/4</f>
        <v>0</v>
      </c>
      <c r="H6" s="68">
        <f>'For user (EN)'!D5/4</f>
        <v>0</v>
      </c>
      <c r="I6" s="68">
        <f>'For user (EN)'!$D5/4</f>
        <v>0</v>
      </c>
      <c r="J6" s="68">
        <f>'For user (EN)'!$D5/4</f>
        <v>0</v>
      </c>
      <c r="K6" s="68">
        <f>'For user (EN)'!$D5/4</f>
        <v>0</v>
      </c>
      <c r="L6" s="4">
        <f>'For user (EN)'!$E5/4</f>
        <v>0</v>
      </c>
      <c r="M6" s="4">
        <f>'For user (EN)'!$E5/4</f>
        <v>0</v>
      </c>
      <c r="N6" s="4">
        <f>'For user (EN)'!$E5/4</f>
        <v>0</v>
      </c>
      <c r="O6" s="4">
        <f>'For user (EN)'!$E5/4</f>
        <v>0</v>
      </c>
      <c r="P6" s="4">
        <f>'For user (EN)'!$F5/4</f>
        <v>0</v>
      </c>
      <c r="Q6" s="4">
        <f>'For user (EN)'!$F5/4</f>
        <v>0</v>
      </c>
      <c r="R6" s="4">
        <f>'For user (EN)'!$F5/4</f>
        <v>0</v>
      </c>
      <c r="S6" s="4">
        <f>'For user (EN)'!$F5/4</f>
        <v>0</v>
      </c>
      <c r="T6" s="4">
        <f>'For user (EN)'!$G5/4</f>
        <v>0</v>
      </c>
      <c r="U6" s="4">
        <f>'For user (EN)'!$G5/4</f>
        <v>0</v>
      </c>
      <c r="V6" s="4">
        <f>'For user (EN)'!$G5/4</f>
        <v>0</v>
      </c>
      <c r="W6" s="4">
        <f>'For user (EN)'!$G5/4</f>
        <v>0</v>
      </c>
    </row>
    <row r="7" spans="1:23" x14ac:dyDescent="0.25">
      <c r="A7" s="3" t="s">
        <v>3</v>
      </c>
      <c r="B7" s="39"/>
      <c r="C7" s="4" t="s">
        <v>5</v>
      </c>
      <c r="D7" s="68">
        <f>'For user (EN)'!C6/4</f>
        <v>0</v>
      </c>
      <c r="E7" s="68">
        <f>'For user (EN)'!C6/4</f>
        <v>0</v>
      </c>
      <c r="F7" s="68">
        <f>'For user (EN)'!C6/4</f>
        <v>0</v>
      </c>
      <c r="G7" s="68">
        <f>'For user (EN)'!C6/4</f>
        <v>0</v>
      </c>
      <c r="H7" s="68">
        <f>'For user (EN)'!D6/4</f>
        <v>0</v>
      </c>
      <c r="I7" s="68">
        <f>'For user (EN)'!$D6/4</f>
        <v>0</v>
      </c>
      <c r="J7" s="68">
        <f>'For user (EN)'!$D6/4</f>
        <v>0</v>
      </c>
      <c r="K7" s="68">
        <f>'For user (EN)'!$D6/4</f>
        <v>0</v>
      </c>
      <c r="L7" s="4">
        <f>'For user (EN)'!$E6/4</f>
        <v>0</v>
      </c>
      <c r="M7" s="4">
        <f>'For user (EN)'!$E6/4</f>
        <v>0</v>
      </c>
      <c r="N7" s="4">
        <f>'For user (EN)'!$E6/4</f>
        <v>0</v>
      </c>
      <c r="O7" s="4">
        <f>'For user (EN)'!$E6/4</f>
        <v>0</v>
      </c>
      <c r="P7" s="4">
        <f>'For user (EN)'!$F6/4</f>
        <v>0</v>
      </c>
      <c r="Q7" s="4">
        <f>'For user (EN)'!$F6/4</f>
        <v>0</v>
      </c>
      <c r="R7" s="4">
        <f>'For user (EN)'!$F6/4</f>
        <v>0</v>
      </c>
      <c r="S7" s="4">
        <f>'For user (EN)'!$F6/4</f>
        <v>0</v>
      </c>
      <c r="T7" s="4">
        <f>'For user (EN)'!$G6/4</f>
        <v>0</v>
      </c>
      <c r="U7" s="4">
        <f>'For user (EN)'!$G6/4</f>
        <v>0</v>
      </c>
      <c r="V7" s="4">
        <f>'For user (EN)'!$G6/4</f>
        <v>0</v>
      </c>
      <c r="W7" s="4">
        <f>'For user (EN)'!$G6/4</f>
        <v>0</v>
      </c>
    </row>
    <row r="9" spans="1:23" x14ac:dyDescent="0.25">
      <c r="A9" s="5" t="s">
        <v>6</v>
      </c>
      <c r="B9" s="4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3" x14ac:dyDescent="0.25">
      <c r="A10" s="27" t="s">
        <v>137</v>
      </c>
      <c r="B10" s="41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</row>
    <row r="11" spans="1:23" x14ac:dyDescent="0.25">
      <c r="A11" s="33" t="s">
        <v>51</v>
      </c>
      <c r="B11" s="35" t="s">
        <v>31</v>
      </c>
      <c r="C11" s="50"/>
      <c r="D11" s="34">
        <f>'Fiscal Model Import'!O35</f>
        <v>2.7</v>
      </c>
      <c r="E11" s="34">
        <f>'Fiscal Model Import'!P35</f>
        <v>2.7</v>
      </c>
      <c r="F11" s="34">
        <f>'Fiscal Model Import'!Q35</f>
        <v>2.7</v>
      </c>
      <c r="G11" s="34">
        <f>'Fiscal Model Import'!R35</f>
        <v>2.7</v>
      </c>
      <c r="H11" s="34">
        <f>'Fiscal Model Import'!S35</f>
        <v>2.7</v>
      </c>
      <c r="I11" s="34">
        <f>'Fiscal Model Import'!T35</f>
        <v>2.7</v>
      </c>
      <c r="J11" s="34">
        <f>'Fiscal Model Import'!U35</f>
        <v>2.7</v>
      </c>
      <c r="K11" s="34">
        <f>'Fiscal Model Import'!V35</f>
        <v>2.7</v>
      </c>
      <c r="L11" s="34">
        <f>'Fiscal Model Import'!W35</f>
        <v>2.7</v>
      </c>
      <c r="M11" s="34">
        <f>'Fiscal Model Import'!X35</f>
        <v>2.7</v>
      </c>
      <c r="N11" s="34">
        <f>'Fiscal Model Import'!Y35</f>
        <v>2.7</v>
      </c>
      <c r="O11" s="34">
        <f>'Fiscal Model Import'!Z35</f>
        <v>2.7</v>
      </c>
      <c r="P11" s="34">
        <f>'Fiscal Model Import'!AA35</f>
        <v>2.7</v>
      </c>
      <c r="Q11" s="34">
        <f>'Fiscal Model Import'!AB35</f>
        <v>2.7</v>
      </c>
      <c r="R11" s="34">
        <f>'Fiscal Model Import'!AC35</f>
        <v>2.7</v>
      </c>
      <c r="S11" s="34">
        <f>'Fiscal Model Import'!AD35</f>
        <v>2.7</v>
      </c>
      <c r="T11" s="34">
        <f>'Fiscal Model Import'!AE35</f>
        <v>2.7</v>
      </c>
      <c r="U11" s="34">
        <f>'Fiscal Model Import'!AF35</f>
        <v>2.7</v>
      </c>
      <c r="V11" s="34">
        <f>'Fiscal Model Import'!AG35</f>
        <v>2.7</v>
      </c>
      <c r="W11" s="34">
        <f>'Fiscal Model Import'!AH35</f>
        <v>2.7</v>
      </c>
    </row>
    <row r="12" spans="1:23" x14ac:dyDescent="0.25">
      <c r="A12" s="26" t="s">
        <v>52</v>
      </c>
      <c r="B12" s="36" t="s">
        <v>31</v>
      </c>
      <c r="C12" s="30"/>
      <c r="D12" s="32">
        <f>'Fiscal Model Import'!O33</f>
        <v>3.75</v>
      </c>
      <c r="E12" s="32">
        <f>'Fiscal Model Import'!P33</f>
        <v>3.75</v>
      </c>
      <c r="F12" s="32">
        <f>'Fiscal Model Import'!Q33</f>
        <v>3.75</v>
      </c>
      <c r="G12" s="32">
        <f>'Fiscal Model Import'!R33</f>
        <v>3.75</v>
      </c>
      <c r="H12" s="32">
        <f>'Fiscal Model Import'!S33</f>
        <v>3.75</v>
      </c>
      <c r="I12" s="32">
        <f>'Fiscal Model Import'!T33</f>
        <v>3.75</v>
      </c>
      <c r="J12" s="32">
        <f>'Fiscal Model Import'!U33</f>
        <v>3.75</v>
      </c>
      <c r="K12" s="32">
        <f>'Fiscal Model Import'!V33</f>
        <v>3.75</v>
      </c>
      <c r="L12" s="32">
        <f>'Fiscal Model Import'!W33</f>
        <v>3.75</v>
      </c>
      <c r="M12" s="32">
        <f>'Fiscal Model Import'!X33</f>
        <v>3.75</v>
      </c>
      <c r="N12" s="32">
        <f>'Fiscal Model Import'!Y33</f>
        <v>3.75</v>
      </c>
      <c r="O12" s="32">
        <f>'Fiscal Model Import'!Z33</f>
        <v>3.75</v>
      </c>
      <c r="P12" s="32">
        <f>'Fiscal Model Import'!AA33</f>
        <v>3.75</v>
      </c>
      <c r="Q12" s="32">
        <f>'Fiscal Model Import'!AB33</f>
        <v>3.75</v>
      </c>
      <c r="R12" s="32">
        <f>'Fiscal Model Import'!AC33</f>
        <v>3.75</v>
      </c>
      <c r="S12" s="32">
        <f>'Fiscal Model Import'!AD33</f>
        <v>3.75</v>
      </c>
      <c r="T12" s="32">
        <f>'Fiscal Model Import'!AE33</f>
        <v>3.75</v>
      </c>
      <c r="U12" s="32">
        <f>'Fiscal Model Import'!AF33</f>
        <v>3.75</v>
      </c>
      <c r="V12" s="32">
        <f>'Fiscal Model Import'!AG33</f>
        <v>3.75</v>
      </c>
      <c r="W12" s="32">
        <f>'Fiscal Model Import'!AH33</f>
        <v>3.75</v>
      </c>
    </row>
    <row r="13" spans="1:23" x14ac:dyDescent="0.25">
      <c r="A13" s="26" t="s">
        <v>251</v>
      </c>
      <c r="B13" s="36" t="s">
        <v>31</v>
      </c>
      <c r="C13" s="30"/>
      <c r="D13" s="32">
        <f>'Fiscal Model Import'!O36</f>
        <v>2.82</v>
      </c>
      <c r="E13" s="32">
        <f>'Fiscal Model Import'!P36</f>
        <v>2.82</v>
      </c>
      <c r="F13" s="32">
        <f>'Fiscal Model Import'!Q36</f>
        <v>2.82</v>
      </c>
      <c r="G13" s="32">
        <f>'Fiscal Model Import'!R36</f>
        <v>2.82</v>
      </c>
      <c r="H13" s="32">
        <f>'Fiscal Model Import'!S36</f>
        <v>2.82</v>
      </c>
      <c r="I13" s="32">
        <f>'Fiscal Model Import'!T36</f>
        <v>2.82</v>
      </c>
      <c r="J13" s="32">
        <f>'Fiscal Model Import'!U36</f>
        <v>2.82</v>
      </c>
      <c r="K13" s="32">
        <f>'Fiscal Model Import'!V36</f>
        <v>2.82</v>
      </c>
      <c r="L13" s="32">
        <f>'Fiscal Model Import'!W36</f>
        <v>2.82</v>
      </c>
      <c r="M13" s="32">
        <f>'Fiscal Model Import'!X36</f>
        <v>2.82</v>
      </c>
      <c r="N13" s="32">
        <f>'Fiscal Model Import'!Y36</f>
        <v>2.82</v>
      </c>
      <c r="O13" s="32">
        <f>'Fiscal Model Import'!Z36</f>
        <v>2.82</v>
      </c>
      <c r="P13" s="32">
        <f>'Fiscal Model Import'!AA36</f>
        <v>2.82</v>
      </c>
      <c r="Q13" s="32">
        <f>'Fiscal Model Import'!AB36</f>
        <v>2.82</v>
      </c>
      <c r="R13" s="32">
        <f>'Fiscal Model Import'!AC36</f>
        <v>2.82</v>
      </c>
      <c r="S13" s="32">
        <f>'Fiscal Model Import'!AD36</f>
        <v>2.82</v>
      </c>
      <c r="T13" s="32">
        <f>'Fiscal Model Import'!AE36</f>
        <v>2.82</v>
      </c>
      <c r="U13" s="32">
        <f>'Fiscal Model Import'!AF36</f>
        <v>2.82</v>
      </c>
      <c r="V13" s="32">
        <f>'Fiscal Model Import'!AG36</f>
        <v>2.82</v>
      </c>
      <c r="W13" s="32">
        <f>'Fiscal Model Import'!AH36</f>
        <v>2.82</v>
      </c>
    </row>
    <row r="14" spans="1:23" x14ac:dyDescent="0.25">
      <c r="A14" s="26" t="s">
        <v>252</v>
      </c>
      <c r="B14" s="36" t="s">
        <v>31</v>
      </c>
      <c r="C14" s="30"/>
      <c r="D14" s="32">
        <f>'Fiscal Model Import'!O37</f>
        <v>2.8679999999999999</v>
      </c>
      <c r="E14" s="32">
        <f>'Fiscal Model Import'!P37</f>
        <v>2.8679999999999999</v>
      </c>
      <c r="F14" s="32">
        <f>'Fiscal Model Import'!Q37</f>
        <v>2.8679999999999999</v>
      </c>
      <c r="G14" s="32">
        <f>'Fiscal Model Import'!R37</f>
        <v>2.8679999999999999</v>
      </c>
      <c r="H14" s="32">
        <f>'Fiscal Model Import'!S37</f>
        <v>2.8679999999999999</v>
      </c>
      <c r="I14" s="32">
        <f>'Fiscal Model Import'!T37</f>
        <v>2.8679999999999999</v>
      </c>
      <c r="J14" s="32">
        <f>'Fiscal Model Import'!U37</f>
        <v>2.8679999999999999</v>
      </c>
      <c r="K14" s="32">
        <f>'Fiscal Model Import'!V37</f>
        <v>2.8679999999999999</v>
      </c>
      <c r="L14" s="32">
        <f>'Fiscal Model Import'!W37</f>
        <v>2.8679999999999999</v>
      </c>
      <c r="M14" s="32">
        <f>'Fiscal Model Import'!X37</f>
        <v>2.8679999999999999</v>
      </c>
      <c r="N14" s="32">
        <f>'Fiscal Model Import'!Y37</f>
        <v>2.8679999999999999</v>
      </c>
      <c r="O14" s="32">
        <f>'Fiscal Model Import'!Z37</f>
        <v>2.8679999999999999</v>
      </c>
      <c r="P14" s="32">
        <f>'Fiscal Model Import'!AA37</f>
        <v>2.8679999999999999</v>
      </c>
      <c r="Q14" s="32">
        <f>'Fiscal Model Import'!AB37</f>
        <v>2.8679999999999999</v>
      </c>
      <c r="R14" s="32">
        <f>'Fiscal Model Import'!AC37</f>
        <v>2.8679999999999999</v>
      </c>
      <c r="S14" s="32">
        <f>'Fiscal Model Import'!AD37</f>
        <v>2.8679999999999999</v>
      </c>
      <c r="T14" s="32">
        <f>'Fiscal Model Import'!AE37</f>
        <v>2.8679999999999999</v>
      </c>
      <c r="U14" s="32">
        <f>'Fiscal Model Import'!AF37</f>
        <v>2.8679999999999999</v>
      </c>
      <c r="V14" s="32">
        <f>'Fiscal Model Import'!AG37</f>
        <v>2.8679999999999999</v>
      </c>
      <c r="W14" s="32">
        <f>'Fiscal Model Import'!AH37</f>
        <v>2.8679999999999999</v>
      </c>
    </row>
    <row r="15" spans="1:23" x14ac:dyDescent="0.25">
      <c r="A15" s="26" t="s">
        <v>253</v>
      </c>
      <c r="B15" s="36" t="s">
        <v>31</v>
      </c>
      <c r="C15" s="30"/>
      <c r="D15" s="32">
        <f>'Fiscal Model Import'!O38</f>
        <v>2.996</v>
      </c>
      <c r="E15" s="32">
        <f>'Fiscal Model Import'!P38</f>
        <v>2.996</v>
      </c>
      <c r="F15" s="32">
        <f>'Fiscal Model Import'!Q38</f>
        <v>2.996</v>
      </c>
      <c r="G15" s="32">
        <f>'Fiscal Model Import'!R38</f>
        <v>2.996</v>
      </c>
      <c r="H15" s="32">
        <f>'Fiscal Model Import'!S38</f>
        <v>2.996</v>
      </c>
      <c r="I15" s="32">
        <f>'Fiscal Model Import'!T38</f>
        <v>2.996</v>
      </c>
      <c r="J15" s="32">
        <f>'Fiscal Model Import'!U38</f>
        <v>2.996</v>
      </c>
      <c r="K15" s="32">
        <f>'Fiscal Model Import'!V38</f>
        <v>2.996</v>
      </c>
      <c r="L15" s="32">
        <f>'Fiscal Model Import'!W38</f>
        <v>2.996</v>
      </c>
      <c r="M15" s="32">
        <f>'Fiscal Model Import'!X38</f>
        <v>2.996</v>
      </c>
      <c r="N15" s="32">
        <f>'Fiscal Model Import'!Y38</f>
        <v>2.996</v>
      </c>
      <c r="O15" s="32">
        <f>'Fiscal Model Import'!Z38</f>
        <v>2.996</v>
      </c>
      <c r="P15" s="32">
        <f>'Fiscal Model Import'!AA38</f>
        <v>2.996</v>
      </c>
      <c r="Q15" s="32">
        <f>'Fiscal Model Import'!AB38</f>
        <v>2.996</v>
      </c>
      <c r="R15" s="32">
        <f>'Fiscal Model Import'!AC38</f>
        <v>2.996</v>
      </c>
      <c r="S15" s="32">
        <f>'Fiscal Model Import'!AD38</f>
        <v>2.996</v>
      </c>
      <c r="T15" s="32">
        <f>'Fiscal Model Import'!AE38</f>
        <v>2.996</v>
      </c>
      <c r="U15" s="32">
        <f>'Fiscal Model Import'!AF38</f>
        <v>2.996</v>
      </c>
      <c r="V15" s="32">
        <f>'Fiscal Model Import'!AG38</f>
        <v>2.996</v>
      </c>
      <c r="W15" s="32">
        <f>'Fiscal Model Import'!AH38</f>
        <v>2.996</v>
      </c>
    </row>
    <row r="16" spans="1:23" x14ac:dyDescent="0.25">
      <c r="A16" s="7" t="s">
        <v>57</v>
      </c>
      <c r="B16" s="36" t="s">
        <v>32</v>
      </c>
      <c r="C16" s="30"/>
      <c r="D16" s="8">
        <f>'Fiscal Model Import'!O46</f>
        <v>2.9141503759398493</v>
      </c>
      <c r="E16" s="8">
        <f>'Fiscal Model Import'!P46</f>
        <v>2.9141503759398493</v>
      </c>
      <c r="F16" s="8">
        <f>'Fiscal Model Import'!Q46</f>
        <v>2.9141503759398493</v>
      </c>
      <c r="G16" s="8">
        <f>'Fiscal Model Import'!R46</f>
        <v>2.9141503759398493</v>
      </c>
      <c r="H16" s="8">
        <f>'Fiscal Model Import'!S46</f>
        <v>2.9141503759398493</v>
      </c>
      <c r="I16" s="8">
        <f>'Fiscal Model Import'!T46</f>
        <v>2.9141503759398493</v>
      </c>
      <c r="J16" s="8">
        <f>'Fiscal Model Import'!U46</f>
        <v>2.9141503759398493</v>
      </c>
      <c r="K16" s="8">
        <f>'Fiscal Model Import'!V46</f>
        <v>2.9141503759398493</v>
      </c>
      <c r="L16" s="8">
        <f>'Fiscal Model Import'!W46</f>
        <v>2.9141503759398493</v>
      </c>
      <c r="M16" s="8">
        <f>'Fiscal Model Import'!X46</f>
        <v>2.9141503759398493</v>
      </c>
      <c r="N16" s="8">
        <f>'Fiscal Model Import'!Y46</f>
        <v>2.9141503759398493</v>
      </c>
      <c r="O16" s="8">
        <f>'Fiscal Model Import'!Z46</f>
        <v>2.9141503759398493</v>
      </c>
      <c r="P16" s="8">
        <f>'Fiscal Model Import'!AA46</f>
        <v>2.9141503759398493</v>
      </c>
      <c r="Q16" s="8">
        <f>'Fiscal Model Import'!AB46</f>
        <v>2.9141503759398493</v>
      </c>
      <c r="R16" s="8">
        <f>'Fiscal Model Import'!AC46</f>
        <v>2.9141503759398493</v>
      </c>
      <c r="S16" s="8">
        <f>'Fiscal Model Import'!AD46</f>
        <v>2.9141503759398493</v>
      </c>
      <c r="T16" s="8">
        <f>'Fiscal Model Import'!AE46</f>
        <v>2.9141503759398493</v>
      </c>
      <c r="U16" s="8">
        <f>'Fiscal Model Import'!AF46</f>
        <v>2.9141503759398493</v>
      </c>
      <c r="V16" s="8">
        <f>'Fiscal Model Import'!AG46</f>
        <v>2.9141503759398493</v>
      </c>
      <c r="W16" s="8">
        <f>'Fiscal Model Import'!AH46</f>
        <v>2.9141503759398493</v>
      </c>
    </row>
    <row r="17" spans="1:23" x14ac:dyDescent="0.25">
      <c r="A17" s="7"/>
      <c r="B17" s="36"/>
      <c r="C17" s="30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</row>
    <row r="18" spans="1:23" x14ac:dyDescent="0.25">
      <c r="A18" s="29" t="s">
        <v>26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</row>
    <row r="19" spans="1:23" x14ac:dyDescent="0.25">
      <c r="A19" s="7" t="s">
        <v>261</v>
      </c>
      <c r="B19" s="36" t="s">
        <v>28</v>
      </c>
      <c r="C19" s="30"/>
      <c r="D19" s="9">
        <f>(D16/100)*D7/4</f>
        <v>0</v>
      </c>
      <c r="E19" s="9">
        <f t="shared" ref="E19:W19" si="0">(E16/100)*E7/4</f>
        <v>0</v>
      </c>
      <c r="F19" s="9">
        <f t="shared" si="0"/>
        <v>0</v>
      </c>
      <c r="G19" s="9">
        <f t="shared" si="0"/>
        <v>0</v>
      </c>
      <c r="H19" s="9">
        <f t="shared" si="0"/>
        <v>0</v>
      </c>
      <c r="I19" s="9">
        <f t="shared" si="0"/>
        <v>0</v>
      </c>
      <c r="J19" s="9">
        <f t="shared" si="0"/>
        <v>0</v>
      </c>
      <c r="K19" s="9">
        <f t="shared" si="0"/>
        <v>0</v>
      </c>
      <c r="L19" s="9">
        <f t="shared" si="0"/>
        <v>0</v>
      </c>
      <c r="M19" s="9">
        <f t="shared" si="0"/>
        <v>0</v>
      </c>
      <c r="N19" s="9">
        <f t="shared" si="0"/>
        <v>0</v>
      </c>
      <c r="O19" s="9">
        <f t="shared" si="0"/>
        <v>0</v>
      </c>
      <c r="P19" s="9">
        <f t="shared" si="0"/>
        <v>0</v>
      </c>
      <c r="Q19" s="9">
        <f t="shared" si="0"/>
        <v>0</v>
      </c>
      <c r="R19" s="9">
        <f t="shared" si="0"/>
        <v>0</v>
      </c>
      <c r="S19" s="9">
        <f t="shared" si="0"/>
        <v>0</v>
      </c>
      <c r="T19" s="9">
        <f t="shared" si="0"/>
        <v>0</v>
      </c>
      <c r="U19" s="9">
        <f t="shared" si="0"/>
        <v>0</v>
      </c>
      <c r="V19" s="9">
        <f t="shared" si="0"/>
        <v>0</v>
      </c>
      <c r="W19" s="9">
        <f t="shared" si="0"/>
        <v>0</v>
      </c>
    </row>
    <row r="20" spans="1:23" x14ac:dyDescent="0.25">
      <c r="A20" s="7" t="s">
        <v>262</v>
      </c>
      <c r="B20" s="36" t="s">
        <v>29</v>
      </c>
      <c r="C20" s="30"/>
      <c r="D20" s="9">
        <f>(C71/100)*C75/4</f>
        <v>0</v>
      </c>
      <c r="E20" s="9">
        <f t="shared" ref="E20:W20" si="1">(D71/100)*D75/4</f>
        <v>0</v>
      </c>
      <c r="F20" s="9">
        <f t="shared" si="1"/>
        <v>0</v>
      </c>
      <c r="G20" s="9">
        <f t="shared" si="1"/>
        <v>0</v>
      </c>
      <c r="H20" s="9">
        <f>(G71/100)*G75/4</f>
        <v>0</v>
      </c>
      <c r="I20" s="9">
        <f t="shared" si="1"/>
        <v>0</v>
      </c>
      <c r="J20" s="9">
        <f t="shared" si="1"/>
        <v>0</v>
      </c>
      <c r="K20" s="9">
        <f t="shared" si="1"/>
        <v>0</v>
      </c>
      <c r="L20" s="9">
        <f t="shared" si="1"/>
        <v>0</v>
      </c>
      <c r="M20" s="9">
        <f t="shared" si="1"/>
        <v>0</v>
      </c>
      <c r="N20" s="9">
        <f t="shared" si="1"/>
        <v>0</v>
      </c>
      <c r="O20" s="9">
        <f t="shared" si="1"/>
        <v>0</v>
      </c>
      <c r="P20" s="9">
        <f t="shared" si="1"/>
        <v>0</v>
      </c>
      <c r="Q20" s="9">
        <f t="shared" si="1"/>
        <v>0</v>
      </c>
      <c r="R20" s="9">
        <f t="shared" si="1"/>
        <v>0</v>
      </c>
      <c r="S20" s="9">
        <f t="shared" si="1"/>
        <v>0</v>
      </c>
      <c r="T20" s="9">
        <f>(S71/100)*S75/4</f>
        <v>0</v>
      </c>
      <c r="U20" s="9">
        <f t="shared" si="1"/>
        <v>0</v>
      </c>
      <c r="V20" s="9">
        <f t="shared" si="1"/>
        <v>0</v>
      </c>
      <c r="W20" s="9">
        <f t="shared" si="1"/>
        <v>0</v>
      </c>
    </row>
    <row r="21" spans="1:23" ht="26.25" x14ac:dyDescent="0.25">
      <c r="A21" s="7" t="s">
        <v>245</v>
      </c>
      <c r="B21" s="36" t="s">
        <v>30</v>
      </c>
      <c r="C21" s="30"/>
      <c r="D21" s="9">
        <f>-(D7+D19+D20)</f>
        <v>0</v>
      </c>
      <c r="E21" s="9">
        <f t="shared" ref="E21:W21" si="2">-(E7+E19+E20)</f>
        <v>0</v>
      </c>
      <c r="F21" s="9">
        <f>-(F7+F19+F20)</f>
        <v>0</v>
      </c>
      <c r="G21" s="9">
        <f t="shared" si="2"/>
        <v>0</v>
      </c>
      <c r="H21" s="9">
        <f t="shared" si="2"/>
        <v>0</v>
      </c>
      <c r="I21" s="9">
        <f t="shared" si="2"/>
        <v>0</v>
      </c>
      <c r="J21" s="9">
        <f t="shared" si="2"/>
        <v>0</v>
      </c>
      <c r="K21" s="9">
        <f t="shared" si="2"/>
        <v>0</v>
      </c>
      <c r="L21" s="9">
        <f t="shared" si="2"/>
        <v>0</v>
      </c>
      <c r="M21" s="9">
        <f t="shared" si="2"/>
        <v>0</v>
      </c>
      <c r="N21" s="9">
        <f t="shared" si="2"/>
        <v>0</v>
      </c>
      <c r="O21" s="9">
        <f t="shared" si="2"/>
        <v>0</v>
      </c>
      <c r="P21" s="9">
        <f t="shared" si="2"/>
        <v>0</v>
      </c>
      <c r="Q21" s="9">
        <f t="shared" si="2"/>
        <v>0</v>
      </c>
      <c r="R21" s="9">
        <f t="shared" si="2"/>
        <v>0</v>
      </c>
      <c r="S21" s="9">
        <f t="shared" si="2"/>
        <v>0</v>
      </c>
      <c r="T21" s="9">
        <f t="shared" si="2"/>
        <v>0</v>
      </c>
      <c r="U21" s="9">
        <f t="shared" si="2"/>
        <v>0</v>
      </c>
      <c r="V21" s="9">
        <f t="shared" si="2"/>
        <v>0</v>
      </c>
      <c r="W21" s="9">
        <f t="shared" si="2"/>
        <v>0</v>
      </c>
    </row>
    <row r="22" spans="1:23" ht="26.25" x14ac:dyDescent="0.25">
      <c r="A22" s="7" t="s">
        <v>266</v>
      </c>
      <c r="B22" s="36" t="s">
        <v>263</v>
      </c>
      <c r="C22" s="30"/>
      <c r="D22" s="9">
        <f>MAX(0,SUM($D21:D21))</f>
        <v>0</v>
      </c>
      <c r="E22" s="9">
        <f>MAX(0,SUM($D21:E21))</f>
        <v>0</v>
      </c>
      <c r="F22" s="9">
        <f>MAX(0,SUM($D21:F21))</f>
        <v>0</v>
      </c>
      <c r="G22" s="9">
        <f>MAX(0,SUM($D21:G21))</f>
        <v>0</v>
      </c>
      <c r="H22" s="9">
        <f>MAX(0,SUM($D21:H21))</f>
        <v>0</v>
      </c>
      <c r="I22" s="9">
        <f>MAX(0,SUM($D21:I21))</f>
        <v>0</v>
      </c>
      <c r="J22" s="9">
        <f>MAX(0,SUM($D21:J21))</f>
        <v>0</v>
      </c>
      <c r="K22" s="9">
        <f>MAX(0,SUM($D21:K21))</f>
        <v>0</v>
      </c>
      <c r="L22" s="9">
        <f>MAX(0,SUM($D21:L21))</f>
        <v>0</v>
      </c>
      <c r="M22" s="9">
        <f>MAX(0,SUM($D21:M21))</f>
        <v>0</v>
      </c>
      <c r="N22" s="9">
        <f>MAX(0,SUM($D21:N21))</f>
        <v>0</v>
      </c>
      <c r="O22" s="9">
        <f>MAX(0,SUM($D21:O21))</f>
        <v>0</v>
      </c>
      <c r="P22" s="9">
        <f>MAX(0,SUM($D21:P21))</f>
        <v>0</v>
      </c>
      <c r="Q22" s="9">
        <f>MAX(0,SUM($D21:Q21))</f>
        <v>0</v>
      </c>
      <c r="R22" s="9">
        <f>MAX(0,SUM($D21:R21))</f>
        <v>0</v>
      </c>
      <c r="S22" s="9">
        <f>MAX(0,SUM($D21:S21))</f>
        <v>0</v>
      </c>
      <c r="T22" s="9">
        <f>MAX(0,SUM($D21:T21))</f>
        <v>0</v>
      </c>
      <c r="U22" s="9">
        <f>MAX(0,SUM($D21:U21))</f>
        <v>0</v>
      </c>
      <c r="V22" s="9">
        <f>MAX(0,SUM($D21:V21))</f>
        <v>0</v>
      </c>
      <c r="W22" s="9">
        <f>MAX(0,SUM($D21:W21))</f>
        <v>0</v>
      </c>
    </row>
    <row r="23" spans="1:23" x14ac:dyDescent="0.25">
      <c r="A23" s="7"/>
      <c r="B23" s="36"/>
      <c r="C23" s="30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</row>
    <row r="24" spans="1:23" x14ac:dyDescent="0.25">
      <c r="A24" s="29" t="s">
        <v>135</v>
      </c>
      <c r="B24" s="42"/>
      <c r="C24" s="30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</row>
    <row r="25" spans="1:23" ht="26.25" x14ac:dyDescent="0.25">
      <c r="A25" s="26" t="s">
        <v>293</v>
      </c>
      <c r="B25" s="36" t="s">
        <v>130</v>
      </c>
      <c r="C25" s="30"/>
      <c r="D25" s="9">
        <f>IF(D$22&gt;0,MIN(MAX(SUM(D$21,D$55,D$59),0),D$22)*'Fiscal Model Import'!O48,0)</f>
        <v>0</v>
      </c>
      <c r="E25" s="9">
        <f>IF(E$22&gt;0,MIN(MAX(SUM(E$21,E$55,E$59),0),E$22)*'Fiscal Model Import'!P48,0)</f>
        <v>0</v>
      </c>
      <c r="F25" s="9">
        <f>IF(F$22&gt;0,MIN(MAX(SUM(F$21,F$55,F$59),0),F$22)*'Fiscal Model Import'!Q48,0)</f>
        <v>0</v>
      </c>
      <c r="G25" s="9">
        <f>IF(G$22&gt;0,MIN(MAX(SUM(G$21,G$55,G$59),0),G$22)*'Fiscal Model Import'!R48,0)</f>
        <v>0</v>
      </c>
      <c r="H25" s="9">
        <f>IF(H$22&gt;0,MIN(MAX(SUM(H$21,H$55,H$59),0),H$22)*'Fiscal Model Import'!S48,0)</f>
        <v>0</v>
      </c>
      <c r="I25" s="9">
        <f>IF(I$22&gt;0,MIN(MAX(SUM(I$21,I$55,I$59),0),I$22)*'Fiscal Model Import'!T48,0)</f>
        <v>0</v>
      </c>
      <c r="J25" s="9">
        <f>IF(J$22&gt;0,MIN(MAX(SUM(J$21,J$55,J$59),0),J$22)*'Fiscal Model Import'!U48,0)</f>
        <v>0</v>
      </c>
      <c r="K25" s="9">
        <f>IF(K$22&gt;0,MIN(MAX(SUM(K$21,K$55,K$59),0),K$22)*'Fiscal Model Import'!V48,0)</f>
        <v>0</v>
      </c>
      <c r="L25" s="9">
        <f>IF(L$22&gt;0,MIN(MAX(SUM(L$21,L$55,L$59),0),L$22)*'Fiscal Model Import'!W48,0)</f>
        <v>0</v>
      </c>
      <c r="M25" s="9">
        <f>IF(M$22&gt;0,MIN(MAX(SUM(M$21,M$55,M$59),0),M$22)*'Fiscal Model Import'!X48,0)</f>
        <v>0</v>
      </c>
      <c r="N25" s="9">
        <f>IF(N$22&gt;0,MIN(MAX(SUM(N$21,N$55,N$59),0),N$22)*'Fiscal Model Import'!Y48,0)</f>
        <v>0</v>
      </c>
      <c r="O25" s="9">
        <f>IF(O$22&gt;0,MIN(MAX(SUM(O$21,O$55,O$59),0),O$22)*'Fiscal Model Import'!Z48,0)</f>
        <v>0</v>
      </c>
      <c r="P25" s="9">
        <f>IF(P$22&gt;0,MIN(MAX(SUM(P$21,P$55,P$59),0),P$22)*'Fiscal Model Import'!AA48,0)</f>
        <v>0</v>
      </c>
      <c r="Q25" s="9">
        <f>IF(Q$22&gt;0,MIN(MAX(SUM(Q$21,Q$55,Q$59),0),Q$22)*'Fiscal Model Import'!AB48,0)</f>
        <v>0</v>
      </c>
      <c r="R25" s="9">
        <f>IF(R$22&gt;0,MIN(MAX(SUM(R$21,R$55,R$59),0),R$22)*'Fiscal Model Import'!AC48,0)</f>
        <v>0</v>
      </c>
      <c r="S25" s="9">
        <f>IF(S$22&gt;0,MIN(MAX(SUM(S$21,S$55,S$59),0),S$22)*'Fiscal Model Import'!AD48,0)</f>
        <v>0</v>
      </c>
      <c r="T25" s="9">
        <f>IF(T$22&gt;0,MIN(MAX(SUM(T$21,T$55,T$59),0),T$22)*'Fiscal Model Import'!AE48,0)</f>
        <v>0</v>
      </c>
      <c r="U25" s="9">
        <f>IF(U$22&gt;0,MIN(MAX(SUM(U$21,U$55,U$59),0),U$22)*'Fiscal Model Import'!AF48,0)</f>
        <v>0</v>
      </c>
      <c r="V25" s="9">
        <f>IF(V$22&gt;0,MIN(MAX(SUM(V$21,V$55,V$59),0),V$22)*'Fiscal Model Import'!AG48,0)</f>
        <v>0</v>
      </c>
      <c r="W25" s="9">
        <f>IF(W$22&gt;0,MIN(MAX(SUM(W$21,W$55,W$59),0),W$22)*'Fiscal Model Import'!AH48,0)</f>
        <v>0</v>
      </c>
    </row>
    <row r="26" spans="1:23" x14ac:dyDescent="0.25">
      <c r="A26" s="26" t="s">
        <v>294</v>
      </c>
      <c r="B26" s="36"/>
      <c r="C26" s="30"/>
      <c r="D26" s="9">
        <f>IF(D$22&gt;0,MIN(MAX(SUM(D$21,D$55,D$59),0),D$22)*'Fiscal Model Import'!O49,0)</f>
        <v>0</v>
      </c>
      <c r="E26" s="9">
        <f>IF(E$22&gt;0,MIN(MAX(SUM(E$21,E$55,E$59),0),E$22)*'Fiscal Model Import'!P49,0)</f>
        <v>0</v>
      </c>
      <c r="F26" s="9">
        <f>IF(F$22&gt;0,MIN(MAX(SUM(F$21,F$55,F$59),0),F$22)*'Fiscal Model Import'!Q49,0)</f>
        <v>0</v>
      </c>
      <c r="G26" s="9">
        <f>IF(G$22&gt;0,MIN(MAX(SUM(G$21,G$55,G$59),0),G$22)*'Fiscal Model Import'!R49,0)</f>
        <v>0</v>
      </c>
      <c r="H26" s="9">
        <f>IF(H$22&gt;0,MIN(MAX(SUM(H$21,H$55,H$59),0),H$22)*'Fiscal Model Import'!S49,0)</f>
        <v>0</v>
      </c>
      <c r="I26" s="9">
        <f>IF(I$22&gt;0,MIN(MAX(SUM(I$21,I$55,I$59),0),I$22)*'Fiscal Model Import'!T49,0)</f>
        <v>0</v>
      </c>
      <c r="J26" s="9">
        <f>IF(J$22&gt;0,MIN(MAX(SUM(J$21,J$55,J$59),0),J$22)*'Fiscal Model Import'!U49,0)</f>
        <v>0</v>
      </c>
      <c r="K26" s="9">
        <f>IF(K$22&gt;0,MIN(MAX(SUM(K$21,K$55,K$59),0),K$22)*'Fiscal Model Import'!V49,0)</f>
        <v>0</v>
      </c>
      <c r="L26" s="9">
        <f>IF(L$22&gt;0,MIN(MAX(SUM(L$21,L$55,L$59),0),L$22)*'Fiscal Model Import'!W49,0)</f>
        <v>0</v>
      </c>
      <c r="M26" s="9">
        <f>IF(M$22&gt;0,MIN(MAX(SUM(M$21,M$55,M$59),0),M$22)*'Fiscal Model Import'!X49,0)</f>
        <v>0</v>
      </c>
      <c r="N26" s="9">
        <f>IF(N$22&gt;0,MIN(MAX(SUM(N$21,N$55,N$59),0),N$22)*'Fiscal Model Import'!Y49,0)</f>
        <v>0</v>
      </c>
      <c r="O26" s="9">
        <f>IF(O$22&gt;0,MIN(MAX(SUM(O$21,O$55,O$59),0),O$22)*'Fiscal Model Import'!Z49,0)</f>
        <v>0</v>
      </c>
      <c r="P26" s="9">
        <f>IF(P$22&gt;0,MIN(MAX(SUM(P$21,P$55,P$59),0),P$22)*'Fiscal Model Import'!AA49,0)</f>
        <v>0</v>
      </c>
      <c r="Q26" s="9">
        <f>IF(Q$22&gt;0,MIN(MAX(SUM(Q$21,Q$55,Q$59),0),Q$22)*'Fiscal Model Import'!AB49,0)</f>
        <v>0</v>
      </c>
      <c r="R26" s="9">
        <f>IF(R$22&gt;0,MIN(MAX(SUM(R$21,R$55,R$59),0),R$22)*'Fiscal Model Import'!AC49,0)</f>
        <v>0</v>
      </c>
      <c r="S26" s="9">
        <f>IF(S$22&gt;0,MIN(MAX(SUM(S$21,S$55,S$59),0),S$22)*'Fiscal Model Import'!AD49,0)</f>
        <v>0</v>
      </c>
      <c r="T26" s="9">
        <f>IF(T$22&gt;0,MIN(MAX(SUM(T$21,T$55,T$59),0),T$22)*'Fiscal Model Import'!AE49,0)</f>
        <v>0</v>
      </c>
      <c r="U26" s="9">
        <f>IF(U$22&gt;0,MIN(MAX(SUM(U$21,U$55,U$59),0),U$22)*'Fiscal Model Import'!AF49,0)</f>
        <v>0</v>
      </c>
      <c r="V26" s="9">
        <f>IF(V$22&gt;0,MIN(MAX(SUM(V$21,V$55,V$59),0),V$22)*'Fiscal Model Import'!AG49,0)</f>
        <v>0</v>
      </c>
      <c r="W26" s="9">
        <f>IF(W$22&gt;0,MIN(MAX(SUM(W$21,W$55,W$59),0),W$22)*'Fiscal Model Import'!AH49,0)</f>
        <v>0</v>
      </c>
    </row>
    <row r="27" spans="1:23" x14ac:dyDescent="0.25">
      <c r="A27" s="26" t="s">
        <v>295</v>
      </c>
      <c r="B27" s="36"/>
      <c r="C27" s="30"/>
      <c r="D27" s="9">
        <f>IF(D$22&gt;0,MIN(MAX(SUM(D$21,D$55,D$59),0),D$22)*'Fiscal Model Import'!O50,0)</f>
        <v>0</v>
      </c>
      <c r="E27" s="9">
        <f>IF(E$22&gt;0,MIN(MAX(SUM(E$21,E$55,E$59),0),E$22)*'Fiscal Model Import'!P50,0)</f>
        <v>0</v>
      </c>
      <c r="F27" s="9">
        <f>IF(F$22&gt;0,MIN(MAX(SUM(F$21,F$55,F$59),0),F$22)*'Fiscal Model Import'!Q50,0)</f>
        <v>0</v>
      </c>
      <c r="G27" s="9">
        <f>IF(G$22&gt;0,MIN(MAX(SUM(G$21,G$55,G$59),0),G$22)*'Fiscal Model Import'!R50,0)</f>
        <v>0</v>
      </c>
      <c r="H27" s="9">
        <f>IF(H$22&gt;0,MIN(MAX(SUM(H$21,H$55,H$59),0),H$22)*'Fiscal Model Import'!S50,0)</f>
        <v>0</v>
      </c>
      <c r="I27" s="9">
        <f>IF(I$22&gt;0,MIN(MAX(SUM(I$21,I$55,I$59),0),I$22)*'Fiscal Model Import'!T50,0)</f>
        <v>0</v>
      </c>
      <c r="J27" s="9">
        <f>IF(J$22&gt;0,MIN(MAX(SUM(J$21,J$55,J$59),0),J$22)*'Fiscal Model Import'!U50,0)</f>
        <v>0</v>
      </c>
      <c r="K27" s="9">
        <f>IF(K$22&gt;0,MIN(MAX(SUM(K$21,K$55,K$59),0),K$22)*'Fiscal Model Import'!V50,0)</f>
        <v>0</v>
      </c>
      <c r="L27" s="9">
        <f>IF(L$22&gt;0,MIN(MAX(SUM(L$21,L$55,L$59),0),L$22)*'Fiscal Model Import'!W50,0)</f>
        <v>0</v>
      </c>
      <c r="M27" s="9">
        <f>IF(M$22&gt;0,MIN(MAX(SUM(M$21,M$55,M$59),0),M$22)*'Fiscal Model Import'!X50,0)</f>
        <v>0</v>
      </c>
      <c r="N27" s="9">
        <f>IF(N$22&gt;0,MIN(MAX(SUM(N$21,N$55,N$59),0),N$22)*'Fiscal Model Import'!Y50,0)</f>
        <v>0</v>
      </c>
      <c r="O27" s="9">
        <f>IF(O$22&gt;0,MIN(MAX(SUM(O$21,O$55,O$59),0),O$22)*'Fiscal Model Import'!Z50,0)</f>
        <v>0</v>
      </c>
      <c r="P27" s="9">
        <f>IF(P$22&gt;0,MIN(MAX(SUM(P$21,P$55,P$59),0),P$22)*'Fiscal Model Import'!AA50,0)</f>
        <v>0</v>
      </c>
      <c r="Q27" s="9">
        <f>IF(Q$22&gt;0,MIN(MAX(SUM(Q$21,Q$55,Q$59),0),Q$22)*'Fiscal Model Import'!AB50,0)</f>
        <v>0</v>
      </c>
      <c r="R27" s="9">
        <f>IF(R$22&gt;0,MIN(MAX(SUM(R$21,R$55,R$59),0),R$22)*'Fiscal Model Import'!AC50,0)</f>
        <v>0</v>
      </c>
      <c r="S27" s="9">
        <f>IF(S$22&gt;0,MIN(MAX(SUM(S$21,S$55,S$59),0),S$22)*'Fiscal Model Import'!AD50,0)</f>
        <v>0</v>
      </c>
      <c r="T27" s="9">
        <f>IF(T$22&gt;0,MIN(MAX(SUM(T$21,T$55,T$59),0),T$22)*'Fiscal Model Import'!AE50,0)</f>
        <v>0</v>
      </c>
      <c r="U27" s="9">
        <f>IF(U$22&gt;0,MIN(MAX(SUM(U$21,U$55,U$59),0),U$22)*'Fiscal Model Import'!AF50,0)</f>
        <v>0</v>
      </c>
      <c r="V27" s="9">
        <f>IF(V$22&gt;0,MIN(MAX(SUM(V$21,V$55,V$59),0),V$22)*'Fiscal Model Import'!AG50,0)</f>
        <v>0</v>
      </c>
      <c r="W27" s="9">
        <f>IF(W$22&gt;0,MIN(MAX(SUM(W$21,W$55,W$59),0),W$22)*'Fiscal Model Import'!AH50,0)</f>
        <v>0</v>
      </c>
    </row>
    <row r="28" spans="1:23" x14ac:dyDescent="0.25">
      <c r="A28" s="26" t="s">
        <v>299</v>
      </c>
      <c r="B28" s="36" t="s">
        <v>300</v>
      </c>
      <c r="C28" s="30"/>
      <c r="D28" s="9">
        <f>SUM(D25:D27)</f>
        <v>0</v>
      </c>
      <c r="E28" s="9">
        <f t="shared" ref="E28:W28" si="3">SUM(E25:E27)</f>
        <v>0</v>
      </c>
      <c r="F28" s="9">
        <f t="shared" si="3"/>
        <v>0</v>
      </c>
      <c r="G28" s="9">
        <f t="shared" si="3"/>
        <v>0</v>
      </c>
      <c r="H28" s="9">
        <f t="shared" si="3"/>
        <v>0</v>
      </c>
      <c r="I28" s="9">
        <f t="shared" si="3"/>
        <v>0</v>
      </c>
      <c r="J28" s="9">
        <f t="shared" si="3"/>
        <v>0</v>
      </c>
      <c r="K28" s="9">
        <f t="shared" si="3"/>
        <v>0</v>
      </c>
      <c r="L28" s="9">
        <f t="shared" si="3"/>
        <v>0</v>
      </c>
      <c r="M28" s="9">
        <f t="shared" si="3"/>
        <v>0</v>
      </c>
      <c r="N28" s="9">
        <f t="shared" si="3"/>
        <v>0</v>
      </c>
      <c r="O28" s="9">
        <f t="shared" si="3"/>
        <v>0</v>
      </c>
      <c r="P28" s="9">
        <f t="shared" si="3"/>
        <v>0</v>
      </c>
      <c r="Q28" s="9">
        <f t="shared" si="3"/>
        <v>0</v>
      </c>
      <c r="R28" s="9">
        <f t="shared" si="3"/>
        <v>0</v>
      </c>
      <c r="S28" s="9">
        <f t="shared" si="3"/>
        <v>0</v>
      </c>
      <c r="T28" s="9">
        <f t="shared" si="3"/>
        <v>0</v>
      </c>
      <c r="U28" s="9">
        <f t="shared" si="3"/>
        <v>0</v>
      </c>
      <c r="V28" s="9">
        <f t="shared" si="3"/>
        <v>0</v>
      </c>
      <c r="W28" s="9">
        <f t="shared" si="3"/>
        <v>0</v>
      </c>
    </row>
    <row r="29" spans="1:23" ht="26.25" x14ac:dyDescent="0.25">
      <c r="A29" s="26" t="s">
        <v>232</v>
      </c>
      <c r="B29" s="36" t="s">
        <v>235</v>
      </c>
      <c r="C29" s="30"/>
      <c r="D29" s="69">
        <f>IF(D22&gt;0,MIN(D22,MAX(0,SUM(D$21,D$55,D$59)))*'Fiscal Model Import'!O42,0)</f>
        <v>0</v>
      </c>
      <c r="E29" s="69">
        <f>IF(E22&gt;0,MIN(E22,MAX(0,SUM(E$21,E$55,E$59)))*'Fiscal Model Import'!P42,0)</f>
        <v>0</v>
      </c>
      <c r="F29" s="69">
        <f>IF(F22&gt;0,MIN(F22,MAX(0,SUM(F$21,F$55,F$59)))*'Fiscal Model Import'!Q42,0)</f>
        <v>0</v>
      </c>
      <c r="G29" s="69">
        <f>IF(G22&gt;0,MIN(G22,MAX(0,SUM(G$21,G$55,G$59)))*'Fiscal Model Import'!R42,0)</f>
        <v>0</v>
      </c>
      <c r="H29" s="69">
        <f>IF(H22&gt;0,MIN(H22,MAX(0,SUM(H$21,H$55,H$59)))*'Fiscal Model Import'!S42,0)</f>
        <v>0</v>
      </c>
      <c r="I29" s="69">
        <f>IF(I22&gt;0,MIN(I22,MAX(0,SUM(I$21,I$55,I$59)))*'Fiscal Model Import'!T42,0)</f>
        <v>0</v>
      </c>
      <c r="J29" s="69">
        <f>IF(J22&gt;0,MIN(J22,MAX(0,SUM(J$21,J$55,J$59)))*'Fiscal Model Import'!U42,0)</f>
        <v>0</v>
      </c>
      <c r="K29" s="69">
        <f>IF(K22&gt;0,MIN(K22,MAX(0,SUM(K$21,K$55,K$59)))*'Fiscal Model Import'!V42,0)</f>
        <v>0</v>
      </c>
      <c r="L29" s="69">
        <f>IF(L22&gt;0,MIN(L22,MAX(0,SUM(L$21,L$55,L$59)))*'Fiscal Model Import'!W42,0)</f>
        <v>0</v>
      </c>
      <c r="M29" s="69">
        <f>IF(M22&gt;0,MIN(M22,MAX(0,SUM(M$21,M$55,M$59)))*'Fiscal Model Import'!X42,0)</f>
        <v>0</v>
      </c>
      <c r="N29" s="69">
        <f>IF(N22&gt;0,MIN(N22,MAX(0,SUM(N$21,N$55,N$59)))*'Fiscal Model Import'!Y42,0)</f>
        <v>0</v>
      </c>
      <c r="O29" s="69">
        <f>IF(O22&gt;0,MIN(O22,MAX(0,SUM(O$21,O$55,O$59)))*'Fiscal Model Import'!Z42,0)</f>
        <v>0</v>
      </c>
      <c r="P29" s="69">
        <f>IF(P22&gt;0,MIN(P22,MAX(0,SUM(P$21,P$55,P$59)))*'Fiscal Model Import'!AA42,0)</f>
        <v>0</v>
      </c>
      <c r="Q29" s="69">
        <f>IF(Q22&gt;0,MIN(Q22,MAX(0,SUM(Q$21,Q$55,Q$59)))*'Fiscal Model Import'!AB42,0)</f>
        <v>0</v>
      </c>
      <c r="R29" s="69">
        <f>IF(R22&gt;0,MIN(R22,MAX(0,SUM(R$21,R$55,R$59)))*'Fiscal Model Import'!AC42,0)</f>
        <v>0</v>
      </c>
      <c r="S29" s="69">
        <f>IF(S22&gt;0,MIN(S22,MAX(0,SUM(S$21,S$55,S$59)))*'Fiscal Model Import'!AD42,0)</f>
        <v>0</v>
      </c>
      <c r="T29" s="69">
        <f>IF(T22&gt;0,MIN(T22,MAX(0,SUM(T$21,T$55,T$59)))*'Fiscal Model Import'!AE42,0)</f>
        <v>0</v>
      </c>
      <c r="U29" s="69">
        <f>IF(U22&gt;0,MIN(U22,MAX(0,SUM(U$21,U$55,U$59)))*'Fiscal Model Import'!AF42,0)</f>
        <v>0</v>
      </c>
      <c r="V29" s="69">
        <f>IF(V22&gt;0,MIN(V22,MAX(0,SUM(V$21,V$55,V$59)))*'Fiscal Model Import'!AG42,0)</f>
        <v>0</v>
      </c>
      <c r="W29" s="69">
        <f>IF(W22&gt;0,MIN(W22,MAX(0,SUM(W$21,W$55,W$59)))*'Fiscal Model Import'!AH42,0)</f>
        <v>0</v>
      </c>
    </row>
    <row r="30" spans="1:23" ht="26.25" x14ac:dyDescent="0.25">
      <c r="A30" s="26" t="s">
        <v>233</v>
      </c>
      <c r="B30" s="36" t="s">
        <v>236</v>
      </c>
      <c r="C30" s="30"/>
      <c r="D30" s="69">
        <f>IF(D22&gt;0,MIN(D22,MAX(SUM(D$21,D$55,D$59),0))*'Fiscal Model Import'!O43,0)</f>
        <v>0</v>
      </c>
      <c r="E30" s="69">
        <f>IF(E22&gt;0,MIN(E22,MAX(SUM(E$21,E$55,E$59),0))*'Fiscal Model Import'!P43,0)</f>
        <v>0</v>
      </c>
      <c r="F30" s="69">
        <f>IF(F22&gt;0,MIN(F22,MAX(SUM(F$21,F$55,F$59),0))*'Fiscal Model Import'!Q43,0)</f>
        <v>0</v>
      </c>
      <c r="G30" s="69">
        <f>IF(G22&gt;0,MIN(G22,MAX(SUM(G$21,G$55,G$59),0))*'Fiscal Model Import'!R43,0)</f>
        <v>0</v>
      </c>
      <c r="H30" s="69">
        <f>IF(H22&gt;0,MIN(H22,MAX(SUM(H$21,H$55,H$59),0))*'Fiscal Model Import'!S43,0)</f>
        <v>0</v>
      </c>
      <c r="I30" s="69">
        <f>IF(I22&gt;0,MIN(I22,MAX(SUM(I$21,I$55,I$59),0))*'Fiscal Model Import'!T43,0)</f>
        <v>0</v>
      </c>
      <c r="J30" s="69">
        <f>IF(J22&gt;0,MIN(J22,MAX(SUM(J$21,J$55,J$59),0))*'Fiscal Model Import'!U43,0)</f>
        <v>0</v>
      </c>
      <c r="K30" s="69">
        <f>IF(K22&gt;0,MIN(K22,MAX(SUM(K$21,K$55,K$59),0))*'Fiscal Model Import'!V43,0)</f>
        <v>0</v>
      </c>
      <c r="L30" s="69">
        <f>IF(L22&gt;0,MIN(L22,MAX(SUM(L$21,L$55,L$59),0))*'Fiscal Model Import'!W43,0)</f>
        <v>0</v>
      </c>
      <c r="M30" s="69">
        <f>IF(M22&gt;0,MIN(M22,MAX(SUM(M$21,M$55,M$59),0))*'Fiscal Model Import'!X43,0)</f>
        <v>0</v>
      </c>
      <c r="N30" s="69">
        <f>IF(N22&gt;0,MIN(N22,MAX(SUM(N$21,N$55,N$59),0))*'Fiscal Model Import'!Y43,0)</f>
        <v>0</v>
      </c>
      <c r="O30" s="69">
        <f>IF(O22&gt;0,MIN(O22,MAX(SUM(O$21,O$55,O$59),0))*'Fiscal Model Import'!Z43,0)</f>
        <v>0</v>
      </c>
      <c r="P30" s="69">
        <f>IF(P22&gt;0,MIN(P22,MAX(SUM(P$21,P$55,P$59),0))*'Fiscal Model Import'!AA43,0)</f>
        <v>0</v>
      </c>
      <c r="Q30" s="69">
        <f>IF(Q22&gt;0,MIN(Q22,MAX(SUM(Q$21,Q$55,Q$59),0))*'Fiscal Model Import'!AB43,0)</f>
        <v>0</v>
      </c>
      <c r="R30" s="69">
        <f>IF(R22&gt;0,MIN(R22,MAX(SUM(R$21,R$55,R$59),0))*'Fiscal Model Import'!AC43,0)</f>
        <v>0</v>
      </c>
      <c r="S30" s="69">
        <f>IF(S22&gt;0,MIN(S22,MAX(SUM(S$21,S$55,S$59),0))*'Fiscal Model Import'!AD43,0)</f>
        <v>0</v>
      </c>
      <c r="T30" s="69">
        <f>IF(T22&gt;0,MIN(T22,MAX(SUM(T$21,T$55,T$59),0))*'Fiscal Model Import'!AE43,0)</f>
        <v>0</v>
      </c>
      <c r="U30" s="69">
        <f>IF(U22&gt;0,MIN(U22,MAX(SUM(U$21,U$55,U$59),0))*'Fiscal Model Import'!AF43,0)</f>
        <v>0</v>
      </c>
      <c r="V30" s="69">
        <f>IF(V22&gt;0,MIN(V22,MAX(SUM(V$21,V$55,V$59),0))*'Fiscal Model Import'!AG43,0)</f>
        <v>0</v>
      </c>
      <c r="W30" s="69">
        <f>IF(W22&gt;0,MIN(W22,MAX(SUM(W$21,W$55,W$59),0))*'Fiscal Model Import'!AH43,0)</f>
        <v>0</v>
      </c>
    </row>
    <row r="31" spans="1:23" ht="26.25" x14ac:dyDescent="0.25">
      <c r="A31" s="7" t="s">
        <v>234</v>
      </c>
      <c r="B31" s="36" t="s">
        <v>237</v>
      </c>
      <c r="C31" s="30"/>
      <c r="D31" s="69">
        <f>IF(D22&gt;0,MIN(D22,MAX(SUM(D$21,D$55,D$59),0))*'Fiscal Model Import'!O44,0)</f>
        <v>0</v>
      </c>
      <c r="E31" s="69">
        <f>IF(E22&gt;0,MIN(E22,MAX(SUM(E$21,E$55,E$59),0))*'Fiscal Model Import'!P44,0)</f>
        <v>0</v>
      </c>
      <c r="F31" s="69">
        <f>IF(F22&gt;0,MIN(F22,MAX(SUM(F$21,F$55,F$59),0))*'Fiscal Model Import'!Q44,0)</f>
        <v>0</v>
      </c>
      <c r="G31" s="69">
        <f>IF(G22&gt;0,MIN(G22,MAX(SUM(G$21,G$55,G$59),0))*'Fiscal Model Import'!R44,0)</f>
        <v>0</v>
      </c>
      <c r="H31" s="69">
        <f>IF(H22&gt;0,MIN(H22,MAX(SUM(H$21,H$55,H$59),0))*'Fiscal Model Import'!S44,0)</f>
        <v>0</v>
      </c>
      <c r="I31" s="69">
        <f>IF(I22&gt;0,MIN(I22,MAX(SUM(I$21,I$55,I$59),0))*'Fiscal Model Import'!T44,0)</f>
        <v>0</v>
      </c>
      <c r="J31" s="69">
        <f>IF(J22&gt;0,MIN(J22,MAX(SUM(J$21,J$55,J$59),0))*'Fiscal Model Import'!U44,0)</f>
        <v>0</v>
      </c>
      <c r="K31" s="69">
        <f>IF(K22&gt;0,MIN(K22,MAX(SUM(K$21,K$55,K$59),0))*'Fiscal Model Import'!V44,0)</f>
        <v>0</v>
      </c>
      <c r="L31" s="69">
        <f>IF(L22&gt;0,MIN(L22,MAX(SUM(L$21,L$55,L$59),0))*'Fiscal Model Import'!W44,0)</f>
        <v>0</v>
      </c>
      <c r="M31" s="69">
        <f>IF(M22&gt;0,MIN(M22,MAX(SUM(M$21,M$55,M$59),0))*'Fiscal Model Import'!X44,0)</f>
        <v>0</v>
      </c>
      <c r="N31" s="69">
        <f>IF(N22&gt;0,MIN(N22,MAX(SUM(N$21,N$55,N$59),0))*'Fiscal Model Import'!Y44,0)</f>
        <v>0</v>
      </c>
      <c r="O31" s="69">
        <f>IF(O22&gt;0,MIN(O22,MAX(SUM(O$21,O$55,O$59),0))*'Fiscal Model Import'!Z44,0)</f>
        <v>0</v>
      </c>
      <c r="P31" s="69">
        <f>IF(P22&gt;0,MIN(P22,MAX(SUM(P$21,P$55,P$59),0))*'Fiscal Model Import'!AA44,0)</f>
        <v>0</v>
      </c>
      <c r="Q31" s="69">
        <f>IF(Q22&gt;0,MIN(Q22,MAX(SUM(Q$21,Q$55,Q$59),0))*'Fiscal Model Import'!AB44,0)</f>
        <v>0</v>
      </c>
      <c r="R31" s="69">
        <f>IF(R22&gt;0,MIN(R22,MAX(SUM(R$21,R$55,R$59),0))*'Fiscal Model Import'!AC44,0)</f>
        <v>0</v>
      </c>
      <c r="S31" s="69">
        <f>IF(S22&gt;0,MIN(S22,MAX(SUM(S$21,S$55,S$59),0))*'Fiscal Model Import'!AD44,0)</f>
        <v>0</v>
      </c>
      <c r="T31" s="69">
        <f>IF(T22&gt;0,MIN(T22,MAX(SUM(T$21,T$55,T$59),0))*'Fiscal Model Import'!AE44,0)</f>
        <v>0</v>
      </c>
      <c r="U31" s="69">
        <f>IF(U22&gt;0,MIN(U22,MAX(SUM(U$21,U$55,U$59),0))*'Fiscal Model Import'!AF44,0)</f>
        <v>0</v>
      </c>
      <c r="V31" s="69">
        <f>IF(V22&gt;0,MIN(V22,MAX(SUM(V$21,V$55,V$59),0))*'Fiscal Model Import'!AG44,0)</f>
        <v>0</v>
      </c>
      <c r="W31" s="69">
        <f>IF(W22&gt;0,MIN(W22,MAX(SUM(W$21,W$55,W$59),0))*'Fiscal Model Import'!AH44,0)</f>
        <v>0</v>
      </c>
    </row>
    <row r="32" spans="1:23" ht="26.25" x14ac:dyDescent="0.25">
      <c r="A32" s="7" t="s">
        <v>129</v>
      </c>
      <c r="B32" s="36" t="s">
        <v>131</v>
      </c>
      <c r="C32" s="30"/>
      <c r="D32" s="69">
        <f>IF(D22&gt;0,MIN(D22,MAX(0,SUM(D21,D55,D59)))*'Fiscal Model Import'!O40,0)</f>
        <v>0</v>
      </c>
      <c r="E32" s="69">
        <f>IF(E22&gt;0,MIN(E22,MAX(0,SUM(E21,E55,E59)))*'Fiscal Model Import'!P40,0)</f>
        <v>0</v>
      </c>
      <c r="F32" s="69">
        <f>IF(F22&gt;0,MIN(F22,MAX(0,SUM(F21,F55,F59)))*'Fiscal Model Import'!Q40,0)</f>
        <v>0</v>
      </c>
      <c r="G32" s="69">
        <f>IF(G22&gt;0,MIN(G22,MAX(0,SUM(G21,G55,G59)))*'Fiscal Model Import'!R40,0)</f>
        <v>0</v>
      </c>
      <c r="H32" s="69">
        <f>IF(H22&gt;0,MIN(H22,MAX(0,SUM(H21,H55,H59)))*'Fiscal Model Import'!S40,0)</f>
        <v>0</v>
      </c>
      <c r="I32" s="69">
        <f>IF(I22&gt;0,MIN(I22,MAX(0,SUM(I21,I55,I59)))*'Fiscal Model Import'!T40,0)</f>
        <v>0</v>
      </c>
      <c r="J32" s="69">
        <f>IF(J22&gt;0,MIN(J22,MAX(0,SUM(J21,J55,J59)))*'Fiscal Model Import'!U40,0)</f>
        <v>0</v>
      </c>
      <c r="K32" s="69">
        <f>IF(K22&gt;0,MIN(K22,MAX(0,SUM(K21,K55,K59)))*'Fiscal Model Import'!V40,0)</f>
        <v>0</v>
      </c>
      <c r="L32" s="69">
        <f>IF(L22&gt;0,MIN(L22,MAX(0,SUM(L21,L55,L59)))*'Fiscal Model Import'!W40,0)</f>
        <v>0</v>
      </c>
      <c r="M32" s="69">
        <f>IF(M22&gt;0,MIN(M22,MAX(0,SUM(M21,M55,M59)))*'Fiscal Model Import'!X40,0)</f>
        <v>0</v>
      </c>
      <c r="N32" s="69">
        <f>IF(N22&gt;0,MIN(N22,MAX(0,SUM(N21,N55,N59)))*'Fiscal Model Import'!Y40,0)</f>
        <v>0</v>
      </c>
      <c r="O32" s="69">
        <f>IF(O22&gt;0,MIN(O22,MAX(0,SUM(O21,O55,O59)))*'Fiscal Model Import'!Z40,0)</f>
        <v>0</v>
      </c>
      <c r="P32" s="69">
        <f>IF(P22&gt;0,MIN(P22,MAX(0,SUM(P21,P55,P59)))*'Fiscal Model Import'!AA40,0)</f>
        <v>0</v>
      </c>
      <c r="Q32" s="69">
        <f>IF(Q22&gt;0,MIN(Q22,MAX(0,SUM(Q21,Q55,Q59)))*'Fiscal Model Import'!AB40,0)</f>
        <v>0</v>
      </c>
      <c r="R32" s="69">
        <f>IF(R22&gt;0,MIN(R22,MAX(0,SUM(R21,R55,R59)))*'Fiscal Model Import'!AC40,0)</f>
        <v>0</v>
      </c>
      <c r="S32" s="69">
        <f>IF(S22&gt;0,MIN(S22,MAX(0,SUM(S21,S55,S59)))*'Fiscal Model Import'!AD40,0)</f>
        <v>0</v>
      </c>
      <c r="T32" s="69">
        <f>IF(T22&gt;0,MIN(T22,MAX(0,SUM(T21,T55,T59)))*'Fiscal Model Import'!AE40,0)</f>
        <v>0</v>
      </c>
      <c r="U32" s="69">
        <f>IF(U22&gt;0,MIN(U22,MAX(0,SUM(U21,U55,U59)))*'Fiscal Model Import'!AF40,0)</f>
        <v>0</v>
      </c>
      <c r="V32" s="69">
        <f>IF(V22&gt;0,MIN(V22,MAX(0,SUM(V21,V55,V59)))*'Fiscal Model Import'!AG40,0)</f>
        <v>0</v>
      </c>
      <c r="W32" s="69">
        <f>IF(W22&gt;0,MIN(W22,MAX(0,SUM(W21,W55,W59)))*'Fiscal Model Import'!AH40,0)</f>
        <v>0</v>
      </c>
    </row>
    <row r="33" spans="1:23" x14ac:dyDescent="0.25">
      <c r="A33" s="7" t="s">
        <v>302</v>
      </c>
      <c r="B33" s="36" t="s">
        <v>304</v>
      </c>
      <c r="C33" s="30"/>
      <c r="D33" s="69">
        <f>D25</f>
        <v>0</v>
      </c>
      <c r="E33" s="69">
        <f t="shared" ref="E33:W33" si="4">E25</f>
        <v>0</v>
      </c>
      <c r="F33" s="69">
        <f>F25</f>
        <v>0</v>
      </c>
      <c r="G33" s="69">
        <f t="shared" si="4"/>
        <v>0</v>
      </c>
      <c r="H33" s="69">
        <f t="shared" si="4"/>
        <v>0</v>
      </c>
      <c r="I33" s="69">
        <f t="shared" si="4"/>
        <v>0</v>
      </c>
      <c r="J33" s="69">
        <f t="shared" si="4"/>
        <v>0</v>
      </c>
      <c r="K33" s="69">
        <f t="shared" si="4"/>
        <v>0</v>
      </c>
      <c r="L33" s="69">
        <f t="shared" si="4"/>
        <v>0</v>
      </c>
      <c r="M33" s="69">
        <f t="shared" si="4"/>
        <v>0</v>
      </c>
      <c r="N33" s="69">
        <f t="shared" si="4"/>
        <v>0</v>
      </c>
      <c r="O33" s="69">
        <f t="shared" si="4"/>
        <v>0</v>
      </c>
      <c r="P33" s="69">
        <f t="shared" si="4"/>
        <v>0</v>
      </c>
      <c r="Q33" s="69">
        <f t="shared" si="4"/>
        <v>0</v>
      </c>
      <c r="R33" s="69">
        <f t="shared" si="4"/>
        <v>0</v>
      </c>
      <c r="S33" s="69">
        <f t="shared" si="4"/>
        <v>0</v>
      </c>
      <c r="T33" s="69">
        <f t="shared" si="4"/>
        <v>0</v>
      </c>
      <c r="U33" s="69">
        <f t="shared" si="4"/>
        <v>0</v>
      </c>
      <c r="V33" s="69">
        <f t="shared" si="4"/>
        <v>0</v>
      </c>
      <c r="W33" s="69">
        <f t="shared" si="4"/>
        <v>0</v>
      </c>
    </row>
    <row r="34" spans="1:23" ht="26.25" x14ac:dyDescent="0.25">
      <c r="A34" s="7" t="s">
        <v>306</v>
      </c>
      <c r="B34" s="36" t="s">
        <v>301</v>
      </c>
      <c r="C34" s="30"/>
      <c r="D34" s="69">
        <f>D26</f>
        <v>0</v>
      </c>
      <c r="E34" s="69">
        <f>IF(AND(E$22&gt;0,E$21+E$55+E$59&gt;0),D34+E26-E53,E$22*D43)</f>
        <v>0</v>
      </c>
      <c r="F34" s="69">
        <f t="shared" ref="F34:W34" si="5">IF(AND(F$22&gt;0,F$21+F$55+F$59&gt;0),E34+F26-F53,F$22*E43)</f>
        <v>0</v>
      </c>
      <c r="G34" s="69">
        <f t="shared" si="5"/>
        <v>0</v>
      </c>
      <c r="H34" s="69">
        <f t="shared" si="5"/>
        <v>0</v>
      </c>
      <c r="I34" s="69">
        <f t="shared" si="5"/>
        <v>0</v>
      </c>
      <c r="J34" s="69">
        <f t="shared" si="5"/>
        <v>0</v>
      </c>
      <c r="K34" s="69">
        <f t="shared" si="5"/>
        <v>0</v>
      </c>
      <c r="L34" s="69">
        <f t="shared" si="5"/>
        <v>0</v>
      </c>
      <c r="M34" s="69">
        <f t="shared" si="5"/>
        <v>0</v>
      </c>
      <c r="N34" s="69">
        <f t="shared" si="5"/>
        <v>0</v>
      </c>
      <c r="O34" s="69">
        <f t="shared" si="5"/>
        <v>0</v>
      </c>
      <c r="P34" s="69">
        <f t="shared" si="5"/>
        <v>0</v>
      </c>
      <c r="Q34" s="69">
        <f t="shared" si="5"/>
        <v>0</v>
      </c>
      <c r="R34" s="69">
        <f t="shared" si="5"/>
        <v>0</v>
      </c>
      <c r="S34" s="69">
        <f t="shared" si="5"/>
        <v>0</v>
      </c>
      <c r="T34" s="69">
        <f t="shared" si="5"/>
        <v>0</v>
      </c>
      <c r="U34" s="69">
        <f t="shared" si="5"/>
        <v>0</v>
      </c>
      <c r="V34" s="69">
        <f t="shared" si="5"/>
        <v>0</v>
      </c>
      <c r="W34" s="69">
        <f t="shared" si="5"/>
        <v>0</v>
      </c>
    </row>
    <row r="35" spans="1:23" ht="26.25" x14ac:dyDescent="0.25">
      <c r="A35" s="7" t="s">
        <v>305</v>
      </c>
      <c r="B35" s="36" t="s">
        <v>301</v>
      </c>
      <c r="C35" s="30"/>
      <c r="D35" s="69">
        <f>D27</f>
        <v>0</v>
      </c>
      <c r="E35" s="69">
        <f>IF(AND(E$22&gt;0,E$21+E$55+E$59&gt;0),D35+E27-E54,E$22*D44)</f>
        <v>0</v>
      </c>
      <c r="F35" s="69">
        <f t="shared" ref="F35:W35" si="6">IF(AND(F$22&gt;0,F$21+F$55+F$59&gt;0),E35+F27-F54,F$22*E44)</f>
        <v>0</v>
      </c>
      <c r="G35" s="69">
        <f t="shared" si="6"/>
        <v>0</v>
      </c>
      <c r="H35" s="69">
        <f t="shared" si="6"/>
        <v>0</v>
      </c>
      <c r="I35" s="69">
        <f t="shared" si="6"/>
        <v>0</v>
      </c>
      <c r="J35" s="69">
        <f t="shared" si="6"/>
        <v>0</v>
      </c>
      <c r="K35" s="69">
        <f t="shared" si="6"/>
        <v>0</v>
      </c>
      <c r="L35" s="69">
        <f t="shared" si="6"/>
        <v>0</v>
      </c>
      <c r="M35" s="69">
        <f t="shared" si="6"/>
        <v>0</v>
      </c>
      <c r="N35" s="69">
        <f t="shared" si="6"/>
        <v>0</v>
      </c>
      <c r="O35" s="69">
        <f t="shared" si="6"/>
        <v>0</v>
      </c>
      <c r="P35" s="69">
        <f t="shared" si="6"/>
        <v>0</v>
      </c>
      <c r="Q35" s="69">
        <f t="shared" si="6"/>
        <v>0</v>
      </c>
      <c r="R35" s="69">
        <f t="shared" si="6"/>
        <v>0</v>
      </c>
      <c r="S35" s="69">
        <f t="shared" si="6"/>
        <v>0</v>
      </c>
      <c r="T35" s="69">
        <f t="shared" si="6"/>
        <v>0</v>
      </c>
      <c r="U35" s="69">
        <f t="shared" si="6"/>
        <v>0</v>
      </c>
      <c r="V35" s="69">
        <f t="shared" si="6"/>
        <v>0</v>
      </c>
      <c r="W35" s="69">
        <f t="shared" si="6"/>
        <v>0</v>
      </c>
    </row>
    <row r="36" spans="1:23" x14ac:dyDescent="0.25">
      <c r="A36" s="26" t="s">
        <v>307</v>
      </c>
      <c r="B36" s="36" t="s">
        <v>308</v>
      </c>
      <c r="C36" s="30"/>
      <c r="D36" s="9">
        <f>SUM(D33:D35)</f>
        <v>0</v>
      </c>
      <c r="E36" s="9">
        <f>SUM(E33:E35)</f>
        <v>0</v>
      </c>
      <c r="F36" s="9">
        <f t="shared" ref="F36:W36" si="7">SUM(F33:F35)</f>
        <v>0</v>
      </c>
      <c r="G36" s="9">
        <f t="shared" si="7"/>
        <v>0</v>
      </c>
      <c r="H36" s="9">
        <f t="shared" si="7"/>
        <v>0</v>
      </c>
      <c r="I36" s="9">
        <f t="shared" si="7"/>
        <v>0</v>
      </c>
      <c r="J36" s="9">
        <f t="shared" si="7"/>
        <v>0</v>
      </c>
      <c r="K36" s="9">
        <f t="shared" si="7"/>
        <v>0</v>
      </c>
      <c r="L36" s="9">
        <f t="shared" si="7"/>
        <v>0</v>
      </c>
      <c r="M36" s="9">
        <f t="shared" si="7"/>
        <v>0</v>
      </c>
      <c r="N36" s="9">
        <f t="shared" si="7"/>
        <v>0</v>
      </c>
      <c r="O36" s="9">
        <f t="shared" si="7"/>
        <v>0</v>
      </c>
      <c r="P36" s="9">
        <f t="shared" si="7"/>
        <v>0</v>
      </c>
      <c r="Q36" s="9">
        <f t="shared" si="7"/>
        <v>0</v>
      </c>
      <c r="R36" s="9">
        <f t="shared" si="7"/>
        <v>0</v>
      </c>
      <c r="S36" s="9">
        <f t="shared" si="7"/>
        <v>0</v>
      </c>
      <c r="T36" s="9">
        <f t="shared" si="7"/>
        <v>0</v>
      </c>
      <c r="U36" s="9">
        <f t="shared" si="7"/>
        <v>0</v>
      </c>
      <c r="V36" s="9">
        <f t="shared" si="7"/>
        <v>0</v>
      </c>
      <c r="W36" s="9">
        <f t="shared" si="7"/>
        <v>0</v>
      </c>
    </row>
    <row r="37" spans="1:23" ht="26.25" x14ac:dyDescent="0.25">
      <c r="A37" s="26" t="s">
        <v>272</v>
      </c>
      <c r="B37" s="36" t="s">
        <v>301</v>
      </c>
      <c r="C37" s="30"/>
      <c r="D37" s="69">
        <f>D29</f>
        <v>0</v>
      </c>
      <c r="E37" s="69">
        <f>IF(AND(E$22&gt;0,E$21+E$55+E$59&gt;0),D37+E29-E56,E$22*D46)</f>
        <v>0</v>
      </c>
      <c r="F37" s="69">
        <f t="shared" ref="F37:W39" si="8">IF(AND(F$22&gt;0,F$21+F$55+F$59&gt;0),E37+F29-F56,F$22*E46)</f>
        <v>0</v>
      </c>
      <c r="G37" s="69">
        <f t="shared" si="8"/>
        <v>0</v>
      </c>
      <c r="H37" s="69">
        <f t="shared" si="8"/>
        <v>0</v>
      </c>
      <c r="I37" s="69">
        <f t="shared" si="8"/>
        <v>0</v>
      </c>
      <c r="J37" s="69">
        <f t="shared" si="8"/>
        <v>0</v>
      </c>
      <c r="K37" s="69">
        <f t="shared" si="8"/>
        <v>0</v>
      </c>
      <c r="L37" s="69">
        <f t="shared" si="8"/>
        <v>0</v>
      </c>
      <c r="M37" s="69">
        <f t="shared" si="8"/>
        <v>0</v>
      </c>
      <c r="N37" s="69">
        <f t="shared" si="8"/>
        <v>0</v>
      </c>
      <c r="O37" s="69">
        <f t="shared" si="8"/>
        <v>0</v>
      </c>
      <c r="P37" s="69">
        <f t="shared" si="8"/>
        <v>0</v>
      </c>
      <c r="Q37" s="69">
        <f t="shared" si="8"/>
        <v>0</v>
      </c>
      <c r="R37" s="69">
        <f t="shared" si="8"/>
        <v>0</v>
      </c>
      <c r="S37" s="69">
        <f t="shared" si="8"/>
        <v>0</v>
      </c>
      <c r="T37" s="69">
        <f t="shared" si="8"/>
        <v>0</v>
      </c>
      <c r="U37" s="69">
        <f t="shared" si="8"/>
        <v>0</v>
      </c>
      <c r="V37" s="69">
        <f t="shared" si="8"/>
        <v>0</v>
      </c>
      <c r="W37" s="69">
        <f t="shared" si="8"/>
        <v>0</v>
      </c>
    </row>
    <row r="38" spans="1:23" ht="26.25" x14ac:dyDescent="0.25">
      <c r="A38" s="26" t="s">
        <v>273</v>
      </c>
      <c r="B38" s="36" t="s">
        <v>301</v>
      </c>
      <c r="C38" s="30"/>
      <c r="D38" s="69">
        <f>D30</f>
        <v>0</v>
      </c>
      <c r="E38" s="69">
        <f>IF(AND(E$22&gt;0,E$21+E$55+E$59&gt;0),D38+E30-E57,E$22*D47)</f>
        <v>0</v>
      </c>
      <c r="F38" s="69">
        <f t="shared" si="8"/>
        <v>0</v>
      </c>
      <c r="G38" s="69">
        <f t="shared" si="8"/>
        <v>0</v>
      </c>
      <c r="H38" s="69">
        <f t="shared" si="8"/>
        <v>0</v>
      </c>
      <c r="I38" s="69">
        <f t="shared" si="8"/>
        <v>0</v>
      </c>
      <c r="J38" s="69">
        <f t="shared" si="8"/>
        <v>0</v>
      </c>
      <c r="K38" s="69">
        <f t="shared" si="8"/>
        <v>0</v>
      </c>
      <c r="L38" s="69">
        <f t="shared" si="8"/>
        <v>0</v>
      </c>
      <c r="M38" s="69">
        <f t="shared" si="8"/>
        <v>0</v>
      </c>
      <c r="N38" s="69">
        <f t="shared" si="8"/>
        <v>0</v>
      </c>
      <c r="O38" s="69">
        <f t="shared" si="8"/>
        <v>0</v>
      </c>
      <c r="P38" s="69">
        <f t="shared" si="8"/>
        <v>0</v>
      </c>
      <c r="Q38" s="69">
        <f t="shared" si="8"/>
        <v>0</v>
      </c>
      <c r="R38" s="69">
        <f t="shared" si="8"/>
        <v>0</v>
      </c>
      <c r="S38" s="69">
        <f t="shared" si="8"/>
        <v>0</v>
      </c>
      <c r="T38" s="69">
        <f t="shared" si="8"/>
        <v>0</v>
      </c>
      <c r="U38" s="69">
        <f t="shared" si="8"/>
        <v>0</v>
      </c>
      <c r="V38" s="69">
        <f t="shared" si="8"/>
        <v>0</v>
      </c>
      <c r="W38" s="69">
        <f t="shared" si="8"/>
        <v>0</v>
      </c>
    </row>
    <row r="39" spans="1:23" ht="26.25" x14ac:dyDescent="0.25">
      <c r="A39" s="7" t="s">
        <v>274</v>
      </c>
      <c r="B39" s="36" t="s">
        <v>301</v>
      </c>
      <c r="C39" s="30"/>
      <c r="D39" s="69">
        <f>D31</f>
        <v>0</v>
      </c>
      <c r="E39" s="69">
        <f>IF(AND(E$22&gt;0,E$21+E$55+E$59&gt;0),D39+E31-E58,E$22*D48)</f>
        <v>0</v>
      </c>
      <c r="F39" s="69">
        <f t="shared" si="8"/>
        <v>0</v>
      </c>
      <c r="G39" s="69">
        <f t="shared" si="8"/>
        <v>0</v>
      </c>
      <c r="H39" s="69">
        <f t="shared" si="8"/>
        <v>0</v>
      </c>
      <c r="I39" s="69">
        <f t="shared" si="8"/>
        <v>0</v>
      </c>
      <c r="J39" s="69">
        <f t="shared" si="8"/>
        <v>0</v>
      </c>
      <c r="K39" s="69">
        <f t="shared" si="8"/>
        <v>0</v>
      </c>
      <c r="L39" s="69">
        <f t="shared" si="8"/>
        <v>0</v>
      </c>
      <c r="M39" s="69">
        <f t="shared" si="8"/>
        <v>0</v>
      </c>
      <c r="N39" s="69">
        <f t="shared" si="8"/>
        <v>0</v>
      </c>
      <c r="O39" s="69">
        <f t="shared" si="8"/>
        <v>0</v>
      </c>
      <c r="P39" s="69">
        <f t="shared" si="8"/>
        <v>0</v>
      </c>
      <c r="Q39" s="69">
        <f t="shared" si="8"/>
        <v>0</v>
      </c>
      <c r="R39" s="69">
        <f t="shared" si="8"/>
        <v>0</v>
      </c>
      <c r="S39" s="69">
        <f t="shared" si="8"/>
        <v>0</v>
      </c>
      <c r="T39" s="69">
        <f t="shared" si="8"/>
        <v>0</v>
      </c>
      <c r="U39" s="69">
        <f t="shared" si="8"/>
        <v>0</v>
      </c>
      <c r="V39" s="69">
        <f t="shared" si="8"/>
        <v>0</v>
      </c>
      <c r="W39" s="69">
        <f t="shared" si="8"/>
        <v>0</v>
      </c>
    </row>
    <row r="40" spans="1:23" x14ac:dyDescent="0.25">
      <c r="A40" s="7" t="s">
        <v>268</v>
      </c>
      <c r="B40" s="36" t="s">
        <v>260</v>
      </c>
      <c r="C40" s="30"/>
      <c r="D40" s="69">
        <f>SUM(D37:D39)</f>
        <v>0</v>
      </c>
      <c r="E40" s="69">
        <f t="shared" ref="E40:W40" si="9">SUM(E37:E39)</f>
        <v>0</v>
      </c>
      <c r="F40" s="69">
        <f t="shared" si="9"/>
        <v>0</v>
      </c>
      <c r="G40" s="69">
        <f t="shared" si="9"/>
        <v>0</v>
      </c>
      <c r="H40" s="69">
        <f t="shared" si="9"/>
        <v>0</v>
      </c>
      <c r="I40" s="69">
        <f t="shared" si="9"/>
        <v>0</v>
      </c>
      <c r="J40" s="69">
        <f t="shared" si="9"/>
        <v>0</v>
      </c>
      <c r="K40" s="69">
        <f t="shared" si="9"/>
        <v>0</v>
      </c>
      <c r="L40" s="69">
        <f t="shared" si="9"/>
        <v>0</v>
      </c>
      <c r="M40" s="69">
        <f t="shared" si="9"/>
        <v>0</v>
      </c>
      <c r="N40" s="69">
        <f t="shared" si="9"/>
        <v>0</v>
      </c>
      <c r="O40" s="69">
        <f t="shared" si="9"/>
        <v>0</v>
      </c>
      <c r="P40" s="69">
        <f t="shared" si="9"/>
        <v>0</v>
      </c>
      <c r="Q40" s="69">
        <f t="shared" si="9"/>
        <v>0</v>
      </c>
      <c r="R40" s="69">
        <f t="shared" si="9"/>
        <v>0</v>
      </c>
      <c r="S40" s="69">
        <f t="shared" si="9"/>
        <v>0</v>
      </c>
      <c r="T40" s="69">
        <f t="shared" si="9"/>
        <v>0</v>
      </c>
      <c r="U40" s="69">
        <f t="shared" si="9"/>
        <v>0</v>
      </c>
      <c r="V40" s="69">
        <f t="shared" si="9"/>
        <v>0</v>
      </c>
      <c r="W40" s="69">
        <f t="shared" si="9"/>
        <v>0</v>
      </c>
    </row>
    <row r="41" spans="1:23" ht="26.25" x14ac:dyDescent="0.25">
      <c r="A41" s="7" t="s">
        <v>56</v>
      </c>
      <c r="B41" s="36" t="s">
        <v>133</v>
      </c>
      <c r="C41" s="30"/>
      <c r="D41" s="69">
        <f>D32</f>
        <v>0</v>
      </c>
      <c r="E41" s="69">
        <f>IF(AND(E$22&gt;0,E$21+E$55+E$59&gt;0),D41+E32,E$22*D49)</f>
        <v>0</v>
      </c>
      <c r="F41" s="69">
        <f t="shared" ref="F41:W41" si="10">IF(AND(F$22&gt;0,F$21+F$55+F$59&gt;0),E41+F32,F$22*E49)</f>
        <v>0</v>
      </c>
      <c r="G41" s="69">
        <f t="shared" si="10"/>
        <v>0</v>
      </c>
      <c r="H41" s="69">
        <f t="shared" si="10"/>
        <v>0</v>
      </c>
      <c r="I41" s="69">
        <f t="shared" si="10"/>
        <v>0</v>
      </c>
      <c r="J41" s="69">
        <f t="shared" si="10"/>
        <v>0</v>
      </c>
      <c r="K41" s="69">
        <f t="shared" si="10"/>
        <v>0</v>
      </c>
      <c r="L41" s="69">
        <f t="shared" si="10"/>
        <v>0</v>
      </c>
      <c r="M41" s="69">
        <f t="shared" si="10"/>
        <v>0</v>
      </c>
      <c r="N41" s="69">
        <f t="shared" si="10"/>
        <v>0</v>
      </c>
      <c r="O41" s="69">
        <f t="shared" si="10"/>
        <v>0</v>
      </c>
      <c r="P41" s="69">
        <f t="shared" si="10"/>
        <v>0</v>
      </c>
      <c r="Q41" s="69">
        <f t="shared" si="10"/>
        <v>0</v>
      </c>
      <c r="R41" s="69">
        <f t="shared" si="10"/>
        <v>0</v>
      </c>
      <c r="S41" s="69">
        <f t="shared" si="10"/>
        <v>0</v>
      </c>
      <c r="T41" s="69">
        <f t="shared" si="10"/>
        <v>0</v>
      </c>
      <c r="U41" s="69">
        <f t="shared" si="10"/>
        <v>0</v>
      </c>
      <c r="V41" s="69">
        <f t="shared" si="10"/>
        <v>0</v>
      </c>
      <c r="W41" s="69">
        <f t="shared" si="10"/>
        <v>0</v>
      </c>
    </row>
    <row r="42" spans="1:23" x14ac:dyDescent="0.25">
      <c r="A42" s="7" t="s">
        <v>319</v>
      </c>
      <c r="B42" s="36" t="s">
        <v>323</v>
      </c>
      <c r="C42" s="30"/>
      <c r="D42" s="67">
        <f>IF(D$22=0,0,D33/D$22)</f>
        <v>0</v>
      </c>
      <c r="E42" s="67">
        <f t="shared" ref="E42:W42" si="11">IF(E$22=0,0,E33/E$22)</f>
        <v>0</v>
      </c>
      <c r="F42" s="67">
        <f t="shared" si="11"/>
        <v>0</v>
      </c>
      <c r="G42" s="67">
        <f t="shared" si="11"/>
        <v>0</v>
      </c>
      <c r="H42" s="67">
        <f t="shared" si="11"/>
        <v>0</v>
      </c>
      <c r="I42" s="67">
        <f t="shared" si="11"/>
        <v>0</v>
      </c>
      <c r="J42" s="67">
        <f t="shared" si="11"/>
        <v>0</v>
      </c>
      <c r="K42" s="67">
        <f t="shared" si="11"/>
        <v>0</v>
      </c>
      <c r="L42" s="67">
        <f t="shared" si="11"/>
        <v>0</v>
      </c>
      <c r="M42" s="67">
        <f t="shared" si="11"/>
        <v>0</v>
      </c>
      <c r="N42" s="67">
        <f t="shared" si="11"/>
        <v>0</v>
      </c>
      <c r="O42" s="67">
        <f t="shared" si="11"/>
        <v>0</v>
      </c>
      <c r="P42" s="67">
        <f t="shared" si="11"/>
        <v>0</v>
      </c>
      <c r="Q42" s="67">
        <f t="shared" si="11"/>
        <v>0</v>
      </c>
      <c r="R42" s="67">
        <f t="shared" si="11"/>
        <v>0</v>
      </c>
      <c r="S42" s="67">
        <f t="shared" si="11"/>
        <v>0</v>
      </c>
      <c r="T42" s="67">
        <f t="shared" si="11"/>
        <v>0</v>
      </c>
      <c r="U42" s="67">
        <f t="shared" si="11"/>
        <v>0</v>
      </c>
      <c r="V42" s="67">
        <f t="shared" si="11"/>
        <v>0</v>
      </c>
      <c r="W42" s="67">
        <f t="shared" si="11"/>
        <v>0</v>
      </c>
    </row>
    <row r="43" spans="1:23" x14ac:dyDescent="0.25">
      <c r="A43" s="7" t="s">
        <v>320</v>
      </c>
      <c r="B43" s="36" t="s">
        <v>324</v>
      </c>
      <c r="C43" s="30"/>
      <c r="D43" s="67">
        <f t="shared" ref="D43:W43" si="12">IF(D$22=0,0,D34/D$22)</f>
        <v>0</v>
      </c>
      <c r="E43" s="67">
        <f t="shared" si="12"/>
        <v>0</v>
      </c>
      <c r="F43" s="67">
        <f t="shared" si="12"/>
        <v>0</v>
      </c>
      <c r="G43" s="67">
        <f t="shared" si="12"/>
        <v>0</v>
      </c>
      <c r="H43" s="67">
        <f t="shared" si="12"/>
        <v>0</v>
      </c>
      <c r="I43" s="67">
        <f t="shared" si="12"/>
        <v>0</v>
      </c>
      <c r="J43" s="67">
        <f t="shared" si="12"/>
        <v>0</v>
      </c>
      <c r="K43" s="67">
        <f t="shared" si="12"/>
        <v>0</v>
      </c>
      <c r="L43" s="67">
        <f t="shared" si="12"/>
        <v>0</v>
      </c>
      <c r="M43" s="67">
        <f t="shared" si="12"/>
        <v>0</v>
      </c>
      <c r="N43" s="67">
        <f t="shared" si="12"/>
        <v>0</v>
      </c>
      <c r="O43" s="67">
        <f t="shared" si="12"/>
        <v>0</v>
      </c>
      <c r="P43" s="67">
        <f t="shared" si="12"/>
        <v>0</v>
      </c>
      <c r="Q43" s="67">
        <f t="shared" si="12"/>
        <v>0</v>
      </c>
      <c r="R43" s="67">
        <f t="shared" si="12"/>
        <v>0</v>
      </c>
      <c r="S43" s="67">
        <f t="shared" si="12"/>
        <v>0</v>
      </c>
      <c r="T43" s="67">
        <f t="shared" si="12"/>
        <v>0</v>
      </c>
      <c r="U43" s="67">
        <f t="shared" si="12"/>
        <v>0</v>
      </c>
      <c r="V43" s="67">
        <f t="shared" si="12"/>
        <v>0</v>
      </c>
      <c r="W43" s="67">
        <f t="shared" si="12"/>
        <v>0</v>
      </c>
    </row>
    <row r="44" spans="1:23" x14ac:dyDescent="0.25">
      <c r="A44" s="7" t="s">
        <v>321</v>
      </c>
      <c r="B44" s="36" t="s">
        <v>325</v>
      </c>
      <c r="C44" s="30"/>
      <c r="D44" s="67">
        <f t="shared" ref="D44:W44" si="13">IF(D$22=0,0,D35/D$22)</f>
        <v>0</v>
      </c>
      <c r="E44" s="67">
        <f t="shared" si="13"/>
        <v>0</v>
      </c>
      <c r="F44" s="67">
        <f t="shared" si="13"/>
        <v>0</v>
      </c>
      <c r="G44" s="67">
        <f t="shared" si="13"/>
        <v>0</v>
      </c>
      <c r="H44" s="67">
        <f t="shared" si="13"/>
        <v>0</v>
      </c>
      <c r="I44" s="67">
        <f t="shared" si="13"/>
        <v>0</v>
      </c>
      <c r="J44" s="67">
        <f t="shared" si="13"/>
        <v>0</v>
      </c>
      <c r="K44" s="67">
        <f t="shared" si="13"/>
        <v>0</v>
      </c>
      <c r="L44" s="67">
        <f t="shared" si="13"/>
        <v>0</v>
      </c>
      <c r="M44" s="67">
        <f t="shared" si="13"/>
        <v>0</v>
      </c>
      <c r="N44" s="67">
        <f t="shared" si="13"/>
        <v>0</v>
      </c>
      <c r="O44" s="67">
        <f t="shared" si="13"/>
        <v>0</v>
      </c>
      <c r="P44" s="67">
        <f t="shared" si="13"/>
        <v>0</v>
      </c>
      <c r="Q44" s="67">
        <f t="shared" si="13"/>
        <v>0</v>
      </c>
      <c r="R44" s="67">
        <f t="shared" si="13"/>
        <v>0</v>
      </c>
      <c r="S44" s="67">
        <f t="shared" si="13"/>
        <v>0</v>
      </c>
      <c r="T44" s="67">
        <f t="shared" si="13"/>
        <v>0</v>
      </c>
      <c r="U44" s="67">
        <f t="shared" si="13"/>
        <v>0</v>
      </c>
      <c r="V44" s="67">
        <f t="shared" si="13"/>
        <v>0</v>
      </c>
      <c r="W44" s="67">
        <f t="shared" si="13"/>
        <v>0</v>
      </c>
    </row>
    <row r="45" spans="1:23" x14ac:dyDescent="0.25">
      <c r="A45" s="7" t="s">
        <v>322</v>
      </c>
      <c r="B45" s="36" t="s">
        <v>140</v>
      </c>
      <c r="C45" s="30"/>
      <c r="D45" s="67">
        <f>IF(D22=0,0,D36/D22)</f>
        <v>0</v>
      </c>
      <c r="E45" s="67">
        <f t="shared" ref="E45:W45" si="14">IF(E22=0,0,E36/E22)</f>
        <v>0</v>
      </c>
      <c r="F45" s="67">
        <f t="shared" si="14"/>
        <v>0</v>
      </c>
      <c r="G45" s="67">
        <f t="shared" si="14"/>
        <v>0</v>
      </c>
      <c r="H45" s="67">
        <f t="shared" si="14"/>
        <v>0</v>
      </c>
      <c r="I45" s="67">
        <f t="shared" si="14"/>
        <v>0</v>
      </c>
      <c r="J45" s="67">
        <f t="shared" si="14"/>
        <v>0</v>
      </c>
      <c r="K45" s="67">
        <f t="shared" si="14"/>
        <v>0</v>
      </c>
      <c r="L45" s="67">
        <f t="shared" si="14"/>
        <v>0</v>
      </c>
      <c r="M45" s="67">
        <f t="shared" si="14"/>
        <v>0</v>
      </c>
      <c r="N45" s="67">
        <f t="shared" si="14"/>
        <v>0</v>
      </c>
      <c r="O45" s="67">
        <f t="shared" si="14"/>
        <v>0</v>
      </c>
      <c r="P45" s="67">
        <f t="shared" si="14"/>
        <v>0</v>
      </c>
      <c r="Q45" s="67">
        <f t="shared" si="14"/>
        <v>0</v>
      </c>
      <c r="R45" s="67">
        <f t="shared" si="14"/>
        <v>0</v>
      </c>
      <c r="S45" s="67">
        <f t="shared" si="14"/>
        <v>0</v>
      </c>
      <c r="T45" s="67">
        <f t="shared" si="14"/>
        <v>0</v>
      </c>
      <c r="U45" s="67">
        <f t="shared" si="14"/>
        <v>0</v>
      </c>
      <c r="V45" s="67">
        <f t="shared" si="14"/>
        <v>0</v>
      </c>
      <c r="W45" s="67">
        <f t="shared" si="14"/>
        <v>0</v>
      </c>
    </row>
    <row r="46" spans="1:23" x14ac:dyDescent="0.25">
      <c r="A46" s="7" t="s">
        <v>238</v>
      </c>
      <c r="B46" s="36" t="s">
        <v>242</v>
      </c>
      <c r="C46" s="30"/>
      <c r="D46" s="67">
        <f>IF(D$22=0,0,D37/D$22)</f>
        <v>0</v>
      </c>
      <c r="E46" s="67">
        <f t="shared" ref="E46:W46" si="15">IF(E$22=0,0,E37/E$22)</f>
        <v>0</v>
      </c>
      <c r="F46" s="67">
        <f t="shared" si="15"/>
        <v>0</v>
      </c>
      <c r="G46" s="67">
        <f t="shared" si="15"/>
        <v>0</v>
      </c>
      <c r="H46" s="67">
        <f t="shared" si="15"/>
        <v>0</v>
      </c>
      <c r="I46" s="67">
        <f t="shared" si="15"/>
        <v>0</v>
      </c>
      <c r="J46" s="67">
        <f t="shared" si="15"/>
        <v>0</v>
      </c>
      <c r="K46" s="67">
        <f t="shared" si="15"/>
        <v>0</v>
      </c>
      <c r="L46" s="67">
        <f t="shared" si="15"/>
        <v>0</v>
      </c>
      <c r="M46" s="67">
        <f t="shared" si="15"/>
        <v>0</v>
      </c>
      <c r="N46" s="67">
        <f t="shared" si="15"/>
        <v>0</v>
      </c>
      <c r="O46" s="67">
        <f t="shared" si="15"/>
        <v>0</v>
      </c>
      <c r="P46" s="67">
        <f t="shared" si="15"/>
        <v>0</v>
      </c>
      <c r="Q46" s="67">
        <f t="shared" si="15"/>
        <v>0</v>
      </c>
      <c r="R46" s="67">
        <f t="shared" si="15"/>
        <v>0</v>
      </c>
      <c r="S46" s="67">
        <f t="shared" si="15"/>
        <v>0</v>
      </c>
      <c r="T46" s="67">
        <f t="shared" si="15"/>
        <v>0</v>
      </c>
      <c r="U46" s="67">
        <f t="shared" si="15"/>
        <v>0</v>
      </c>
      <c r="V46" s="67">
        <f t="shared" si="15"/>
        <v>0</v>
      </c>
      <c r="W46" s="67">
        <f t="shared" si="15"/>
        <v>0</v>
      </c>
    </row>
    <row r="47" spans="1:23" x14ac:dyDescent="0.25">
      <c r="A47" s="7" t="s">
        <v>239</v>
      </c>
      <c r="B47" s="36" t="s">
        <v>243</v>
      </c>
      <c r="C47" s="30"/>
      <c r="D47" s="67">
        <f>IF(D$22=0,0,D38/D$22)</f>
        <v>0</v>
      </c>
      <c r="E47" s="67">
        <f t="shared" ref="E47:W47" si="16">IF(E$22=0,0,E38/E$22)</f>
        <v>0</v>
      </c>
      <c r="F47" s="67">
        <f t="shared" si="16"/>
        <v>0</v>
      </c>
      <c r="G47" s="67">
        <f t="shared" si="16"/>
        <v>0</v>
      </c>
      <c r="H47" s="67">
        <f t="shared" si="16"/>
        <v>0</v>
      </c>
      <c r="I47" s="67">
        <f t="shared" si="16"/>
        <v>0</v>
      </c>
      <c r="J47" s="67">
        <f t="shared" si="16"/>
        <v>0</v>
      </c>
      <c r="K47" s="67">
        <f t="shared" si="16"/>
        <v>0</v>
      </c>
      <c r="L47" s="67">
        <f t="shared" si="16"/>
        <v>0</v>
      </c>
      <c r="M47" s="67">
        <f t="shared" si="16"/>
        <v>0</v>
      </c>
      <c r="N47" s="67">
        <f t="shared" si="16"/>
        <v>0</v>
      </c>
      <c r="O47" s="67">
        <f t="shared" si="16"/>
        <v>0</v>
      </c>
      <c r="P47" s="67">
        <f t="shared" si="16"/>
        <v>0</v>
      </c>
      <c r="Q47" s="67">
        <f t="shared" si="16"/>
        <v>0</v>
      </c>
      <c r="R47" s="67">
        <f t="shared" si="16"/>
        <v>0</v>
      </c>
      <c r="S47" s="67">
        <f t="shared" si="16"/>
        <v>0</v>
      </c>
      <c r="T47" s="67">
        <f t="shared" si="16"/>
        <v>0</v>
      </c>
      <c r="U47" s="67">
        <f t="shared" si="16"/>
        <v>0</v>
      </c>
      <c r="V47" s="67">
        <f t="shared" si="16"/>
        <v>0</v>
      </c>
      <c r="W47" s="67">
        <f t="shared" si="16"/>
        <v>0</v>
      </c>
    </row>
    <row r="48" spans="1:23" x14ac:dyDescent="0.25">
      <c r="A48" s="7" t="s">
        <v>240</v>
      </c>
      <c r="B48" s="36" t="s">
        <v>241</v>
      </c>
      <c r="C48" s="30"/>
      <c r="D48" s="67">
        <f>IF(D$22=0,0,D39/D$22)</f>
        <v>0</v>
      </c>
      <c r="E48" s="67">
        <f t="shared" ref="E48:W48" si="17">IF(E$22=0,0,E39/E$22)</f>
        <v>0</v>
      </c>
      <c r="F48" s="67">
        <f t="shared" si="17"/>
        <v>0</v>
      </c>
      <c r="G48" s="67">
        <f t="shared" si="17"/>
        <v>0</v>
      </c>
      <c r="H48" s="67">
        <f t="shared" si="17"/>
        <v>0</v>
      </c>
      <c r="I48" s="67">
        <f t="shared" si="17"/>
        <v>0</v>
      </c>
      <c r="J48" s="67">
        <f t="shared" si="17"/>
        <v>0</v>
      </c>
      <c r="K48" s="67">
        <f t="shared" si="17"/>
        <v>0</v>
      </c>
      <c r="L48" s="67">
        <f t="shared" si="17"/>
        <v>0</v>
      </c>
      <c r="M48" s="67">
        <f t="shared" si="17"/>
        <v>0</v>
      </c>
      <c r="N48" s="67">
        <f t="shared" si="17"/>
        <v>0</v>
      </c>
      <c r="O48" s="67">
        <f t="shared" si="17"/>
        <v>0</v>
      </c>
      <c r="P48" s="67">
        <f t="shared" si="17"/>
        <v>0</v>
      </c>
      <c r="Q48" s="67">
        <f t="shared" si="17"/>
        <v>0</v>
      </c>
      <c r="R48" s="67">
        <f t="shared" si="17"/>
        <v>0</v>
      </c>
      <c r="S48" s="67">
        <f t="shared" si="17"/>
        <v>0</v>
      </c>
      <c r="T48" s="67">
        <f t="shared" si="17"/>
        <v>0</v>
      </c>
      <c r="U48" s="67">
        <f t="shared" si="17"/>
        <v>0</v>
      </c>
      <c r="V48" s="67">
        <f t="shared" si="17"/>
        <v>0</v>
      </c>
      <c r="W48" s="67">
        <f t="shared" si="17"/>
        <v>0</v>
      </c>
    </row>
    <row r="49" spans="1:23" x14ac:dyDescent="0.25">
      <c r="A49" s="7" t="s">
        <v>139</v>
      </c>
      <c r="B49" s="36" t="s">
        <v>141</v>
      </c>
      <c r="C49" s="30"/>
      <c r="D49" s="67">
        <f>IF(D22=0,0,D41/D22)</f>
        <v>0</v>
      </c>
      <c r="E49" s="67">
        <f t="shared" ref="E49:W49" si="18">IF(E22=0,0,E41/E22)</f>
        <v>0</v>
      </c>
      <c r="F49" s="67">
        <f t="shared" si="18"/>
        <v>0</v>
      </c>
      <c r="G49" s="67">
        <f t="shared" si="18"/>
        <v>0</v>
      </c>
      <c r="H49" s="67">
        <f t="shared" si="18"/>
        <v>0</v>
      </c>
      <c r="I49" s="67">
        <f t="shared" si="18"/>
        <v>0</v>
      </c>
      <c r="J49" s="67">
        <f t="shared" si="18"/>
        <v>0</v>
      </c>
      <c r="K49" s="67">
        <f t="shared" si="18"/>
        <v>0</v>
      </c>
      <c r="L49" s="67">
        <f t="shared" si="18"/>
        <v>0</v>
      </c>
      <c r="M49" s="67">
        <f t="shared" si="18"/>
        <v>0</v>
      </c>
      <c r="N49" s="67">
        <f t="shared" si="18"/>
        <v>0</v>
      </c>
      <c r="O49" s="67">
        <f t="shared" si="18"/>
        <v>0</v>
      </c>
      <c r="P49" s="67">
        <f t="shared" si="18"/>
        <v>0</v>
      </c>
      <c r="Q49" s="67">
        <f t="shared" si="18"/>
        <v>0</v>
      </c>
      <c r="R49" s="67">
        <f t="shared" si="18"/>
        <v>0</v>
      </c>
      <c r="S49" s="67">
        <f t="shared" si="18"/>
        <v>0</v>
      </c>
      <c r="T49" s="67">
        <f t="shared" si="18"/>
        <v>0</v>
      </c>
      <c r="U49" s="67">
        <f t="shared" si="18"/>
        <v>0</v>
      </c>
      <c r="V49" s="67">
        <f t="shared" si="18"/>
        <v>0</v>
      </c>
      <c r="W49" s="67">
        <f t="shared" si="18"/>
        <v>0</v>
      </c>
    </row>
    <row r="50" spans="1:23" x14ac:dyDescent="0.25">
      <c r="A50" s="7"/>
      <c r="B50" s="36"/>
      <c r="C50" s="30"/>
      <c r="D50" s="8"/>
      <c r="E50" s="8"/>
      <c r="F50" s="8"/>
      <c r="G50" s="8"/>
      <c r="H50" s="8"/>
      <c r="I50" s="8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</row>
    <row r="51" spans="1:23" x14ac:dyDescent="0.25">
      <c r="A51" s="29" t="s">
        <v>144</v>
      </c>
      <c r="B51" s="42"/>
      <c r="C51" s="30"/>
      <c r="D51" s="30"/>
      <c r="E51" s="30"/>
      <c r="F51" s="30"/>
      <c r="G51" s="30"/>
      <c r="H51" s="30"/>
      <c r="I51" s="31"/>
      <c r="J51" s="31"/>
      <c r="K51" s="31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</row>
    <row r="52" spans="1:23" x14ac:dyDescent="0.25">
      <c r="A52" s="26" t="s">
        <v>309</v>
      </c>
      <c r="B52" s="36" t="s">
        <v>313</v>
      </c>
      <c r="C52" s="30"/>
      <c r="D52" s="30"/>
      <c r="E52" s="9">
        <f>MAX(0,D33)</f>
        <v>0</v>
      </c>
      <c r="F52" s="9">
        <f>MAX(0,E33)</f>
        <v>0</v>
      </c>
      <c r="G52" s="9">
        <f t="shared" ref="G52:W52" si="19">MAX(0,F33)</f>
        <v>0</v>
      </c>
      <c r="H52" s="9">
        <f t="shared" si="19"/>
        <v>0</v>
      </c>
      <c r="I52" s="9">
        <f t="shared" si="19"/>
        <v>0</v>
      </c>
      <c r="J52" s="9">
        <f t="shared" si="19"/>
        <v>0</v>
      </c>
      <c r="K52" s="9">
        <f t="shared" si="19"/>
        <v>0</v>
      </c>
      <c r="L52" s="9">
        <f t="shared" si="19"/>
        <v>0</v>
      </c>
      <c r="M52" s="9">
        <f t="shared" si="19"/>
        <v>0</v>
      </c>
      <c r="N52" s="9">
        <f t="shared" si="19"/>
        <v>0</v>
      </c>
      <c r="O52" s="9">
        <f t="shared" si="19"/>
        <v>0</v>
      </c>
      <c r="P52" s="9">
        <f t="shared" si="19"/>
        <v>0</v>
      </c>
      <c r="Q52" s="9">
        <f t="shared" si="19"/>
        <v>0</v>
      </c>
      <c r="R52" s="9">
        <f t="shared" si="19"/>
        <v>0</v>
      </c>
      <c r="S52" s="9">
        <f t="shared" si="19"/>
        <v>0</v>
      </c>
      <c r="T52" s="9">
        <f t="shared" si="19"/>
        <v>0</v>
      </c>
      <c r="U52" s="9">
        <f t="shared" si="19"/>
        <v>0</v>
      </c>
      <c r="V52" s="9">
        <f t="shared" si="19"/>
        <v>0</v>
      </c>
      <c r="W52" s="9">
        <f t="shared" si="19"/>
        <v>0</v>
      </c>
    </row>
    <row r="53" spans="1:23" x14ac:dyDescent="0.25">
      <c r="A53" s="26" t="s">
        <v>310</v>
      </c>
      <c r="B53" s="36" t="s">
        <v>317</v>
      </c>
      <c r="C53" s="30"/>
      <c r="D53" s="30"/>
      <c r="E53" s="30"/>
      <c r="F53" s="9">
        <f t="shared" ref="F53:W53" si="20">MAX(0,MIN(D26,E34))</f>
        <v>0</v>
      </c>
      <c r="G53" s="9">
        <f t="shared" si="20"/>
        <v>0</v>
      </c>
      <c r="H53" s="9">
        <f t="shared" si="20"/>
        <v>0</v>
      </c>
      <c r="I53" s="9">
        <f t="shared" si="20"/>
        <v>0</v>
      </c>
      <c r="J53" s="9">
        <f t="shared" si="20"/>
        <v>0</v>
      </c>
      <c r="K53" s="9">
        <f t="shared" si="20"/>
        <v>0</v>
      </c>
      <c r="L53" s="9">
        <f t="shared" si="20"/>
        <v>0</v>
      </c>
      <c r="M53" s="9">
        <f t="shared" si="20"/>
        <v>0</v>
      </c>
      <c r="N53" s="9">
        <f t="shared" si="20"/>
        <v>0</v>
      </c>
      <c r="O53" s="9">
        <f t="shared" si="20"/>
        <v>0</v>
      </c>
      <c r="P53" s="9">
        <f t="shared" si="20"/>
        <v>0</v>
      </c>
      <c r="Q53" s="9">
        <f t="shared" si="20"/>
        <v>0</v>
      </c>
      <c r="R53" s="9">
        <f t="shared" si="20"/>
        <v>0</v>
      </c>
      <c r="S53" s="9">
        <f t="shared" si="20"/>
        <v>0</v>
      </c>
      <c r="T53" s="9">
        <f t="shared" si="20"/>
        <v>0</v>
      </c>
      <c r="U53" s="9">
        <f t="shared" si="20"/>
        <v>0</v>
      </c>
      <c r="V53" s="9">
        <f t="shared" si="20"/>
        <v>0</v>
      </c>
      <c r="W53" s="9">
        <f t="shared" si="20"/>
        <v>0</v>
      </c>
    </row>
    <row r="54" spans="1:23" x14ac:dyDescent="0.25">
      <c r="A54" s="26" t="s">
        <v>311</v>
      </c>
      <c r="B54" s="36" t="s">
        <v>318</v>
      </c>
      <c r="C54" s="30"/>
      <c r="D54" s="30"/>
      <c r="E54" s="30"/>
      <c r="F54" s="30"/>
      <c r="G54" s="30"/>
      <c r="H54" s="9">
        <f t="shared" ref="H54:W54" si="21">MAX(0,MIN(D27,G35))</f>
        <v>0</v>
      </c>
      <c r="I54" s="9">
        <f t="shared" si="21"/>
        <v>0</v>
      </c>
      <c r="J54" s="9">
        <f t="shared" si="21"/>
        <v>0</v>
      </c>
      <c r="K54" s="9">
        <f t="shared" si="21"/>
        <v>0</v>
      </c>
      <c r="L54" s="9">
        <f t="shared" si="21"/>
        <v>0</v>
      </c>
      <c r="M54" s="9">
        <f t="shared" si="21"/>
        <v>0</v>
      </c>
      <c r="N54" s="9">
        <f t="shared" si="21"/>
        <v>0</v>
      </c>
      <c r="O54" s="9">
        <f t="shared" si="21"/>
        <v>0</v>
      </c>
      <c r="P54" s="9">
        <f t="shared" si="21"/>
        <v>0</v>
      </c>
      <c r="Q54" s="9">
        <f t="shared" si="21"/>
        <v>0</v>
      </c>
      <c r="R54" s="9">
        <f t="shared" si="21"/>
        <v>0</v>
      </c>
      <c r="S54" s="9">
        <f t="shared" si="21"/>
        <v>0</v>
      </c>
      <c r="T54" s="9">
        <f t="shared" si="21"/>
        <v>0</v>
      </c>
      <c r="U54" s="9">
        <f t="shared" si="21"/>
        <v>0</v>
      </c>
      <c r="V54" s="9">
        <f t="shared" si="21"/>
        <v>0</v>
      </c>
      <c r="W54" s="9">
        <f t="shared" si="21"/>
        <v>0</v>
      </c>
    </row>
    <row r="55" spans="1:23" x14ac:dyDescent="0.25">
      <c r="A55" s="26" t="s">
        <v>303</v>
      </c>
      <c r="B55" s="36" t="s">
        <v>312</v>
      </c>
      <c r="C55" s="30"/>
      <c r="D55" s="46"/>
      <c r="E55" s="9">
        <f>SUM(E52:E54)</f>
        <v>0</v>
      </c>
      <c r="F55" s="9">
        <f t="shared" ref="F55:W55" si="22">SUM(F52:F54)</f>
        <v>0</v>
      </c>
      <c r="G55" s="9">
        <f t="shared" si="22"/>
        <v>0</v>
      </c>
      <c r="H55" s="9">
        <f t="shared" si="22"/>
        <v>0</v>
      </c>
      <c r="I55" s="9">
        <f t="shared" si="22"/>
        <v>0</v>
      </c>
      <c r="J55" s="9">
        <f t="shared" si="22"/>
        <v>0</v>
      </c>
      <c r="K55" s="9">
        <f t="shared" si="22"/>
        <v>0</v>
      </c>
      <c r="L55" s="9">
        <f t="shared" si="22"/>
        <v>0</v>
      </c>
      <c r="M55" s="9">
        <f t="shared" si="22"/>
        <v>0</v>
      </c>
      <c r="N55" s="9">
        <f t="shared" si="22"/>
        <v>0</v>
      </c>
      <c r="O55" s="9">
        <f t="shared" si="22"/>
        <v>0</v>
      </c>
      <c r="P55" s="9">
        <f t="shared" si="22"/>
        <v>0</v>
      </c>
      <c r="Q55" s="9">
        <f t="shared" si="22"/>
        <v>0</v>
      </c>
      <c r="R55" s="9">
        <f t="shared" si="22"/>
        <v>0</v>
      </c>
      <c r="S55" s="9">
        <f t="shared" si="22"/>
        <v>0</v>
      </c>
      <c r="T55" s="9">
        <f t="shared" si="22"/>
        <v>0</v>
      </c>
      <c r="U55" s="9">
        <f t="shared" si="22"/>
        <v>0</v>
      </c>
      <c r="V55" s="9">
        <f t="shared" si="22"/>
        <v>0</v>
      </c>
      <c r="W55" s="9">
        <f t="shared" si="22"/>
        <v>0</v>
      </c>
    </row>
    <row r="56" spans="1:23" x14ac:dyDescent="0.25">
      <c r="A56" s="26" t="s">
        <v>126</v>
      </c>
      <c r="B56" s="36" t="s">
        <v>314</v>
      </c>
      <c r="C56" s="30"/>
      <c r="D56" s="46"/>
      <c r="E56" s="46"/>
      <c r="F56" s="46"/>
      <c r="G56" s="46"/>
      <c r="H56" s="46"/>
      <c r="I56" s="46"/>
      <c r="J56" s="46"/>
      <c r="K56" s="46"/>
      <c r="L56" s="9">
        <f>IF(K37&lt;0,0,MIN(D29,K37))</f>
        <v>0</v>
      </c>
      <c r="M56" s="9">
        <f>IF(L37&lt;0,0,MIN(E29,L37))</f>
        <v>0</v>
      </c>
      <c r="N56" s="9">
        <f>IF(M37&lt;0,0,MIN(F29,M37))</f>
        <v>0</v>
      </c>
      <c r="O56" s="9">
        <f t="shared" ref="O56:W56" si="23">IF(N37&lt;0,0,MIN(G29,N37))</f>
        <v>0</v>
      </c>
      <c r="P56" s="9">
        <f t="shared" si="23"/>
        <v>0</v>
      </c>
      <c r="Q56" s="9">
        <f t="shared" si="23"/>
        <v>0</v>
      </c>
      <c r="R56" s="9">
        <f t="shared" si="23"/>
        <v>0</v>
      </c>
      <c r="S56" s="9">
        <f t="shared" si="23"/>
        <v>0</v>
      </c>
      <c r="T56" s="9">
        <f t="shared" si="23"/>
        <v>0</v>
      </c>
      <c r="U56" s="9">
        <f t="shared" si="23"/>
        <v>0</v>
      </c>
      <c r="V56" s="9">
        <f t="shared" si="23"/>
        <v>0</v>
      </c>
      <c r="W56" s="9">
        <f t="shared" si="23"/>
        <v>0</v>
      </c>
    </row>
    <row r="57" spans="1:23" x14ac:dyDescent="0.25">
      <c r="A57" s="7" t="s">
        <v>127</v>
      </c>
      <c r="B57" s="36" t="s">
        <v>315</v>
      </c>
      <c r="C57" s="30"/>
      <c r="D57" s="46"/>
      <c r="E57" s="46"/>
      <c r="F57" s="46"/>
      <c r="G57" s="46"/>
      <c r="H57" s="46"/>
      <c r="I57" s="31"/>
      <c r="J57" s="31"/>
      <c r="K57" s="31"/>
      <c r="L57" s="46"/>
      <c r="M57" s="31"/>
      <c r="N57" s="31"/>
      <c r="O57" s="31"/>
      <c r="P57" s="9">
        <f t="shared" ref="P57:W57" si="24">IF(O38&lt;0,0,MIN(D30,O38))</f>
        <v>0</v>
      </c>
      <c r="Q57" s="9">
        <f t="shared" si="24"/>
        <v>0</v>
      </c>
      <c r="R57" s="9">
        <f t="shared" si="24"/>
        <v>0</v>
      </c>
      <c r="S57" s="9">
        <f t="shared" si="24"/>
        <v>0</v>
      </c>
      <c r="T57" s="9">
        <f t="shared" si="24"/>
        <v>0</v>
      </c>
      <c r="U57" s="9">
        <f t="shared" si="24"/>
        <v>0</v>
      </c>
      <c r="V57" s="9">
        <f t="shared" si="24"/>
        <v>0</v>
      </c>
      <c r="W57" s="9">
        <f t="shared" si="24"/>
        <v>0</v>
      </c>
    </row>
    <row r="58" spans="1:23" x14ac:dyDescent="0.25">
      <c r="A58" s="7" t="s">
        <v>128</v>
      </c>
      <c r="B58" s="36" t="s">
        <v>316</v>
      </c>
      <c r="C58" s="30"/>
      <c r="D58" s="46"/>
      <c r="E58" s="46"/>
      <c r="F58" s="46"/>
      <c r="G58" s="46"/>
      <c r="H58" s="46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</row>
    <row r="59" spans="1:23" x14ac:dyDescent="0.25">
      <c r="A59" s="7" t="s">
        <v>125</v>
      </c>
      <c r="B59" s="36" t="s">
        <v>134</v>
      </c>
      <c r="C59" s="30"/>
      <c r="D59" s="46"/>
      <c r="E59" s="46"/>
      <c r="F59" s="46"/>
      <c r="G59" s="46"/>
      <c r="H59" s="46"/>
      <c r="I59" s="31"/>
      <c r="J59" s="31"/>
      <c r="K59" s="31"/>
      <c r="L59" s="9">
        <f>SUM(L56:L58)</f>
        <v>0</v>
      </c>
      <c r="M59" s="9">
        <f t="shared" ref="M59:W59" si="25">SUM(M56:M58)</f>
        <v>0</v>
      </c>
      <c r="N59" s="9">
        <f t="shared" si="25"/>
        <v>0</v>
      </c>
      <c r="O59" s="9">
        <f t="shared" si="25"/>
        <v>0</v>
      </c>
      <c r="P59" s="9">
        <f t="shared" si="25"/>
        <v>0</v>
      </c>
      <c r="Q59" s="9">
        <f t="shared" si="25"/>
        <v>0</v>
      </c>
      <c r="R59" s="9">
        <f t="shared" si="25"/>
        <v>0</v>
      </c>
      <c r="S59" s="9">
        <f t="shared" si="25"/>
        <v>0</v>
      </c>
      <c r="T59" s="9">
        <f t="shared" si="25"/>
        <v>0</v>
      </c>
      <c r="U59" s="9">
        <f t="shared" si="25"/>
        <v>0</v>
      </c>
      <c r="V59" s="9">
        <f t="shared" si="25"/>
        <v>0</v>
      </c>
      <c r="W59" s="9">
        <f t="shared" si="25"/>
        <v>0</v>
      </c>
    </row>
    <row r="60" spans="1:23" x14ac:dyDescent="0.25">
      <c r="A60" s="29" t="s">
        <v>145</v>
      </c>
      <c r="B60" s="45"/>
      <c r="C60" s="30"/>
      <c r="D60" s="66"/>
      <c r="E60" s="66"/>
      <c r="F60" s="66"/>
      <c r="G60" s="66"/>
      <c r="H60" s="66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</row>
    <row r="61" spans="1:23" x14ac:dyDescent="0.25">
      <c r="A61" s="7" t="s">
        <v>326</v>
      </c>
      <c r="B61" s="7" t="s">
        <v>327</v>
      </c>
      <c r="C61" s="30"/>
      <c r="D61" s="32">
        <f>D11</f>
        <v>2.7</v>
      </c>
      <c r="E61" s="32">
        <f t="shared" ref="E61:W61" si="26">E11</f>
        <v>2.7</v>
      </c>
      <c r="F61" s="32">
        <f t="shared" si="26"/>
        <v>2.7</v>
      </c>
      <c r="G61" s="32">
        <f t="shared" si="26"/>
        <v>2.7</v>
      </c>
      <c r="H61" s="32">
        <f t="shared" si="26"/>
        <v>2.7</v>
      </c>
      <c r="I61" s="32">
        <f t="shared" si="26"/>
        <v>2.7</v>
      </c>
      <c r="J61" s="32">
        <f t="shared" si="26"/>
        <v>2.7</v>
      </c>
      <c r="K61" s="32">
        <f t="shared" si="26"/>
        <v>2.7</v>
      </c>
      <c r="L61" s="32">
        <f t="shared" si="26"/>
        <v>2.7</v>
      </c>
      <c r="M61" s="32">
        <f t="shared" si="26"/>
        <v>2.7</v>
      </c>
      <c r="N61" s="32">
        <f t="shared" si="26"/>
        <v>2.7</v>
      </c>
      <c r="O61" s="32">
        <f t="shared" si="26"/>
        <v>2.7</v>
      </c>
      <c r="P61" s="32">
        <f t="shared" si="26"/>
        <v>2.7</v>
      </c>
      <c r="Q61" s="32">
        <f t="shared" si="26"/>
        <v>2.7</v>
      </c>
      <c r="R61" s="32">
        <f t="shared" si="26"/>
        <v>2.7</v>
      </c>
      <c r="S61" s="32">
        <f t="shared" si="26"/>
        <v>2.7</v>
      </c>
      <c r="T61" s="32">
        <f t="shared" si="26"/>
        <v>2.7</v>
      </c>
      <c r="U61" s="32">
        <f t="shared" si="26"/>
        <v>2.7</v>
      </c>
      <c r="V61" s="32">
        <f t="shared" si="26"/>
        <v>2.7</v>
      </c>
      <c r="W61" s="32">
        <f t="shared" si="26"/>
        <v>2.7</v>
      </c>
    </row>
    <row r="62" spans="1:23" x14ac:dyDescent="0.25">
      <c r="A62" s="7" t="s">
        <v>328</v>
      </c>
      <c r="B62" s="7" t="s">
        <v>330</v>
      </c>
      <c r="C62" s="30"/>
      <c r="D62" s="32">
        <f>D11</f>
        <v>2.7</v>
      </c>
      <c r="E62" s="32">
        <f>IF(SUM(D26:E26)&gt;0, SUMPRODUCT(D26:E26,D$11:E$11)/SUM(D26:E26), E$11)</f>
        <v>2.7</v>
      </c>
      <c r="F62" s="32">
        <f t="shared" ref="F62:W62" si="27">IF(SUM(E26:F26)&gt;0, SUMPRODUCT(E26:F26,E$11:F$11)/SUM(E26:F26), F$11)</f>
        <v>2.7</v>
      </c>
      <c r="G62" s="32">
        <f t="shared" si="27"/>
        <v>2.7</v>
      </c>
      <c r="H62" s="32">
        <f t="shared" si="27"/>
        <v>2.7</v>
      </c>
      <c r="I62" s="32">
        <f t="shared" si="27"/>
        <v>2.7</v>
      </c>
      <c r="J62" s="32">
        <f>IF(SUM(I26:J26)&gt;0, SUMPRODUCT(I26:J26,I$11:J$11)/SUM(I26:J26), J$11)</f>
        <v>2.7</v>
      </c>
      <c r="K62" s="32">
        <f t="shared" si="27"/>
        <v>2.7</v>
      </c>
      <c r="L62" s="32">
        <f t="shared" si="27"/>
        <v>2.7</v>
      </c>
      <c r="M62" s="32">
        <f t="shared" si="27"/>
        <v>2.7</v>
      </c>
      <c r="N62" s="32">
        <f t="shared" si="27"/>
        <v>2.7</v>
      </c>
      <c r="O62" s="32">
        <f t="shared" si="27"/>
        <v>2.7</v>
      </c>
      <c r="P62" s="32">
        <f t="shared" si="27"/>
        <v>2.7</v>
      </c>
      <c r="Q62" s="32">
        <f t="shared" si="27"/>
        <v>2.7</v>
      </c>
      <c r="R62" s="32">
        <f t="shared" si="27"/>
        <v>2.7</v>
      </c>
      <c r="S62" s="32">
        <f t="shared" si="27"/>
        <v>2.7</v>
      </c>
      <c r="T62" s="32">
        <f t="shared" si="27"/>
        <v>2.7</v>
      </c>
      <c r="U62" s="32">
        <f t="shared" si="27"/>
        <v>2.7</v>
      </c>
      <c r="V62" s="32">
        <f t="shared" si="27"/>
        <v>2.7</v>
      </c>
      <c r="W62" s="32">
        <f t="shared" si="27"/>
        <v>2.7</v>
      </c>
    </row>
    <row r="63" spans="1:23" x14ac:dyDescent="0.25">
      <c r="A63" s="7" t="s">
        <v>329</v>
      </c>
      <c r="B63" s="7" t="s">
        <v>331</v>
      </c>
      <c r="C63" s="30"/>
      <c r="D63" s="32">
        <f>D11</f>
        <v>2.7</v>
      </c>
      <c r="E63" s="32">
        <f>IF(SUM(D27:E27)&gt;0, SUMPRODUCT(D27:E27,D$11:E$11)/SUM(D27:E27), E$11)</f>
        <v>2.7</v>
      </c>
      <c r="F63" s="32">
        <f>IF(SUM(D27:F27)&gt;0, SUMPRODUCT(D27:F27,D$11:F$11)/SUM(D27:F27), F$11)</f>
        <v>2.7</v>
      </c>
      <c r="G63" s="32">
        <f>IF(SUM(D27:G27)&gt;0, SUMPRODUCT(D27:G27,D$11:G$11)/SUM(D27:G27), G$11)</f>
        <v>2.7</v>
      </c>
      <c r="H63" s="32">
        <f t="shared" ref="H63:W63" si="28">IF(SUM(E27:H27)&gt;0, SUMPRODUCT(E27:H27,E$11:H$11)/SUM(E27:H27), H$11)</f>
        <v>2.7</v>
      </c>
      <c r="I63" s="32">
        <f t="shared" si="28"/>
        <v>2.7</v>
      </c>
      <c r="J63" s="32">
        <f t="shared" si="28"/>
        <v>2.7</v>
      </c>
      <c r="K63" s="32">
        <f t="shared" si="28"/>
        <v>2.7</v>
      </c>
      <c r="L63" s="32">
        <f t="shared" si="28"/>
        <v>2.7</v>
      </c>
      <c r="M63" s="32">
        <f t="shared" si="28"/>
        <v>2.7</v>
      </c>
      <c r="N63" s="32">
        <f t="shared" si="28"/>
        <v>2.7</v>
      </c>
      <c r="O63" s="32">
        <f t="shared" si="28"/>
        <v>2.7</v>
      </c>
      <c r="P63" s="32">
        <f t="shared" si="28"/>
        <v>2.7</v>
      </c>
      <c r="Q63" s="32">
        <f t="shared" si="28"/>
        <v>2.7</v>
      </c>
      <c r="R63" s="32">
        <f t="shared" si="28"/>
        <v>2.7</v>
      </c>
      <c r="S63" s="32">
        <f t="shared" si="28"/>
        <v>2.7</v>
      </c>
      <c r="T63" s="32">
        <f t="shared" si="28"/>
        <v>2.7</v>
      </c>
      <c r="U63" s="32">
        <f t="shared" si="28"/>
        <v>2.7</v>
      </c>
      <c r="V63" s="32">
        <f>IF(SUM(S27:V27)&gt;0, SUMPRODUCT(S27:V27,S$11:V$11)/SUM(S27:V27), V$11)</f>
        <v>2.7</v>
      </c>
      <c r="W63" s="32">
        <f t="shared" si="28"/>
        <v>2.7</v>
      </c>
    </row>
    <row r="64" spans="1:23" ht="26.25" x14ac:dyDescent="0.25">
      <c r="A64" s="7" t="s">
        <v>246</v>
      </c>
      <c r="B64" s="36" t="s">
        <v>248</v>
      </c>
      <c r="C64" s="30"/>
      <c r="D64" s="32">
        <f>D13</f>
        <v>2.82</v>
      </c>
      <c r="E64" s="32">
        <f>IF(SUM(D29:E29)&gt;0, SUMPRODUCT(D29:E29,D$13:E$13)/SUM(D29:E29), E$13)</f>
        <v>2.82</v>
      </c>
      <c r="F64" s="32">
        <f>IF(SUM(D29:F29)&gt;0, SUMPRODUCT(D29:F29,D$13:F$13)/SUM(D29:F29), F$13)</f>
        <v>2.82</v>
      </c>
      <c r="G64" s="32">
        <f>IF(SUM(D29:G29)&gt;0, SUMPRODUCT(D29:G29,D$13:G$13)/SUM(D29:G29), G$13)</f>
        <v>2.82</v>
      </c>
      <c r="H64" s="32">
        <f>IF(SUM(D29:H29)&gt;0, SUMPRODUCT(D29:H29,D$13:H$13)/SUM(D29:H29), H$13)</f>
        <v>2.82</v>
      </c>
      <c r="I64" s="32">
        <f>IF(SUM(D29:I29)&gt;0, SUMPRODUCT(D29:I29,D$13:I$13)/SUM(D29:I29), I$13)</f>
        <v>2.82</v>
      </c>
      <c r="J64" s="32">
        <f>IF(SUM(D29:J29)&gt;0, SUMPRODUCT(D29:J29,D$13:J$13)/SUM(D29:J29), J$13)</f>
        <v>2.82</v>
      </c>
      <c r="K64" s="32">
        <f>IF(SUM(D28:K28)&gt;0, SUMPRODUCT(D28:K28,D$13:K$13)/SUM(D28:K28), K$13)</f>
        <v>2.82</v>
      </c>
      <c r="L64" s="32">
        <f t="shared" ref="L64:W64" si="29">IF(SUM(E28:L28)&gt;0, SUMPRODUCT(E28:L28,E$13:L$13)/SUM(E28:L28), L$13)</f>
        <v>2.82</v>
      </c>
      <c r="M64" s="32">
        <f t="shared" si="29"/>
        <v>2.82</v>
      </c>
      <c r="N64" s="32">
        <f t="shared" si="29"/>
        <v>2.82</v>
      </c>
      <c r="O64" s="32">
        <f t="shared" si="29"/>
        <v>2.82</v>
      </c>
      <c r="P64" s="32">
        <f t="shared" si="29"/>
        <v>2.82</v>
      </c>
      <c r="Q64" s="32">
        <f t="shared" si="29"/>
        <v>2.82</v>
      </c>
      <c r="R64" s="32">
        <f t="shared" si="29"/>
        <v>2.82</v>
      </c>
      <c r="S64" s="32">
        <f t="shared" si="29"/>
        <v>2.82</v>
      </c>
      <c r="T64" s="32">
        <f t="shared" si="29"/>
        <v>2.82</v>
      </c>
      <c r="U64" s="32">
        <f t="shared" si="29"/>
        <v>2.82</v>
      </c>
      <c r="V64" s="32">
        <f t="shared" si="29"/>
        <v>2.82</v>
      </c>
      <c r="W64" s="32">
        <f t="shared" si="29"/>
        <v>2.82</v>
      </c>
    </row>
    <row r="65" spans="1:23" ht="26.25" x14ac:dyDescent="0.25">
      <c r="A65" s="7" t="s">
        <v>247</v>
      </c>
      <c r="B65" s="36" t="s">
        <v>249</v>
      </c>
      <c r="C65" s="30"/>
      <c r="D65" s="32">
        <f>D14</f>
        <v>2.8679999999999999</v>
      </c>
      <c r="E65" s="32">
        <f>IF(SUM(D30:E30)&gt;0, SUMPRODUCT(D30:E30,D$14:E$14)/SUM(D30:E30), E$14)</f>
        <v>2.8679999999999999</v>
      </c>
      <c r="F65" s="32">
        <f>IF(SUM(D30:F30)&gt;0, SUMPRODUCT(D30:F30,D$14:F$14)/SUM(D30:F30), F$14)</f>
        <v>2.8679999999999999</v>
      </c>
      <c r="G65" s="32">
        <f>IF(SUM(D30:G30)&gt;0, SUMPRODUCT(D30:G30,D$14:G$14)/SUM(D30:G30), G$14)</f>
        <v>2.8679999999999999</v>
      </c>
      <c r="H65" s="32">
        <f>IF(SUM(D30:H30)&gt;0, SUMPRODUCT(D30:H30,D$14:H$14)/SUM(D30:H30), H$14)</f>
        <v>2.8679999999999999</v>
      </c>
      <c r="I65" s="32">
        <f>IF(SUM(D30:I30)&gt;0, SUMPRODUCT(D30:I30,D$14:I$14)/SUM(D30:I30), I$14)</f>
        <v>2.8679999999999999</v>
      </c>
      <c r="J65" s="32">
        <f>IF(SUM(D30:J30)&gt;0, SUMPRODUCT(D30:J30,D$14:J$14)/SUM(D30:J30), J$14)</f>
        <v>2.8679999999999999</v>
      </c>
      <c r="K65" s="32">
        <f>IF(SUM(D30:K30)&gt;0, SUMPRODUCT(D30:K30,D$14:K$14)/SUM(D30:K30), K$14)</f>
        <v>2.8679999999999999</v>
      </c>
      <c r="L65" s="32">
        <f>IF(SUM(D30:L30)&gt;0, SUMPRODUCT(D30:L30,D$14:L$14)/SUM(D30:L30), L$14)</f>
        <v>2.8679999999999999</v>
      </c>
      <c r="M65" s="32">
        <f>IF(SUM(D30:M30)&gt;0, SUMPRODUCT(D30:M30,D$14:M$14)/SUM(D30:M30), M$14)</f>
        <v>2.8679999999999999</v>
      </c>
      <c r="N65" s="32">
        <f>IF(SUM(D30:N30)&gt;0, SUMPRODUCT(D30:N30,D$14:N$14)/SUM(D30:N30), N$14)</f>
        <v>2.8679999999999999</v>
      </c>
      <c r="O65" s="32">
        <f>IF(SUM(D30:O30)&gt;0, SUMPRODUCT(D30:O30,D$14:O$14)/SUM(D30:O30), O$14)</f>
        <v>2.8679999999999999</v>
      </c>
      <c r="P65" s="32">
        <f>IF(SUM(E30:P30)&gt;0, SUMPRODUCT(E30:P30,E$14:P$14)/SUM(E30:P30), P$14)</f>
        <v>2.8679999999999999</v>
      </c>
      <c r="Q65" s="32">
        <f t="shared" ref="Q65:V65" si="30">IF(SUM(F30:Q30)&gt;0, SUMPRODUCT(F30:Q30,F$14:Q$14)/SUM(F30:Q30), Q$14)</f>
        <v>2.8679999999999999</v>
      </c>
      <c r="R65" s="32">
        <f t="shared" si="30"/>
        <v>2.8679999999999999</v>
      </c>
      <c r="S65" s="32">
        <f t="shared" si="30"/>
        <v>2.8679999999999999</v>
      </c>
      <c r="T65" s="32">
        <f t="shared" si="30"/>
        <v>2.8679999999999999</v>
      </c>
      <c r="U65" s="32">
        <f t="shared" si="30"/>
        <v>2.8679999999999999</v>
      </c>
      <c r="V65" s="32">
        <f t="shared" si="30"/>
        <v>2.8679999999999999</v>
      </c>
      <c r="W65" s="32">
        <f>IF(SUM(L30:W30)&gt;0, SUMPRODUCT(L30:W30,L$14:W$14)/SUM(L30:W30), W$14)</f>
        <v>2.8679999999999999</v>
      </c>
    </row>
    <row r="66" spans="1:23" x14ac:dyDescent="0.25">
      <c r="A66" s="26" t="s">
        <v>244</v>
      </c>
      <c r="B66" s="36" t="s">
        <v>148</v>
      </c>
      <c r="C66" s="30"/>
      <c r="D66" s="70">
        <f>IF(AND(D31&gt;0,D39&gt;0),MIN(MAX(0,D31/D39),1),0)</f>
        <v>0</v>
      </c>
      <c r="E66" s="70">
        <f>IF(AND(E31&gt;0,E39&gt;0),MIN(MAX(0,E31/E39),1),0)</f>
        <v>0</v>
      </c>
      <c r="F66" s="70">
        <f t="shared" ref="F66:W66" si="31">IF(AND(F31&gt;0,F39&gt;0),MIN(MAX(0,F31/F39),1),0)</f>
        <v>0</v>
      </c>
      <c r="G66" s="70">
        <f t="shared" si="31"/>
        <v>0</v>
      </c>
      <c r="H66" s="70">
        <f t="shared" si="31"/>
        <v>0</v>
      </c>
      <c r="I66" s="70">
        <f t="shared" si="31"/>
        <v>0</v>
      </c>
      <c r="J66" s="70">
        <f t="shared" si="31"/>
        <v>0</v>
      </c>
      <c r="K66" s="70">
        <f t="shared" si="31"/>
        <v>0</v>
      </c>
      <c r="L66" s="70">
        <f t="shared" si="31"/>
        <v>0</v>
      </c>
      <c r="M66" s="70">
        <f t="shared" si="31"/>
        <v>0</v>
      </c>
      <c r="N66" s="70">
        <f t="shared" si="31"/>
        <v>0</v>
      </c>
      <c r="O66" s="70">
        <f t="shared" si="31"/>
        <v>0</v>
      </c>
      <c r="P66" s="70">
        <f t="shared" si="31"/>
        <v>0</v>
      </c>
      <c r="Q66" s="70">
        <f t="shared" si="31"/>
        <v>0</v>
      </c>
      <c r="R66" s="70">
        <f t="shared" si="31"/>
        <v>0</v>
      </c>
      <c r="S66" s="70">
        <f t="shared" si="31"/>
        <v>0</v>
      </c>
      <c r="T66" s="70">
        <f t="shared" si="31"/>
        <v>0</v>
      </c>
      <c r="U66" s="70">
        <f t="shared" si="31"/>
        <v>0</v>
      </c>
      <c r="V66" s="70">
        <f t="shared" si="31"/>
        <v>0</v>
      </c>
      <c r="W66" s="70">
        <f t="shared" si="31"/>
        <v>0</v>
      </c>
    </row>
    <row r="67" spans="1:23" x14ac:dyDescent="0.25">
      <c r="A67" s="26" t="s">
        <v>147</v>
      </c>
      <c r="B67" s="36" t="s">
        <v>148</v>
      </c>
      <c r="C67" s="30"/>
      <c r="D67" s="70">
        <f>IF(AND(D32&gt;0,D41&gt;0),MIN(MAX(0,D32/D41),1),0)</f>
        <v>0</v>
      </c>
      <c r="E67" s="70">
        <f t="shared" ref="E67:W67" si="32">IF(AND(E32&gt;0,E41&gt;0),MIN(MAX(0,E32/E41),1),0)</f>
        <v>0</v>
      </c>
      <c r="F67" s="70">
        <f t="shared" si="32"/>
        <v>0</v>
      </c>
      <c r="G67" s="70">
        <f t="shared" si="32"/>
        <v>0</v>
      </c>
      <c r="H67" s="70">
        <f t="shared" si="32"/>
        <v>0</v>
      </c>
      <c r="I67" s="70">
        <f t="shared" si="32"/>
        <v>0</v>
      </c>
      <c r="J67" s="70">
        <f t="shared" si="32"/>
        <v>0</v>
      </c>
      <c r="K67" s="70">
        <f t="shared" si="32"/>
        <v>0</v>
      </c>
      <c r="L67" s="70">
        <f t="shared" si="32"/>
        <v>0</v>
      </c>
      <c r="M67" s="70">
        <f t="shared" si="32"/>
        <v>0</v>
      </c>
      <c r="N67" s="70">
        <f t="shared" si="32"/>
        <v>0</v>
      </c>
      <c r="O67" s="70">
        <f t="shared" si="32"/>
        <v>0</v>
      </c>
      <c r="P67" s="70">
        <f t="shared" si="32"/>
        <v>0</v>
      </c>
      <c r="Q67" s="70">
        <f t="shared" si="32"/>
        <v>0</v>
      </c>
      <c r="R67" s="70">
        <f t="shared" si="32"/>
        <v>0</v>
      </c>
      <c r="S67" s="70">
        <f t="shared" si="32"/>
        <v>0</v>
      </c>
      <c r="T67" s="70">
        <f t="shared" si="32"/>
        <v>0</v>
      </c>
      <c r="U67" s="70">
        <f t="shared" si="32"/>
        <v>0</v>
      </c>
      <c r="V67" s="70">
        <f t="shared" si="32"/>
        <v>0</v>
      </c>
      <c r="W67" s="70">
        <f t="shared" si="32"/>
        <v>0</v>
      </c>
    </row>
    <row r="68" spans="1:23" ht="26.25" x14ac:dyDescent="0.25">
      <c r="A68" s="26" t="s">
        <v>250</v>
      </c>
      <c r="B68" s="36" t="s">
        <v>146</v>
      </c>
      <c r="C68" s="30"/>
      <c r="D68" s="32">
        <f>IF(D39&gt;0,D66*D15+(1-D66)*C68,D15)</f>
        <v>2.996</v>
      </c>
      <c r="E68" s="32">
        <f t="shared" ref="E68:W68" si="33">IF(E39&gt;0,E66*E15+(1-E66)*D68,E15)</f>
        <v>2.996</v>
      </c>
      <c r="F68" s="32">
        <f t="shared" si="33"/>
        <v>2.996</v>
      </c>
      <c r="G68" s="32">
        <f t="shared" si="33"/>
        <v>2.996</v>
      </c>
      <c r="H68" s="32">
        <f t="shared" si="33"/>
        <v>2.996</v>
      </c>
      <c r="I68" s="32">
        <f t="shared" si="33"/>
        <v>2.996</v>
      </c>
      <c r="J68" s="32">
        <f t="shared" si="33"/>
        <v>2.996</v>
      </c>
      <c r="K68" s="32">
        <f t="shared" si="33"/>
        <v>2.996</v>
      </c>
      <c r="L68" s="32">
        <f t="shared" si="33"/>
        <v>2.996</v>
      </c>
      <c r="M68" s="32">
        <f t="shared" si="33"/>
        <v>2.996</v>
      </c>
      <c r="N68" s="32">
        <f t="shared" si="33"/>
        <v>2.996</v>
      </c>
      <c r="O68" s="32">
        <f t="shared" si="33"/>
        <v>2.996</v>
      </c>
      <c r="P68" s="32">
        <f t="shared" si="33"/>
        <v>2.996</v>
      </c>
      <c r="Q68" s="32">
        <f t="shared" si="33"/>
        <v>2.996</v>
      </c>
      <c r="R68" s="32">
        <f t="shared" si="33"/>
        <v>2.996</v>
      </c>
      <c r="S68" s="32">
        <f t="shared" si="33"/>
        <v>2.996</v>
      </c>
      <c r="T68" s="32">
        <f t="shared" si="33"/>
        <v>2.996</v>
      </c>
      <c r="U68" s="32">
        <f t="shared" si="33"/>
        <v>2.996</v>
      </c>
      <c r="V68" s="32">
        <f t="shared" si="33"/>
        <v>2.996</v>
      </c>
      <c r="W68" s="32">
        <f t="shared" si="33"/>
        <v>2.996</v>
      </c>
    </row>
    <row r="69" spans="1:23" ht="26.25" x14ac:dyDescent="0.25">
      <c r="A69" s="26" t="s">
        <v>53</v>
      </c>
      <c r="B69" s="36" t="s">
        <v>146</v>
      </c>
      <c r="C69" s="30"/>
      <c r="D69" s="32">
        <f>IF(D41&gt;0,D67*D12+(1-D67)*C69,D12)</f>
        <v>3.75</v>
      </c>
      <c r="E69" s="32">
        <f t="shared" ref="E69:W69" si="34">IF(E41&gt;0,E67*E12+(1-E67)*D69,E12)</f>
        <v>3.75</v>
      </c>
      <c r="F69" s="32">
        <f t="shared" si="34"/>
        <v>3.75</v>
      </c>
      <c r="G69" s="32">
        <f t="shared" si="34"/>
        <v>3.75</v>
      </c>
      <c r="H69" s="32">
        <f t="shared" si="34"/>
        <v>3.75</v>
      </c>
      <c r="I69" s="32">
        <f t="shared" si="34"/>
        <v>3.75</v>
      </c>
      <c r="J69" s="32">
        <f t="shared" si="34"/>
        <v>3.75</v>
      </c>
      <c r="K69" s="32">
        <f t="shared" si="34"/>
        <v>3.75</v>
      </c>
      <c r="L69" s="32">
        <f t="shared" si="34"/>
        <v>3.75</v>
      </c>
      <c r="M69" s="32">
        <f t="shared" si="34"/>
        <v>3.75</v>
      </c>
      <c r="N69" s="32">
        <f t="shared" si="34"/>
        <v>3.75</v>
      </c>
      <c r="O69" s="32">
        <f t="shared" si="34"/>
        <v>3.75</v>
      </c>
      <c r="P69" s="32">
        <f t="shared" si="34"/>
        <v>3.75</v>
      </c>
      <c r="Q69" s="32">
        <f t="shared" si="34"/>
        <v>3.75</v>
      </c>
      <c r="R69" s="32">
        <f t="shared" si="34"/>
        <v>3.75</v>
      </c>
      <c r="S69" s="32">
        <f t="shared" si="34"/>
        <v>3.75</v>
      </c>
      <c r="T69" s="32">
        <f t="shared" si="34"/>
        <v>3.75</v>
      </c>
      <c r="U69" s="32">
        <f t="shared" si="34"/>
        <v>3.75</v>
      </c>
      <c r="V69" s="32">
        <f t="shared" si="34"/>
        <v>3.75</v>
      </c>
      <c r="W69" s="32">
        <f t="shared" si="34"/>
        <v>3.75</v>
      </c>
    </row>
    <row r="70" spans="1:23" x14ac:dyDescent="0.25">
      <c r="A70" s="7"/>
      <c r="B70" s="36"/>
      <c r="C70" s="30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</row>
    <row r="71" spans="1:23" ht="26.25" x14ac:dyDescent="0.25">
      <c r="A71" s="30" t="s">
        <v>54</v>
      </c>
      <c r="B71" s="45" t="s">
        <v>142</v>
      </c>
      <c r="C71" s="30"/>
      <c r="D71" s="46">
        <f>IF(D22&gt;0,SUMPRODUCT(D42:D44,D61:D63)+SUMPRODUCT(D46:D47,D64:D65)+SUMPRODUCT(D48:D49,D68:D69),D16)</f>
        <v>2.9141503759398493</v>
      </c>
      <c r="E71" s="46">
        <f t="shared" ref="E71:W71" si="35">IF(E22&gt;0,SUMPRODUCT(E42:E44,E61:E63)+SUMPRODUCT(E46:E47,E64:E65)+SUMPRODUCT(E48:E49,E68:E69),E16)</f>
        <v>2.9141503759398493</v>
      </c>
      <c r="F71" s="46">
        <f t="shared" si="35"/>
        <v>2.9141503759398493</v>
      </c>
      <c r="G71" s="46">
        <f t="shared" si="35"/>
        <v>2.9141503759398493</v>
      </c>
      <c r="H71" s="46">
        <f t="shared" si="35"/>
        <v>2.9141503759398493</v>
      </c>
      <c r="I71" s="46">
        <f t="shared" si="35"/>
        <v>2.9141503759398493</v>
      </c>
      <c r="J71" s="46">
        <f t="shared" si="35"/>
        <v>2.9141503759398493</v>
      </c>
      <c r="K71" s="46">
        <f t="shared" si="35"/>
        <v>2.9141503759398493</v>
      </c>
      <c r="L71" s="46">
        <f t="shared" si="35"/>
        <v>2.9141503759398493</v>
      </c>
      <c r="M71" s="46">
        <f t="shared" si="35"/>
        <v>2.9141503759398493</v>
      </c>
      <c r="N71" s="46">
        <f t="shared" si="35"/>
        <v>2.9141503759398493</v>
      </c>
      <c r="O71" s="46">
        <f t="shared" si="35"/>
        <v>2.9141503759398493</v>
      </c>
      <c r="P71" s="46">
        <f t="shared" si="35"/>
        <v>2.9141503759398493</v>
      </c>
      <c r="Q71" s="46">
        <f t="shared" si="35"/>
        <v>2.9141503759398493</v>
      </c>
      <c r="R71" s="46">
        <f t="shared" si="35"/>
        <v>2.9141503759398493</v>
      </c>
      <c r="S71" s="46">
        <f t="shared" si="35"/>
        <v>2.9141503759398493</v>
      </c>
      <c r="T71" s="46">
        <f t="shared" si="35"/>
        <v>2.9141503759398493</v>
      </c>
      <c r="U71" s="46">
        <f t="shared" si="35"/>
        <v>2.9141503759398493</v>
      </c>
      <c r="V71" s="46">
        <f t="shared" si="35"/>
        <v>2.9141503759398493</v>
      </c>
      <c r="W71" s="46">
        <f t="shared" si="35"/>
        <v>2.9141503759398493</v>
      </c>
    </row>
    <row r="73" spans="1:23" x14ac:dyDescent="0.25">
      <c r="A73" s="10" t="s">
        <v>7</v>
      </c>
      <c r="B73" s="43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</row>
    <row r="74" spans="1:23" x14ac:dyDescent="0.25">
      <c r="A74" s="12" t="s">
        <v>55</v>
      </c>
      <c r="B74" s="44"/>
      <c r="C74" s="12"/>
      <c r="D74" s="13">
        <f>D19+D20</f>
        <v>0</v>
      </c>
      <c r="E74" s="13">
        <f t="shared" ref="E74:W74" si="36">E19+E20</f>
        <v>0</v>
      </c>
      <c r="F74" s="13">
        <f t="shared" si="36"/>
        <v>0</v>
      </c>
      <c r="G74" s="13">
        <f t="shared" si="36"/>
        <v>0</v>
      </c>
      <c r="H74" s="13">
        <f t="shared" si="36"/>
        <v>0</v>
      </c>
      <c r="I74" s="13">
        <f t="shared" si="36"/>
        <v>0</v>
      </c>
      <c r="J74" s="13">
        <f t="shared" si="36"/>
        <v>0</v>
      </c>
      <c r="K74" s="13">
        <f t="shared" si="36"/>
        <v>0</v>
      </c>
      <c r="L74" s="13">
        <f t="shared" si="36"/>
        <v>0</v>
      </c>
      <c r="M74" s="13">
        <f t="shared" si="36"/>
        <v>0</v>
      </c>
      <c r="N74" s="13">
        <f t="shared" si="36"/>
        <v>0</v>
      </c>
      <c r="O74" s="13">
        <f t="shared" si="36"/>
        <v>0</v>
      </c>
      <c r="P74" s="13">
        <f t="shared" si="36"/>
        <v>0</v>
      </c>
      <c r="Q74" s="13">
        <f t="shared" si="36"/>
        <v>0</v>
      </c>
      <c r="R74" s="13">
        <f t="shared" si="36"/>
        <v>0</v>
      </c>
      <c r="S74" s="13">
        <f t="shared" si="36"/>
        <v>0</v>
      </c>
      <c r="T74" s="13">
        <f t="shared" si="36"/>
        <v>0</v>
      </c>
      <c r="U74" s="13">
        <f t="shared" si="36"/>
        <v>0</v>
      </c>
      <c r="V74" s="13">
        <f t="shared" si="36"/>
        <v>0</v>
      </c>
      <c r="W74" s="13">
        <f t="shared" si="36"/>
        <v>0</v>
      </c>
    </row>
    <row r="75" spans="1:23" x14ac:dyDescent="0.25">
      <c r="A75" s="12" t="s">
        <v>50</v>
      </c>
      <c r="B75" s="44"/>
      <c r="C75" s="12"/>
      <c r="D75" s="13">
        <f>-SUM($D21:D21)</f>
        <v>0</v>
      </c>
      <c r="E75" s="13">
        <f>-SUM($D21:E21)</f>
        <v>0</v>
      </c>
      <c r="F75" s="13">
        <f>-SUM($D21:F21)</f>
        <v>0</v>
      </c>
      <c r="G75" s="13">
        <f>-SUM($D21:G21)</f>
        <v>0</v>
      </c>
      <c r="H75" s="13">
        <f>-SUM($D21:H21)</f>
        <v>0</v>
      </c>
      <c r="I75" s="13">
        <f>-SUM($D21:I21)</f>
        <v>0</v>
      </c>
      <c r="J75" s="13">
        <f>-SUM($D21:J21)</f>
        <v>0</v>
      </c>
      <c r="K75" s="13">
        <f>-SUM($D21:K21)</f>
        <v>0</v>
      </c>
      <c r="L75" s="13">
        <f>-SUM($D21:L21)</f>
        <v>0</v>
      </c>
      <c r="M75" s="13">
        <f>-SUM($D21:M21)</f>
        <v>0</v>
      </c>
      <c r="N75" s="13">
        <f>-SUM($D21:N21)</f>
        <v>0</v>
      </c>
      <c r="O75" s="13">
        <f>-SUM($D21:O21)</f>
        <v>0</v>
      </c>
      <c r="P75" s="13">
        <f>-SUM($D21:P21)</f>
        <v>0</v>
      </c>
      <c r="Q75" s="13">
        <f>-SUM($D21:Q21)</f>
        <v>0</v>
      </c>
      <c r="R75" s="13">
        <f>-SUM($D21:R21)</f>
        <v>0</v>
      </c>
      <c r="S75" s="13">
        <f>-SUM($D21:S21)</f>
        <v>0</v>
      </c>
      <c r="T75" s="13">
        <f>-SUM($D21:T21)</f>
        <v>0</v>
      </c>
      <c r="U75" s="13">
        <f>-SUM($D21:U21)</f>
        <v>0</v>
      </c>
      <c r="V75" s="13">
        <f>-SUM($D21:V21)</f>
        <v>0</v>
      </c>
      <c r="W75" s="13">
        <f>-SUM($D21:W21)</f>
        <v>0</v>
      </c>
    </row>
    <row r="76" spans="1:23" x14ac:dyDescent="0.25">
      <c r="A76" s="12" t="s">
        <v>44</v>
      </c>
      <c r="B76" s="44"/>
      <c r="C76" s="12"/>
      <c r="D76" s="13">
        <f>SUM($D74:D74)</f>
        <v>0</v>
      </c>
      <c r="E76" s="13">
        <f>SUM($D74:E74)</f>
        <v>0</v>
      </c>
      <c r="F76" s="13">
        <f>SUM($D74:F74)</f>
        <v>0</v>
      </c>
      <c r="G76" s="13">
        <f>SUM($D74:G74)</f>
        <v>0</v>
      </c>
      <c r="H76" s="13">
        <f>SUM($D74:H74)</f>
        <v>0</v>
      </c>
      <c r="I76" s="13">
        <f>SUM($D74:I74)</f>
        <v>0</v>
      </c>
      <c r="J76" s="13">
        <f>SUM($D74:J74)</f>
        <v>0</v>
      </c>
      <c r="K76" s="13">
        <f>SUM($D74:K74)</f>
        <v>0</v>
      </c>
      <c r="L76" s="13">
        <f>SUM($D74:L74)</f>
        <v>0</v>
      </c>
      <c r="M76" s="13">
        <f>SUM($D74:M74)</f>
        <v>0</v>
      </c>
      <c r="N76" s="13">
        <f>SUM($D74:N74)</f>
        <v>0</v>
      </c>
      <c r="O76" s="13">
        <f>SUM($D74:O74)</f>
        <v>0</v>
      </c>
      <c r="P76" s="13">
        <f>SUM($D74:P74)</f>
        <v>0</v>
      </c>
      <c r="Q76" s="13">
        <f>SUM($D74:Q74)</f>
        <v>0</v>
      </c>
      <c r="R76" s="13">
        <f>SUM($D74:R74)</f>
        <v>0</v>
      </c>
      <c r="S76" s="13">
        <f>SUM($D74:S74)</f>
        <v>0</v>
      </c>
      <c r="T76" s="13">
        <f>SUM($D74:T74)</f>
        <v>0</v>
      </c>
      <c r="U76" s="13">
        <f>SUM($D74:U74)</f>
        <v>0</v>
      </c>
      <c r="V76" s="13">
        <f>SUM($D74:V74)</f>
        <v>0</v>
      </c>
      <c r="W76" s="13">
        <f>SUM($D74:W74)</f>
        <v>0</v>
      </c>
    </row>
    <row r="78" spans="1:23" x14ac:dyDescent="0.25">
      <c r="D78" s="16"/>
      <c r="E78" s="16"/>
      <c r="F78" s="16"/>
      <c r="G78" s="16"/>
      <c r="H78" s="16"/>
      <c r="I78" s="16"/>
      <c r="J78" s="16"/>
      <c r="K78" s="16"/>
      <c r="L78" s="16"/>
    </row>
    <row r="79" spans="1:23" x14ac:dyDescent="0.25">
      <c r="D79" s="18" t="s">
        <v>332</v>
      </c>
      <c r="E79" s="18"/>
      <c r="F79" s="18"/>
      <c r="G79" s="18"/>
      <c r="H79" s="18"/>
      <c r="I79" s="18"/>
      <c r="J79" s="18"/>
      <c r="K79" s="18"/>
      <c r="L79" s="18"/>
    </row>
    <row r="80" spans="1:23" x14ac:dyDescent="0.25">
      <c r="D80" s="17"/>
      <c r="E80" s="17"/>
      <c r="F80" s="17"/>
      <c r="G80" s="17"/>
      <c r="H80" s="17"/>
    </row>
    <row r="82" spans="4:7" x14ac:dyDescent="0.25">
      <c r="D82" s="78">
        <f t="shared" ref="D82:G82" si="37">SUM(D28,D29,D30,D31,D32)</f>
        <v>0</v>
      </c>
      <c r="E82" s="78">
        <f t="shared" si="37"/>
        <v>0</v>
      </c>
      <c r="F82" s="78">
        <f>SUM(F28,F29,F30,F31,F32)</f>
        <v>0</v>
      </c>
      <c r="G82" s="78">
        <f t="shared" si="37"/>
        <v>0</v>
      </c>
    </row>
    <row r="83" spans="4:7" x14ac:dyDescent="0.25">
      <c r="G83" s="78">
        <f>SUM(D82:G82)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F7545-787E-47D5-A81D-527FE013B894}">
  <sheetPr>
    <tabColor theme="5"/>
  </sheetPr>
  <dimension ref="A1:G17"/>
  <sheetViews>
    <sheetView zoomScale="130" zoomScaleNormal="130" workbookViewId="0"/>
  </sheetViews>
  <sheetFormatPr defaultRowHeight="15" x14ac:dyDescent="0.25"/>
  <cols>
    <col min="1" max="1" width="34.5703125" customWidth="1"/>
    <col min="3" max="7" width="9.140625" bestFit="1" customWidth="1"/>
  </cols>
  <sheetData>
    <row r="1" spans="1:7" x14ac:dyDescent="0.25">
      <c r="A1" t="s">
        <v>4</v>
      </c>
      <c r="C1">
        <v>2025</v>
      </c>
      <c r="D1">
        <f>C1+1</f>
        <v>2026</v>
      </c>
      <c r="E1">
        <f t="shared" ref="E1:G1" si="0">D1+1</f>
        <v>2027</v>
      </c>
      <c r="F1">
        <f t="shared" si="0"/>
        <v>2028</v>
      </c>
      <c r="G1">
        <f t="shared" si="0"/>
        <v>2029</v>
      </c>
    </row>
    <row r="2" spans="1:7" x14ac:dyDescent="0.25">
      <c r="C2">
        <v>2026</v>
      </c>
      <c r="D2">
        <f>C2+1</f>
        <v>2027</v>
      </c>
      <c r="E2">
        <f t="shared" ref="E2:G2" si="1">D2+1</f>
        <v>2028</v>
      </c>
      <c r="F2">
        <f t="shared" si="1"/>
        <v>2029</v>
      </c>
      <c r="G2">
        <f t="shared" si="1"/>
        <v>2030</v>
      </c>
    </row>
    <row r="3" spans="1:7" x14ac:dyDescent="0.25">
      <c r="A3" s="1" t="s">
        <v>0</v>
      </c>
      <c r="B3" s="2"/>
      <c r="C3" s="2"/>
      <c r="D3" s="2"/>
      <c r="E3" s="2"/>
      <c r="F3" s="2"/>
      <c r="G3" s="2"/>
    </row>
    <row r="4" spans="1:7" x14ac:dyDescent="0.25">
      <c r="A4" s="3" t="s">
        <v>1</v>
      </c>
      <c r="B4" s="4" t="s">
        <v>5</v>
      </c>
      <c r="C4" s="4">
        <f>machine_readable!M2</f>
        <v>0</v>
      </c>
      <c r="D4" s="4">
        <f>machine_readable!N2</f>
        <v>0</v>
      </c>
      <c r="E4" s="4">
        <f>machine_readable!O2</f>
        <v>0</v>
      </c>
      <c r="F4" s="4">
        <f>machine_readable!P2</f>
        <v>0</v>
      </c>
      <c r="G4" s="4">
        <f>machine_readable!Q2</f>
        <v>0</v>
      </c>
    </row>
    <row r="5" spans="1:7" x14ac:dyDescent="0.25">
      <c r="A5" s="3" t="s">
        <v>2</v>
      </c>
      <c r="B5" s="4" t="s">
        <v>5</v>
      </c>
      <c r="C5" s="4">
        <f>machine_readable!M3</f>
        <v>0</v>
      </c>
      <c r="D5" s="4">
        <f>machine_readable!N3</f>
        <v>0</v>
      </c>
      <c r="E5" s="4">
        <f>machine_readable!O3</f>
        <v>0</v>
      </c>
      <c r="F5" s="4">
        <f>machine_readable!P3</f>
        <v>0</v>
      </c>
      <c r="G5" s="4">
        <f>machine_readable!Q3</f>
        <v>0</v>
      </c>
    </row>
    <row r="6" spans="1:7" x14ac:dyDescent="0.25">
      <c r="A6" s="3" t="s">
        <v>3</v>
      </c>
      <c r="B6" s="4" t="s">
        <v>5</v>
      </c>
      <c r="C6" s="68">
        <v>0</v>
      </c>
      <c r="D6" s="68">
        <v>0</v>
      </c>
      <c r="E6" s="68">
        <v>0</v>
      </c>
      <c r="F6" s="68">
        <v>0</v>
      </c>
      <c r="G6" s="68">
        <v>0</v>
      </c>
    </row>
    <row r="9" spans="1:7" x14ac:dyDescent="0.25">
      <c r="A9" s="10" t="s">
        <v>7</v>
      </c>
      <c r="B9" s="10"/>
      <c r="C9" s="11"/>
      <c r="D9" s="11"/>
      <c r="E9" s="11"/>
      <c r="F9" s="11"/>
      <c r="G9" s="11"/>
    </row>
    <row r="10" spans="1:7" x14ac:dyDescent="0.25">
      <c r="A10" s="12" t="s">
        <v>59</v>
      </c>
      <c r="B10" s="12" t="s">
        <v>5</v>
      </c>
      <c r="C10" s="13">
        <f>Model!D38</f>
        <v>0</v>
      </c>
      <c r="D10" s="13">
        <f>Model!E38</f>
        <v>0</v>
      </c>
      <c r="E10" s="13">
        <f>Model!F38</f>
        <v>0</v>
      </c>
      <c r="F10" s="13">
        <f>Model!G38</f>
        <v>0</v>
      </c>
      <c r="G10" s="13">
        <f>Model!H38</f>
        <v>0</v>
      </c>
    </row>
    <row r="11" spans="1:7" x14ac:dyDescent="0.25">
      <c r="A11" s="12" t="s">
        <v>8</v>
      </c>
      <c r="B11" s="12" t="s">
        <v>5</v>
      </c>
      <c r="C11" s="13">
        <f>Model!D39</f>
        <v>0</v>
      </c>
      <c r="D11" s="13">
        <f>Model!E39</f>
        <v>0</v>
      </c>
      <c r="E11" s="13">
        <f>Model!F39</f>
        <v>0</v>
      </c>
      <c r="F11" s="13">
        <f>Model!G39</f>
        <v>0</v>
      </c>
      <c r="G11" s="13">
        <f>Model!H39</f>
        <v>0</v>
      </c>
    </row>
    <row r="12" spans="1:7" x14ac:dyDescent="0.25">
      <c r="A12" s="12" t="s">
        <v>9</v>
      </c>
      <c r="B12" s="12" t="s">
        <v>5</v>
      </c>
      <c r="C12" s="13">
        <f>Model!D38+Model!D6</f>
        <v>0</v>
      </c>
      <c r="D12" s="13">
        <f>Model!E38+Model!E6</f>
        <v>0</v>
      </c>
      <c r="E12" s="13">
        <f>Model!F38+Model!F6</f>
        <v>0</v>
      </c>
      <c r="F12" s="13">
        <f>Model!G38+Model!G6</f>
        <v>0</v>
      </c>
      <c r="G12" s="13">
        <f>Model!H38+Model!H6</f>
        <v>0</v>
      </c>
    </row>
    <row r="13" spans="1:7" x14ac:dyDescent="0.25">
      <c r="A13" s="12" t="s">
        <v>58</v>
      </c>
      <c r="B13" s="12" t="s">
        <v>5</v>
      </c>
      <c r="C13" s="51">
        <f>SUM($C10:C10)</f>
        <v>0</v>
      </c>
      <c r="D13" s="51">
        <f>SUM($C10:D10)</f>
        <v>0</v>
      </c>
      <c r="E13" s="51">
        <f>SUM($C10:E10)</f>
        <v>0</v>
      </c>
      <c r="F13" s="51">
        <f>SUM($C10:F10)</f>
        <v>0</v>
      </c>
      <c r="G13" s="51">
        <f>SUM($C10:G10)</f>
        <v>0</v>
      </c>
    </row>
    <row r="15" spans="1:7" ht="90" x14ac:dyDescent="0.25">
      <c r="A15" s="14" t="s">
        <v>143</v>
      </c>
      <c r="B15" s="15"/>
    </row>
    <row r="16" spans="1:7" x14ac:dyDescent="0.25">
      <c r="A16" s="15"/>
      <c r="B16" s="15"/>
    </row>
    <row r="17" spans="1:2" x14ac:dyDescent="0.25">
      <c r="A17" s="15"/>
      <c r="B17" s="1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5BD51-C573-4F48-97F2-040C756B17DC}">
  <sheetPr>
    <tabColor theme="2" tint="-9.9978637043366805E-2"/>
  </sheetPr>
  <dimension ref="A1:P55"/>
  <sheetViews>
    <sheetView workbookViewId="0">
      <selection activeCell="L17" sqref="L17"/>
    </sheetView>
  </sheetViews>
  <sheetFormatPr defaultRowHeight="15" x14ac:dyDescent="0.25"/>
  <cols>
    <col min="1" max="1" width="31.7109375" bestFit="1" customWidth="1"/>
    <col min="2" max="2" width="11.7109375" bestFit="1" customWidth="1"/>
    <col min="3" max="3" width="16" bestFit="1" customWidth="1"/>
    <col min="4" max="6" width="9.5703125" customWidth="1"/>
    <col min="7" max="7" width="25.140625" customWidth="1"/>
    <col min="8" max="8" width="15.28515625" customWidth="1"/>
    <col min="9" max="9" width="11" bestFit="1" customWidth="1"/>
    <col min="10" max="10" width="11.42578125" customWidth="1"/>
    <col min="11" max="11" width="14.85546875" customWidth="1"/>
    <col min="12" max="12" width="14.42578125" customWidth="1"/>
  </cols>
  <sheetData>
    <row r="1" spans="1:16" x14ac:dyDescent="0.25">
      <c r="A1" t="s">
        <v>60</v>
      </c>
      <c r="B1" t="s">
        <v>24</v>
      </c>
      <c r="C1" t="s">
        <v>25</v>
      </c>
      <c r="D1" t="s">
        <v>33</v>
      </c>
      <c r="G1" t="s">
        <v>112</v>
      </c>
      <c r="H1" t="s">
        <v>24</v>
      </c>
      <c r="I1" t="s">
        <v>25</v>
      </c>
      <c r="J1" t="s">
        <v>33</v>
      </c>
      <c r="K1" t="s">
        <v>98</v>
      </c>
    </row>
    <row r="2" spans="1:16" x14ac:dyDescent="0.25">
      <c r="A2" t="s">
        <v>61</v>
      </c>
      <c r="B2">
        <f>B29</f>
        <v>187</v>
      </c>
      <c r="C2">
        <f t="shared" ref="C2" si="0">C29</f>
        <v>202</v>
      </c>
      <c r="D2">
        <v>281</v>
      </c>
      <c r="G2" s="62" t="s">
        <v>61</v>
      </c>
      <c r="H2" s="64">
        <f>B2/B37</f>
        <v>0.42117117117117114</v>
      </c>
      <c r="I2" s="64">
        <f>C2/C37</f>
        <v>0.52196382428940569</v>
      </c>
      <c r="J2" s="64">
        <f>D2/SUM(D$2:D$4)</f>
        <v>0.57938144329896912</v>
      </c>
      <c r="K2" s="65">
        <f>I36</f>
        <v>0.55451127819548873</v>
      </c>
    </row>
    <row r="3" spans="1:16" x14ac:dyDescent="0.25">
      <c r="A3" t="s">
        <v>41</v>
      </c>
      <c r="B3">
        <f>SUM(B30:B32)</f>
        <v>140</v>
      </c>
      <c r="C3">
        <f t="shared" ref="C3" si="1">SUM(C30:C32)</f>
        <v>118</v>
      </c>
      <c r="D3">
        <f>SUM(D30:D32)</f>
        <v>139</v>
      </c>
      <c r="G3" s="62" t="s">
        <v>41</v>
      </c>
      <c r="H3" s="64">
        <f>B3/B37</f>
        <v>0.31531531531531531</v>
      </c>
      <c r="I3" s="64">
        <f>C3/C37</f>
        <v>0.30490956072351422</v>
      </c>
      <c r="J3" s="64">
        <f>D3/SUM(D$2:D$4)</f>
        <v>0.28659793814432988</v>
      </c>
      <c r="K3" s="65">
        <f>SUM(G44:G46)*K$6</f>
        <v>0.29511278195488716</v>
      </c>
      <c r="M3" s="20"/>
    </row>
    <row r="4" spans="1:16" x14ac:dyDescent="0.25">
      <c r="A4" t="s">
        <v>40</v>
      </c>
      <c r="B4">
        <f>SUM(B33:B35)</f>
        <v>112</v>
      </c>
      <c r="C4">
        <f t="shared" ref="C4" si="2">SUM(C33:C35)</f>
        <v>66</v>
      </c>
      <c r="D4">
        <f>SUM(D33:D35)</f>
        <v>65</v>
      </c>
      <c r="G4" s="62" t="s">
        <v>40</v>
      </c>
      <c r="H4" s="64">
        <f>1-H2-H3</f>
        <v>0.26351351351351349</v>
      </c>
      <c r="I4" s="64">
        <f>C4/C37</f>
        <v>0.17054263565891473</v>
      </c>
      <c r="J4" s="64">
        <f>D4/SUM(D$2:D$4)</f>
        <v>0.13402061855670103</v>
      </c>
      <c r="K4" s="65">
        <f>G47*K$6</f>
        <v>0.15037593984962405</v>
      </c>
      <c r="M4" s="20"/>
    </row>
    <row r="5" spans="1:16" x14ac:dyDescent="0.25">
      <c r="K5" s="20"/>
      <c r="L5" s="65">
        <f>SUM(K2:K4)</f>
        <v>1</v>
      </c>
    </row>
    <row r="6" spans="1:16" x14ac:dyDescent="0.25">
      <c r="A6" t="s">
        <v>280</v>
      </c>
      <c r="G6" s="62" t="s">
        <v>120</v>
      </c>
      <c r="H6" s="65">
        <f>1-H2</f>
        <v>0.5788288288288288</v>
      </c>
      <c r="I6" s="65">
        <f>1-I2</f>
        <v>0.47803617571059431</v>
      </c>
      <c r="J6" s="65">
        <f t="shared" ref="J6" si="3">1-J2</f>
        <v>0.42061855670103088</v>
      </c>
      <c r="K6" s="65">
        <f>1-K2</f>
        <v>0.44548872180451127</v>
      </c>
    </row>
    <row r="7" spans="1:16" x14ac:dyDescent="0.25">
      <c r="B7" t="s">
        <v>281</v>
      </c>
      <c r="C7" t="s">
        <v>282</v>
      </c>
      <c r="F7" s="62"/>
      <c r="H7" s="65"/>
      <c r="I7" s="65"/>
      <c r="J7" s="65"/>
      <c r="K7" s="65"/>
    </row>
    <row r="8" spans="1:16" x14ac:dyDescent="0.25">
      <c r="A8" t="s">
        <v>276</v>
      </c>
      <c r="B8" s="20">
        <v>0.14799999999999999</v>
      </c>
      <c r="C8" s="20">
        <f>(1/12)*(1/2)</f>
        <v>4.1666666666666664E-2</v>
      </c>
      <c r="D8" s="20"/>
      <c r="E8" s="20"/>
      <c r="F8" s="20"/>
      <c r="G8" s="62"/>
      <c r="H8" s="65"/>
      <c r="I8" s="65"/>
      <c r="J8" s="65"/>
      <c r="K8" s="65"/>
    </row>
    <row r="9" spans="1:16" x14ac:dyDescent="0.25">
      <c r="A9" t="s">
        <v>277</v>
      </c>
      <c r="B9" s="20">
        <v>0.496</v>
      </c>
      <c r="C9" s="20">
        <f>(3/12)*(1/2)</f>
        <v>0.125</v>
      </c>
      <c r="D9" s="20"/>
      <c r="E9" s="20"/>
      <c r="F9" s="20"/>
      <c r="G9" s="62"/>
      <c r="H9" s="65"/>
      <c r="I9" s="65"/>
      <c r="J9" s="65"/>
      <c r="K9" s="65"/>
    </row>
    <row r="10" spans="1:16" x14ac:dyDescent="0.25">
      <c r="A10" t="s">
        <v>278</v>
      </c>
      <c r="B10" s="20">
        <v>0.17799999999999999</v>
      </c>
      <c r="C10" s="20">
        <f>(6/12)*(1/2)</f>
        <v>0.25</v>
      </c>
      <c r="D10" s="20"/>
      <c r="E10" s="20"/>
      <c r="F10" s="20"/>
      <c r="G10" s="62"/>
      <c r="H10" s="65"/>
      <c r="I10" s="65"/>
      <c r="J10" s="65"/>
      <c r="K10" s="65"/>
    </row>
    <row r="11" spans="1:16" x14ac:dyDescent="0.25">
      <c r="A11" t="s">
        <v>279</v>
      </c>
      <c r="B11" s="20">
        <v>0.17799999999999999</v>
      </c>
      <c r="C11" s="71">
        <v>0.5</v>
      </c>
      <c r="D11" s="20"/>
      <c r="E11" s="20"/>
      <c r="F11" s="20"/>
      <c r="G11" s="62"/>
      <c r="H11" s="65"/>
      <c r="I11" s="65"/>
      <c r="J11" s="65"/>
      <c r="K11" s="65"/>
    </row>
    <row r="12" spans="1:16" x14ac:dyDescent="0.25">
      <c r="A12" t="s">
        <v>283</v>
      </c>
      <c r="B12" s="77">
        <f>SUMPRODUCT(B8:B11,C8:C11)</f>
        <v>0.20166666666666666</v>
      </c>
      <c r="C12" s="20"/>
      <c r="D12" s="20"/>
      <c r="E12" s="20"/>
      <c r="F12" s="20"/>
      <c r="G12" s="62"/>
      <c r="H12" s="65"/>
      <c r="I12" s="65"/>
      <c r="J12" s="65"/>
      <c r="K12" s="65"/>
    </row>
    <row r="13" spans="1:16" x14ac:dyDescent="0.25">
      <c r="B13" s="20"/>
      <c r="C13" s="20"/>
      <c r="D13" s="20"/>
      <c r="E13" s="20"/>
      <c r="F13" s="20"/>
      <c r="G13" s="62"/>
      <c r="H13" s="65"/>
      <c r="I13" s="65"/>
      <c r="J13" s="65"/>
      <c r="K13" s="65"/>
    </row>
    <row r="15" spans="1:16" x14ac:dyDescent="0.25">
      <c r="B15" s="20"/>
      <c r="C15" s="20"/>
      <c r="D15" s="20"/>
      <c r="E15" s="20"/>
      <c r="F15" s="20"/>
      <c r="G15" s="20"/>
      <c r="K15" s="65">
        <f>SUM(K2:K4)</f>
        <v>1</v>
      </c>
      <c r="P15">
        <f>0.16/0.45</f>
        <v>0.35555555555555557</v>
      </c>
    </row>
    <row r="16" spans="1:16" x14ac:dyDescent="0.25">
      <c r="A16" t="s">
        <v>62</v>
      </c>
    </row>
    <row r="17" spans="1:12" x14ac:dyDescent="0.25">
      <c r="A17" t="s">
        <v>18</v>
      </c>
      <c r="B17" t="s">
        <v>24</v>
      </c>
      <c r="C17" t="s">
        <v>25</v>
      </c>
      <c r="D17" t="s">
        <v>33</v>
      </c>
      <c r="E17" t="s">
        <v>34</v>
      </c>
      <c r="G17" t="s">
        <v>124</v>
      </c>
      <c r="H17" t="s">
        <v>63</v>
      </c>
      <c r="I17" t="s">
        <v>121</v>
      </c>
      <c r="J17" t="s">
        <v>122</v>
      </c>
    </row>
    <row r="18" spans="1:12" x14ac:dyDescent="0.25">
      <c r="A18" t="s">
        <v>19</v>
      </c>
      <c r="B18">
        <f>B30</f>
        <v>67</v>
      </c>
      <c r="C18">
        <f t="shared" ref="C18" si="4">C30</f>
        <v>67</v>
      </c>
      <c r="D18">
        <f>D30</f>
        <v>86</v>
      </c>
      <c r="E18">
        <f>E30</f>
        <v>94</v>
      </c>
      <c r="G18" s="64">
        <f>B18/SUM(B$18:B$20)</f>
        <v>0.47857142857142859</v>
      </c>
      <c r="H18" s="64">
        <f>C18/SUM(C$18:C$20)</f>
        <v>0.56779661016949157</v>
      </c>
      <c r="I18" s="64">
        <f>D18/SUM(D$18:D$20)</f>
        <v>0.61870503597122306</v>
      </c>
      <c r="J18" s="64">
        <f>E18/SUM(E$18:E$20)</f>
        <v>0.59872611464968151</v>
      </c>
    </row>
    <row r="19" spans="1:12" x14ac:dyDescent="0.25">
      <c r="A19" t="s">
        <v>20</v>
      </c>
      <c r="B19">
        <f t="shared" ref="B19:D20" si="5">B31</f>
        <v>29</v>
      </c>
      <c r="C19">
        <f t="shared" si="5"/>
        <v>20</v>
      </c>
      <c r="D19">
        <f t="shared" si="5"/>
        <v>6</v>
      </c>
      <c r="E19">
        <f t="shared" ref="E19" si="6">E31</f>
        <v>0</v>
      </c>
      <c r="G19" s="64">
        <f t="shared" ref="G19:G20" si="7">B19/SUM(B$18:B$20)</f>
        <v>0.20714285714285716</v>
      </c>
      <c r="H19" s="64">
        <f t="shared" ref="H19:J20" si="8">C19/SUM(C$18:C$20)</f>
        <v>0.16949152542372881</v>
      </c>
      <c r="I19" s="64">
        <f t="shared" si="8"/>
        <v>4.3165467625899283E-2</v>
      </c>
      <c r="J19" s="64">
        <f t="shared" si="8"/>
        <v>0</v>
      </c>
    </row>
    <row r="20" spans="1:12" x14ac:dyDescent="0.25">
      <c r="A20" t="s">
        <v>21</v>
      </c>
      <c r="B20">
        <f t="shared" si="5"/>
        <v>44</v>
      </c>
      <c r="C20">
        <f t="shared" si="5"/>
        <v>31</v>
      </c>
      <c r="D20">
        <f>D32</f>
        <v>47</v>
      </c>
      <c r="E20">
        <f>E32</f>
        <v>63</v>
      </c>
      <c r="G20" s="64">
        <f t="shared" si="7"/>
        <v>0.31428571428571428</v>
      </c>
      <c r="H20" s="64">
        <f t="shared" si="8"/>
        <v>0.26271186440677968</v>
      </c>
      <c r="I20" s="64">
        <f t="shared" si="8"/>
        <v>0.33812949640287771</v>
      </c>
      <c r="J20" s="64">
        <f>E20/SUM(E$18:E$20)</f>
        <v>0.40127388535031849</v>
      </c>
    </row>
    <row r="23" spans="1:12" x14ac:dyDescent="0.25">
      <c r="H23" t="s">
        <v>155</v>
      </c>
      <c r="I23" s="62"/>
      <c r="J23" s="62"/>
      <c r="K23" t="s">
        <v>156</v>
      </c>
    </row>
    <row r="24" spans="1:12" x14ac:dyDescent="0.25">
      <c r="H24" t="s">
        <v>154</v>
      </c>
      <c r="I24" s="71">
        <f>159/260</f>
        <v>0.61153846153846159</v>
      </c>
      <c r="K24" t="s">
        <v>154</v>
      </c>
      <c r="L24" s="71">
        <v>0.27050898203592799</v>
      </c>
    </row>
    <row r="25" spans="1:12" x14ac:dyDescent="0.25">
      <c r="H25" t="s">
        <v>153</v>
      </c>
      <c r="I25" s="71">
        <f>149/238</f>
        <v>0.62605042016806722</v>
      </c>
      <c r="K25" t="s">
        <v>153</v>
      </c>
      <c r="L25" s="71">
        <v>0.23585632804069601</v>
      </c>
    </row>
    <row r="26" spans="1:12" x14ac:dyDescent="0.25">
      <c r="A26" s="53"/>
      <c r="B26" s="54" t="s">
        <v>24</v>
      </c>
      <c r="C26" s="54" t="s">
        <v>25</v>
      </c>
      <c r="D26" s="54" t="s">
        <v>33</v>
      </c>
      <c r="E26" s="54" t="s">
        <v>34</v>
      </c>
      <c r="F26" s="54"/>
      <c r="H26" t="s">
        <v>152</v>
      </c>
      <c r="I26" s="71">
        <f>130/226</f>
        <v>0.5752212389380531</v>
      </c>
      <c r="K26" t="s">
        <v>152</v>
      </c>
      <c r="L26" s="71">
        <v>0.20892994611239399</v>
      </c>
    </row>
    <row r="27" spans="1:12" x14ac:dyDescent="0.25">
      <c r="A27" s="54"/>
      <c r="B27" s="61" t="s">
        <v>99</v>
      </c>
      <c r="C27" s="54" t="s">
        <v>100</v>
      </c>
      <c r="D27" s="54" t="s">
        <v>99</v>
      </c>
      <c r="E27" s="54" t="s">
        <v>101</v>
      </c>
      <c r="F27" s="54"/>
      <c r="H27" t="s">
        <v>151</v>
      </c>
      <c r="I27" s="71">
        <f>129/221</f>
        <v>0.58371040723981904</v>
      </c>
      <c r="K27" t="s">
        <v>151</v>
      </c>
      <c r="L27" s="71">
        <v>0.20620373107808199</v>
      </c>
    </row>
    <row r="28" spans="1:12" ht="15.75" thickBot="1" x14ac:dyDescent="0.3">
      <c r="A28" s="55"/>
      <c r="B28" s="55"/>
      <c r="C28" s="55"/>
      <c r="D28" s="55"/>
      <c r="E28" s="61"/>
      <c r="F28" s="61"/>
      <c r="H28" t="s">
        <v>150</v>
      </c>
      <c r="I28" s="71">
        <f>134/268</f>
        <v>0.5</v>
      </c>
      <c r="K28" t="s">
        <v>150</v>
      </c>
      <c r="L28" s="71">
        <v>0.19665612655044701</v>
      </c>
    </row>
    <row r="29" spans="1:12" x14ac:dyDescent="0.25">
      <c r="A29" s="56" t="s">
        <v>102</v>
      </c>
      <c r="B29" s="57">
        <v>187</v>
      </c>
      <c r="C29" s="57">
        <v>202</v>
      </c>
      <c r="D29" s="57">
        <v>267</v>
      </c>
      <c r="E29" s="57">
        <v>295</v>
      </c>
      <c r="F29" s="57"/>
      <c r="H29" t="s">
        <v>149</v>
      </c>
      <c r="I29" s="71">
        <f>131/274</f>
        <v>0.47810218978102192</v>
      </c>
      <c r="K29" t="s">
        <v>149</v>
      </c>
      <c r="L29" s="71">
        <v>0.15717666970039801</v>
      </c>
    </row>
    <row r="30" spans="1:12" x14ac:dyDescent="0.25">
      <c r="A30" s="58" t="s">
        <v>103</v>
      </c>
      <c r="B30" s="59">
        <v>67</v>
      </c>
      <c r="C30" s="59">
        <v>67</v>
      </c>
      <c r="D30" s="59">
        <v>86</v>
      </c>
      <c r="E30" s="59">
        <v>94</v>
      </c>
      <c r="F30" s="59"/>
      <c r="G30">
        <f>E30/E37</f>
        <v>0.17537313432835822</v>
      </c>
      <c r="H30" t="s">
        <v>116</v>
      </c>
      <c r="I30" s="20">
        <v>0.57299999999999995</v>
      </c>
      <c r="K30" t="s">
        <v>116</v>
      </c>
      <c r="L30" s="71">
        <v>0.18624995492834301</v>
      </c>
    </row>
    <row r="31" spans="1:12" x14ac:dyDescent="0.25">
      <c r="A31" s="58" t="s">
        <v>104</v>
      </c>
      <c r="B31" s="59">
        <v>29</v>
      </c>
      <c r="C31" s="59">
        <v>20</v>
      </c>
      <c r="D31" s="59">
        <v>6</v>
      </c>
      <c r="E31" s="59">
        <v>0</v>
      </c>
      <c r="F31" s="59"/>
      <c r="H31" t="s">
        <v>22</v>
      </c>
      <c r="I31" s="20">
        <f>152/279</f>
        <v>0.54480286738351258</v>
      </c>
      <c r="K31" t="s">
        <v>22</v>
      </c>
      <c r="L31" s="71">
        <v>0.19847510811337099</v>
      </c>
    </row>
    <row r="32" spans="1:12" x14ac:dyDescent="0.25">
      <c r="A32" s="58" t="s">
        <v>105</v>
      </c>
      <c r="B32" s="59">
        <v>44</v>
      </c>
      <c r="C32" s="59">
        <v>31</v>
      </c>
      <c r="D32" s="59">
        <v>47</v>
      </c>
      <c r="E32" s="59">
        <v>63</v>
      </c>
      <c r="F32" s="59"/>
      <c r="G32">
        <f>E32/E37</f>
        <v>0.11753731343283583</v>
      </c>
      <c r="H32" t="s">
        <v>23</v>
      </c>
      <c r="I32" s="20">
        <f>219/593</f>
        <v>0.36930860033726814</v>
      </c>
      <c r="K32" t="s">
        <v>23</v>
      </c>
      <c r="L32" s="71">
        <v>0.19715139659418199</v>
      </c>
    </row>
    <row r="33" spans="1:16" x14ac:dyDescent="0.25">
      <c r="A33" s="58" t="s">
        <v>106</v>
      </c>
      <c r="B33" s="59">
        <v>79</v>
      </c>
      <c r="C33" s="59">
        <v>52</v>
      </c>
      <c r="D33" s="59">
        <v>47</v>
      </c>
      <c r="E33" s="59">
        <v>63</v>
      </c>
      <c r="F33" s="59"/>
      <c r="H33" t="s">
        <v>24</v>
      </c>
      <c r="I33" s="20">
        <f>187/444</f>
        <v>0.42117117117117114</v>
      </c>
      <c r="J33" s="71"/>
      <c r="K33" t="s">
        <v>24</v>
      </c>
      <c r="L33" s="71">
        <v>0.15202055927990599</v>
      </c>
    </row>
    <row r="34" spans="1:16" x14ac:dyDescent="0.25">
      <c r="A34" s="58" t="s">
        <v>107</v>
      </c>
      <c r="B34" s="59">
        <v>28</v>
      </c>
      <c r="C34" s="59">
        <v>14</v>
      </c>
      <c r="D34" s="59">
        <v>14</v>
      </c>
      <c r="E34" s="59">
        <v>17</v>
      </c>
      <c r="F34" s="59"/>
      <c r="H34" t="s">
        <v>25</v>
      </c>
      <c r="I34" s="20">
        <f>202/387</f>
        <v>0.52196382428940569</v>
      </c>
      <c r="J34" s="71"/>
      <c r="K34" t="s">
        <v>25</v>
      </c>
      <c r="L34" s="71">
        <v>0.16064934816805601</v>
      </c>
    </row>
    <row r="35" spans="1:16" x14ac:dyDescent="0.25">
      <c r="A35" s="58" t="s">
        <v>108</v>
      </c>
      <c r="B35" s="59">
        <v>5</v>
      </c>
      <c r="C35" s="59" t="s">
        <v>109</v>
      </c>
      <c r="D35" s="59">
        <v>4</v>
      </c>
      <c r="E35" s="59">
        <v>4</v>
      </c>
      <c r="F35" s="59"/>
      <c r="H35" t="s">
        <v>33</v>
      </c>
      <c r="I35" s="20">
        <f>D29/D37</f>
        <v>0.56687898089171973</v>
      </c>
      <c r="J35" s="71"/>
    </row>
    <row r="36" spans="1:16" x14ac:dyDescent="0.25">
      <c r="A36" s="60" t="s">
        <v>110</v>
      </c>
      <c r="B36" s="57">
        <v>258</v>
      </c>
      <c r="C36" s="57">
        <v>185</v>
      </c>
      <c r="D36" s="57">
        <v>204</v>
      </c>
      <c r="E36" s="57">
        <f>SUM(E30:E35)</f>
        <v>241</v>
      </c>
      <c r="F36" s="57"/>
      <c r="H36" t="s">
        <v>34</v>
      </c>
      <c r="I36" s="71">
        <f>E29/SUM(E29:E34)</f>
        <v>0.55451127819548873</v>
      </c>
    </row>
    <row r="37" spans="1:16" x14ac:dyDescent="0.25">
      <c r="A37" s="56" t="s">
        <v>111</v>
      </c>
      <c r="B37" s="57">
        <v>444</v>
      </c>
      <c r="C37" s="57">
        <v>387</v>
      </c>
      <c r="D37" s="57">
        <v>471</v>
      </c>
      <c r="E37" s="57">
        <f>SUM(E29:E35)</f>
        <v>536</v>
      </c>
      <c r="F37" s="57"/>
      <c r="I37" s="20">
        <f>AVERAGE(I24:I31,I34:I36)</f>
        <v>0.55779815167504998</v>
      </c>
      <c r="J37" s="20"/>
    </row>
    <row r="39" spans="1:16" x14ac:dyDescent="0.25">
      <c r="B39">
        <f>B33/SUM(B33:B34)</f>
        <v>0.73831775700934577</v>
      </c>
      <c r="C39">
        <f>C33/SUM(C33:C34)</f>
        <v>0.78787878787878785</v>
      </c>
      <c r="D39">
        <f>D33/SUM(D33:D34)</f>
        <v>0.77049180327868849</v>
      </c>
      <c r="E39">
        <f>E33/SUM(E33:E34)</f>
        <v>0.78749999999999998</v>
      </c>
      <c r="P39">
        <f>213/435</f>
        <v>0.48965517241379308</v>
      </c>
    </row>
    <row r="40" spans="1:16" x14ac:dyDescent="0.25">
      <c r="P40">
        <f>213/425</f>
        <v>0.50117647058823533</v>
      </c>
    </row>
    <row r="41" spans="1:16" x14ac:dyDescent="0.25">
      <c r="P41">
        <f>213/425</f>
        <v>0.50117647058823533</v>
      </c>
    </row>
    <row r="42" spans="1:16" x14ac:dyDescent="0.25">
      <c r="P42">
        <f>219/593</f>
        <v>0.36930860033726814</v>
      </c>
    </row>
    <row r="43" spans="1:16" x14ac:dyDescent="0.25">
      <c r="E43" t="s">
        <v>112</v>
      </c>
      <c r="G43" t="s">
        <v>228</v>
      </c>
      <c r="H43" t="s">
        <v>113</v>
      </c>
      <c r="I43" t="s">
        <v>114</v>
      </c>
      <c r="J43" t="s">
        <v>115</v>
      </c>
      <c r="K43" t="s">
        <v>23</v>
      </c>
      <c r="L43" t="s">
        <v>22</v>
      </c>
      <c r="M43" t="s">
        <v>116</v>
      </c>
    </row>
    <row r="44" spans="1:16" x14ac:dyDescent="0.25">
      <c r="E44" t="s">
        <v>103</v>
      </c>
      <c r="G44" s="63">
        <f>E30/SUM(E30:E34)</f>
        <v>0.39662447257383965</v>
      </c>
      <c r="H44" s="63">
        <f>D30/D36</f>
        <v>0.42156862745098039</v>
      </c>
      <c r="I44" s="63">
        <v>0.3641304347826087</v>
      </c>
      <c r="J44" s="63">
        <v>0.2627450980392157</v>
      </c>
      <c r="K44" s="63">
        <v>0.34491978609625668</v>
      </c>
      <c r="L44" s="63">
        <v>0.42741935483870969</v>
      </c>
      <c r="M44" s="63">
        <v>0.48144433299899697</v>
      </c>
    </row>
    <row r="45" spans="1:16" x14ac:dyDescent="0.25">
      <c r="E45" t="s">
        <v>104</v>
      </c>
      <c r="G45" s="63">
        <f>E31/E36</f>
        <v>0</v>
      </c>
      <c r="H45" s="63">
        <f>D31/D36</f>
        <v>2.9411764705882353E-2</v>
      </c>
      <c r="I45" s="63">
        <v>0.10869565217391304</v>
      </c>
      <c r="J45" s="63">
        <v>0.11372549019607843</v>
      </c>
      <c r="K45" s="63">
        <v>0.1497326203208556</v>
      </c>
      <c r="L45" s="63">
        <v>0.15322580645161291</v>
      </c>
      <c r="M45" s="63">
        <v>8.2246740220661974E-2</v>
      </c>
    </row>
    <row r="46" spans="1:16" x14ac:dyDescent="0.25">
      <c r="E46" t="s">
        <v>105</v>
      </c>
      <c r="G46" s="63">
        <f>E32/SUM(E30:E34)</f>
        <v>0.26582278481012656</v>
      </c>
      <c r="H46" s="63">
        <f>D32/D36</f>
        <v>0.23039215686274508</v>
      </c>
      <c r="I46" s="63">
        <v>0.16847826086956522</v>
      </c>
      <c r="J46" s="63">
        <v>0.15686274509803921</v>
      </c>
      <c r="K46" s="63">
        <v>0.21925133689839571</v>
      </c>
      <c r="L46" s="63">
        <v>0.2661290322580645</v>
      </c>
      <c r="M46" s="63">
        <v>0.24072216649949849</v>
      </c>
    </row>
    <row r="47" spans="1:16" x14ac:dyDescent="0.25">
      <c r="E47" t="s">
        <v>117</v>
      </c>
      <c r="G47" s="63">
        <f>SUM(E33:E34)/SUM(E30:E34)</f>
        <v>0.33755274261603374</v>
      </c>
      <c r="H47" s="63">
        <f>SUM(D33:D35)/D36</f>
        <v>0.31862745098039214</v>
      </c>
      <c r="I47" s="63">
        <v>0.35869565217391303</v>
      </c>
      <c r="J47" s="63">
        <v>0.46666666666666667</v>
      </c>
      <c r="K47" s="63">
        <v>0.28609625668449196</v>
      </c>
      <c r="L47" s="63">
        <v>0.15322580645161288</v>
      </c>
      <c r="M47" s="63">
        <v>0.19558676028084251</v>
      </c>
      <c r="P47" s="77">
        <f>AVERAGE(G47:M47)</f>
        <v>0.30235019083627895</v>
      </c>
    </row>
    <row r="48" spans="1:16" x14ac:dyDescent="0.25">
      <c r="G48" s="77">
        <f>SUM(G44:G47)</f>
        <v>0.99999999999999989</v>
      </c>
      <c r="H48" s="77">
        <f>SUM(H44:H47)</f>
        <v>1</v>
      </c>
    </row>
    <row r="49" spans="7:15" x14ac:dyDescent="0.25">
      <c r="G49" t="s">
        <v>118</v>
      </c>
    </row>
    <row r="50" spans="7:15" x14ac:dyDescent="0.25">
      <c r="G50" t="s">
        <v>119</v>
      </c>
    </row>
    <row r="51" spans="7:15" x14ac:dyDescent="0.25">
      <c r="K51" t="s">
        <v>116</v>
      </c>
      <c r="L51" t="s">
        <v>23</v>
      </c>
      <c r="M51" t="s">
        <v>24</v>
      </c>
      <c r="N51" t="s">
        <v>25</v>
      </c>
      <c r="O51" t="s">
        <v>33</v>
      </c>
    </row>
    <row r="52" spans="7:15" x14ac:dyDescent="0.25">
      <c r="J52" t="s">
        <v>103</v>
      </c>
      <c r="K52">
        <v>48</v>
      </c>
      <c r="L52">
        <v>129</v>
      </c>
      <c r="M52">
        <v>67</v>
      </c>
      <c r="N52">
        <v>67</v>
      </c>
      <c r="O52">
        <v>76</v>
      </c>
    </row>
    <row r="53" spans="7:15" x14ac:dyDescent="0.25">
      <c r="J53" t="s">
        <v>104</v>
      </c>
      <c r="K53">
        <v>8.1999999999999993</v>
      </c>
      <c r="L53">
        <v>56</v>
      </c>
      <c r="M53">
        <v>29</v>
      </c>
      <c r="N53">
        <v>20</v>
      </c>
      <c r="O53">
        <v>6</v>
      </c>
    </row>
    <row r="54" spans="7:15" x14ac:dyDescent="0.25">
      <c r="J54" t="s">
        <v>105</v>
      </c>
      <c r="K54">
        <v>24</v>
      </c>
      <c r="L54">
        <v>82</v>
      </c>
      <c r="M54">
        <v>44</v>
      </c>
      <c r="N54">
        <v>31</v>
      </c>
      <c r="O54">
        <v>40</v>
      </c>
    </row>
    <row r="55" spans="7:15" x14ac:dyDescent="0.25">
      <c r="J55" t="s">
        <v>117</v>
      </c>
      <c r="K55">
        <v>19.5</v>
      </c>
      <c r="L55">
        <v>107</v>
      </c>
      <c r="M55">
        <v>112</v>
      </c>
      <c r="N55">
        <v>66</v>
      </c>
      <c r="O55">
        <v>50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A8114-85A4-4459-AF2E-EB80FAA87B37}">
  <sheetPr>
    <tabColor theme="2" tint="-9.9978637043366805E-2"/>
  </sheetPr>
  <dimension ref="A1:CD120"/>
  <sheetViews>
    <sheetView workbookViewId="0">
      <pane xSplit="1" topLeftCell="B1" activePane="topRight" state="frozen"/>
      <selection activeCell="L8" sqref="L8"/>
      <selection pane="topRight" activeCell="E7" sqref="E7"/>
    </sheetView>
  </sheetViews>
  <sheetFormatPr defaultRowHeight="15" x14ac:dyDescent="0.25"/>
  <cols>
    <col min="1" max="1" width="43.85546875" customWidth="1"/>
    <col min="2" max="2" width="15.85546875" customWidth="1"/>
    <col min="3" max="11" width="12.140625" bestFit="1" customWidth="1"/>
    <col min="12" max="14" width="11.5703125" bestFit="1" customWidth="1"/>
    <col min="15" max="15" width="19.7109375" bestFit="1" customWidth="1"/>
    <col min="16" max="22" width="12.140625" bestFit="1" customWidth="1"/>
    <col min="23" max="32" width="11.5703125" bestFit="1" customWidth="1"/>
    <col min="33" max="33" width="12.85546875" bestFit="1" customWidth="1"/>
    <col min="34" max="39" width="11.5703125" bestFit="1" customWidth="1"/>
    <col min="40" max="47" width="12.85546875" bestFit="1" customWidth="1"/>
    <col min="48" max="49" width="11.5703125" bestFit="1" customWidth="1"/>
    <col min="50" max="82" width="13.28515625" bestFit="1" customWidth="1"/>
  </cols>
  <sheetData>
    <row r="1" spans="1:15" x14ac:dyDescent="0.25">
      <c r="A1" s="21" t="s">
        <v>38</v>
      </c>
      <c r="B1" t="s">
        <v>24</v>
      </c>
      <c r="C1" t="s">
        <v>25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95</v>
      </c>
      <c r="J1" t="s">
        <v>96</v>
      </c>
      <c r="K1" t="s">
        <v>97</v>
      </c>
    </row>
    <row r="2" spans="1:15" x14ac:dyDescent="0.25">
      <c r="A2" s="23" t="s">
        <v>39</v>
      </c>
      <c r="B2" s="47">
        <f>Decomposition!H2</f>
        <v>0.42117117117117114</v>
      </c>
      <c r="C2" s="47">
        <f>Decomposition!I2</f>
        <v>0.52196382428940569</v>
      </c>
      <c r="D2" s="47">
        <f>Decomposition!J2</f>
        <v>0.57938144329896912</v>
      </c>
      <c r="E2" s="47">
        <f>Decomposition!I36</f>
        <v>0.55451127819548873</v>
      </c>
      <c r="F2" s="47">
        <f>$E2</f>
        <v>0.55451127819548873</v>
      </c>
      <c r="G2" s="47">
        <f t="shared" ref="G2:K2" si="0">$E2</f>
        <v>0.55451127819548873</v>
      </c>
      <c r="H2" s="47">
        <f t="shared" si="0"/>
        <v>0.55451127819548873</v>
      </c>
      <c r="I2" s="47">
        <f t="shared" si="0"/>
        <v>0.55451127819548873</v>
      </c>
      <c r="J2" s="47">
        <f t="shared" si="0"/>
        <v>0.55451127819548873</v>
      </c>
      <c r="K2" s="47">
        <f t="shared" si="0"/>
        <v>0.55451127819548873</v>
      </c>
      <c r="L2" s="47"/>
      <c r="M2" s="47"/>
      <c r="N2" s="47"/>
    </row>
    <row r="3" spans="1:15" x14ac:dyDescent="0.25">
      <c r="A3" s="23" t="s">
        <v>40</v>
      </c>
      <c r="B3" s="48">
        <f>Decomposition!H4</f>
        <v>0.26351351351351349</v>
      </c>
      <c r="C3" s="48">
        <f>Decomposition!I4</f>
        <v>0.17054263565891473</v>
      </c>
      <c r="D3" s="48">
        <f>Decomposition!J4</f>
        <v>0.13402061855670103</v>
      </c>
      <c r="E3" s="48">
        <f>Decomposition!K4</f>
        <v>0.15037593984962405</v>
      </c>
      <c r="F3" s="47">
        <f t="shared" ref="F3:K4" si="1">$E3</f>
        <v>0.15037593984962405</v>
      </c>
      <c r="G3" s="47">
        <f t="shared" si="1"/>
        <v>0.15037593984962405</v>
      </c>
      <c r="H3" s="47">
        <f t="shared" si="1"/>
        <v>0.15037593984962405</v>
      </c>
      <c r="I3" s="47">
        <f t="shared" si="1"/>
        <v>0.15037593984962405</v>
      </c>
      <c r="J3" s="47">
        <f t="shared" si="1"/>
        <v>0.15037593984962405</v>
      </c>
      <c r="K3" s="47">
        <f t="shared" si="1"/>
        <v>0.15037593984962405</v>
      </c>
      <c r="L3" s="47"/>
      <c r="M3" s="47"/>
      <c r="N3" s="47"/>
    </row>
    <row r="4" spans="1:15" x14ac:dyDescent="0.25">
      <c r="A4" s="23" t="s">
        <v>41</v>
      </c>
      <c r="B4" s="47">
        <f>Decomposition!H3</f>
        <v>0.31531531531531531</v>
      </c>
      <c r="C4" s="47">
        <f>Decomposition!I3</f>
        <v>0.30490956072351422</v>
      </c>
      <c r="D4" s="47">
        <f>Decomposition!J3</f>
        <v>0.28659793814432988</v>
      </c>
      <c r="E4" s="47">
        <f>Decomposition!K3</f>
        <v>0.29511278195488716</v>
      </c>
      <c r="F4" s="47">
        <f t="shared" si="1"/>
        <v>0.29511278195488716</v>
      </c>
      <c r="G4" s="47">
        <f t="shared" si="1"/>
        <v>0.29511278195488716</v>
      </c>
      <c r="H4" s="47">
        <f t="shared" si="1"/>
        <v>0.29511278195488716</v>
      </c>
      <c r="I4" s="47">
        <f t="shared" si="1"/>
        <v>0.29511278195488716</v>
      </c>
      <c r="J4" s="47">
        <f t="shared" si="1"/>
        <v>0.29511278195488716</v>
      </c>
      <c r="K4" s="47">
        <f t="shared" si="1"/>
        <v>0.29511278195488716</v>
      </c>
      <c r="L4" s="47"/>
      <c r="M4" s="47"/>
      <c r="N4" s="47"/>
    </row>
    <row r="5" spans="1:15" x14ac:dyDescent="0.25">
      <c r="A5" s="23"/>
      <c r="B5" s="47"/>
      <c r="C5" s="47"/>
      <c r="D5" s="47">
        <f>SUM(D2:D4)</f>
        <v>1</v>
      </c>
      <c r="E5" s="47">
        <f>SUM(E2:E4)</f>
        <v>1</v>
      </c>
      <c r="F5" s="47"/>
      <c r="G5" s="47"/>
      <c r="H5" s="47"/>
      <c r="I5" s="47"/>
      <c r="J5" s="47"/>
      <c r="K5" s="47"/>
      <c r="L5" s="47"/>
      <c r="M5" s="47"/>
      <c r="N5" s="47"/>
    </row>
    <row r="6" spans="1:15" x14ac:dyDescent="0.25">
      <c r="A6" s="21" t="s">
        <v>123</v>
      </c>
      <c r="B6" t="s">
        <v>24</v>
      </c>
      <c r="C6" t="s">
        <v>25</v>
      </c>
      <c r="D6" t="s">
        <v>33</v>
      </c>
      <c r="E6" t="s">
        <v>34</v>
      </c>
      <c r="F6" t="s">
        <v>35</v>
      </c>
      <c r="G6" t="s">
        <v>36</v>
      </c>
      <c r="H6" t="s">
        <v>37</v>
      </c>
      <c r="I6" t="s">
        <v>95</v>
      </c>
      <c r="J6" t="s">
        <v>96</v>
      </c>
      <c r="K6" t="s">
        <v>97</v>
      </c>
    </row>
    <row r="7" spans="1:15" x14ac:dyDescent="0.25">
      <c r="A7" s="23" t="s">
        <v>103</v>
      </c>
      <c r="B7" s="47">
        <f>Decomposition!G18</f>
        <v>0.47857142857142859</v>
      </c>
      <c r="C7" s="47">
        <f>Decomposition!H18</f>
        <v>0.56779661016949157</v>
      </c>
      <c r="D7" s="47">
        <f>Decomposition!I18</f>
        <v>0.61870503597122306</v>
      </c>
      <c r="E7" s="47">
        <f>Decomposition!J18</f>
        <v>0.59872611464968151</v>
      </c>
      <c r="F7" s="47">
        <f>E7</f>
        <v>0.59872611464968151</v>
      </c>
      <c r="G7" s="47">
        <f t="shared" ref="G7:K7" si="2">F7</f>
        <v>0.59872611464968151</v>
      </c>
      <c r="H7" s="47">
        <f t="shared" si="2"/>
        <v>0.59872611464968151</v>
      </c>
      <c r="I7" s="47">
        <f t="shared" si="2"/>
        <v>0.59872611464968151</v>
      </c>
      <c r="J7" s="47">
        <f t="shared" si="2"/>
        <v>0.59872611464968151</v>
      </c>
      <c r="K7" s="47">
        <f t="shared" si="2"/>
        <v>0.59872611464968151</v>
      </c>
      <c r="L7" s="47"/>
      <c r="M7" s="47"/>
      <c r="N7" s="47"/>
    </row>
    <row r="8" spans="1:15" x14ac:dyDescent="0.25">
      <c r="A8" s="23" t="s">
        <v>104</v>
      </c>
      <c r="B8" s="47">
        <f>Decomposition!G19</f>
        <v>0.20714285714285716</v>
      </c>
      <c r="C8" s="47">
        <f>Decomposition!H19</f>
        <v>0.16949152542372881</v>
      </c>
      <c r="D8" s="47">
        <f>Decomposition!I19</f>
        <v>4.3165467625899283E-2</v>
      </c>
      <c r="E8" s="47">
        <f>Decomposition!J19</f>
        <v>0</v>
      </c>
      <c r="F8" s="47">
        <f t="shared" ref="F8:K9" si="3">E8</f>
        <v>0</v>
      </c>
      <c r="G8" s="47">
        <f t="shared" si="3"/>
        <v>0</v>
      </c>
      <c r="H8" s="47">
        <f t="shared" si="3"/>
        <v>0</v>
      </c>
      <c r="I8" s="47">
        <f t="shared" si="3"/>
        <v>0</v>
      </c>
      <c r="J8" s="47">
        <f t="shared" si="3"/>
        <v>0</v>
      </c>
      <c r="K8" s="47">
        <f t="shared" si="3"/>
        <v>0</v>
      </c>
      <c r="L8" s="47"/>
      <c r="M8" s="47"/>
      <c r="N8" s="47"/>
    </row>
    <row r="9" spans="1:15" x14ac:dyDescent="0.25">
      <c r="A9" s="23" t="s">
        <v>105</v>
      </c>
      <c r="B9" s="47">
        <f>Decomposition!G20</f>
        <v>0.31428571428571428</v>
      </c>
      <c r="C9" s="47">
        <f>Decomposition!H20</f>
        <v>0.26271186440677968</v>
      </c>
      <c r="D9" s="47">
        <f>Decomposition!I20</f>
        <v>0.33812949640287771</v>
      </c>
      <c r="E9" s="47">
        <f>Decomposition!J20</f>
        <v>0.40127388535031849</v>
      </c>
      <c r="F9" s="47">
        <f t="shared" si="3"/>
        <v>0.40127388535031849</v>
      </c>
      <c r="G9" s="47">
        <f t="shared" si="3"/>
        <v>0.40127388535031849</v>
      </c>
      <c r="H9" s="47">
        <f t="shared" si="3"/>
        <v>0.40127388535031849</v>
      </c>
      <c r="I9" s="47">
        <f t="shared" si="3"/>
        <v>0.40127388535031849</v>
      </c>
      <c r="J9" s="47">
        <f t="shared" si="3"/>
        <v>0.40127388535031849</v>
      </c>
      <c r="K9" s="47">
        <f t="shared" si="3"/>
        <v>0.40127388535031849</v>
      </c>
      <c r="L9" s="47"/>
      <c r="M9" s="47"/>
      <c r="N9" s="47"/>
    </row>
    <row r="10" spans="1:15" x14ac:dyDescent="0.25">
      <c r="A10" s="23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</row>
    <row r="11" spans="1:15" x14ac:dyDescent="0.25">
      <c r="A11" s="21" t="s">
        <v>136</v>
      </c>
      <c r="B11" t="s">
        <v>24</v>
      </c>
      <c r="C11" t="s">
        <v>25</v>
      </c>
      <c r="D11" t="s">
        <v>33</v>
      </c>
      <c r="E11" t="s">
        <v>34</v>
      </c>
      <c r="F11" t="s">
        <v>35</v>
      </c>
      <c r="G11" t="s">
        <v>36</v>
      </c>
      <c r="H11" t="s">
        <v>37</v>
      </c>
      <c r="I11" t="s">
        <v>95</v>
      </c>
      <c r="J11" t="s">
        <v>96</v>
      </c>
      <c r="K11" t="s">
        <v>97</v>
      </c>
    </row>
    <row r="12" spans="1:15" x14ac:dyDescent="0.25">
      <c r="A12" s="23" t="s">
        <v>106</v>
      </c>
      <c r="B12" s="47">
        <f>Decomposition!B39</f>
        <v>0.73831775700934577</v>
      </c>
      <c r="C12" s="47">
        <f>Decomposition!C39</f>
        <v>0.78787878787878785</v>
      </c>
      <c r="D12" s="47">
        <f>Decomposition!D39</f>
        <v>0.77049180327868849</v>
      </c>
      <c r="E12" s="47">
        <f>Decomposition!E39</f>
        <v>0.78749999999999998</v>
      </c>
      <c r="F12" s="47">
        <f t="shared" ref="F12:K12" si="4">E12</f>
        <v>0.78749999999999998</v>
      </c>
      <c r="G12" s="47">
        <f>F12</f>
        <v>0.78749999999999998</v>
      </c>
      <c r="H12" s="47">
        <f t="shared" si="4"/>
        <v>0.78749999999999998</v>
      </c>
      <c r="I12" s="47">
        <f t="shared" si="4"/>
        <v>0.78749999999999998</v>
      </c>
      <c r="J12" s="47">
        <f t="shared" si="4"/>
        <v>0.78749999999999998</v>
      </c>
      <c r="K12" s="47">
        <f t="shared" si="4"/>
        <v>0.78749999999999998</v>
      </c>
      <c r="L12" s="47"/>
      <c r="M12" s="47"/>
      <c r="N12" s="47"/>
    </row>
    <row r="13" spans="1:15" x14ac:dyDescent="0.25">
      <c r="A13" s="23" t="s">
        <v>107</v>
      </c>
      <c r="B13" s="47">
        <f>1-B12</f>
        <v>0.26168224299065423</v>
      </c>
      <c r="C13" s="47">
        <f t="shared" ref="C13:D13" si="5">1-C12</f>
        <v>0.21212121212121215</v>
      </c>
      <c r="D13" s="47">
        <f t="shared" si="5"/>
        <v>0.22950819672131151</v>
      </c>
      <c r="E13" s="47">
        <f t="shared" ref="E13" si="6">1-E12</f>
        <v>0.21250000000000002</v>
      </c>
      <c r="F13" s="47">
        <f t="shared" ref="F13:K13" si="7">E13</f>
        <v>0.21250000000000002</v>
      </c>
      <c r="G13" s="47">
        <f t="shared" si="7"/>
        <v>0.21250000000000002</v>
      </c>
      <c r="H13" s="47">
        <f t="shared" si="7"/>
        <v>0.21250000000000002</v>
      </c>
      <c r="I13" s="47">
        <f t="shared" si="7"/>
        <v>0.21250000000000002</v>
      </c>
      <c r="J13" s="47">
        <f t="shared" si="7"/>
        <v>0.21250000000000002</v>
      </c>
      <c r="K13" s="47">
        <f t="shared" si="7"/>
        <v>0.21250000000000002</v>
      </c>
      <c r="L13" s="47"/>
      <c r="M13" s="47"/>
      <c r="N13" s="47"/>
    </row>
    <row r="14" spans="1:15" x14ac:dyDescent="0.25">
      <c r="A14" s="23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</row>
    <row r="15" spans="1:15" x14ac:dyDescent="0.25">
      <c r="A15" s="21" t="s">
        <v>42</v>
      </c>
      <c r="C15" t="s">
        <v>25</v>
      </c>
      <c r="D15" t="s">
        <v>33</v>
      </c>
      <c r="E15" t="s">
        <v>34</v>
      </c>
      <c r="F15" t="s">
        <v>35</v>
      </c>
      <c r="G15" t="s">
        <v>36</v>
      </c>
      <c r="H15" t="s">
        <v>37</v>
      </c>
      <c r="I15" t="s">
        <v>95</v>
      </c>
      <c r="J15" t="s">
        <v>96</v>
      </c>
      <c r="K15" t="s">
        <v>97</v>
      </c>
    </row>
    <row r="16" spans="1:15" x14ac:dyDescent="0.25">
      <c r="A16" s="23" t="s">
        <v>11</v>
      </c>
      <c r="C16" s="24">
        <f>AVERAGE(C35:F35)</f>
        <v>3.3891666666666627</v>
      </c>
      <c r="D16" s="24">
        <f>AVERAGE(G35:J35)</f>
        <v>4.9608333333333299</v>
      </c>
      <c r="E16" s="24">
        <f>AVERAGE(K35:N35)</f>
        <v>3.8513333333333324</v>
      </c>
      <c r="F16" s="24">
        <f>AVERAGE(O35:R35)</f>
        <v>2.7</v>
      </c>
      <c r="G16" s="24">
        <f>AVERAGE(S35:V35)</f>
        <v>2.7</v>
      </c>
      <c r="H16" s="24">
        <f>AVERAGE(W35:Z35)</f>
        <v>2.7</v>
      </c>
      <c r="I16" s="24">
        <f>AVERAGE(AA35:AD35)</f>
        <v>2.7</v>
      </c>
      <c r="J16" s="24">
        <f>AVERAGE(AE35:AH35)</f>
        <v>2.7</v>
      </c>
      <c r="K16" s="24">
        <f>AVERAGE(AI35:AL35)</f>
        <v>2.7000000000000006</v>
      </c>
      <c r="L16" s="24"/>
      <c r="M16" s="24"/>
      <c r="N16" s="24"/>
      <c r="O16" s="24"/>
    </row>
    <row r="17" spans="1:82" x14ac:dyDescent="0.25">
      <c r="A17" s="23" t="s">
        <v>12</v>
      </c>
      <c r="C17" s="24">
        <f>AVERAGE(C33:F33)</f>
        <v>3.0449999999999977</v>
      </c>
      <c r="D17" s="24">
        <f>AVERAGE(G33:J33)</f>
        <v>3.3324999999999978</v>
      </c>
      <c r="E17" s="24">
        <f>AVERAGE(K33:N33)</f>
        <v>3.3541665833333325</v>
      </c>
      <c r="F17" s="24">
        <f>AVERAGE(O33:R33)</f>
        <v>3.75</v>
      </c>
      <c r="G17" s="24">
        <f>AVERAGE(S33:V33)</f>
        <v>3.75</v>
      </c>
      <c r="H17" s="24">
        <f>AVERAGE(W33:Z33)</f>
        <v>3.75</v>
      </c>
      <c r="I17" s="24">
        <f>AVERAGE(AA33:AD33)</f>
        <v>3.75</v>
      </c>
      <c r="J17" s="24">
        <f>AVERAGE(AE33:AH33)</f>
        <v>3.75</v>
      </c>
      <c r="K17" s="24">
        <f>AVERAGE(AI33:AL33)</f>
        <v>3.75</v>
      </c>
      <c r="L17" s="24"/>
      <c r="M17" s="24"/>
      <c r="N17" s="24"/>
      <c r="O17" s="24"/>
    </row>
    <row r="18" spans="1:82" x14ac:dyDescent="0.25">
      <c r="A18" s="23" t="s">
        <v>13</v>
      </c>
      <c r="C18" s="24">
        <f>AVERAGE(C34:F34)</f>
        <v>3.0358333333333301</v>
      </c>
      <c r="D18" s="24">
        <f>AVERAGE(G34:J34)</f>
        <v>3.4458333333333302</v>
      </c>
      <c r="E18" s="24">
        <f>AVERAGE(K34:N34)</f>
        <v>3.2991667499999999</v>
      </c>
      <c r="F18" s="24">
        <f>AVERAGE(O34:R34)</f>
        <v>3.5</v>
      </c>
      <c r="G18" s="24">
        <f>AVERAGE(S34:V34)</f>
        <v>3.5</v>
      </c>
      <c r="H18" s="24">
        <f>AVERAGE(W34:Z34)</f>
        <v>3.5</v>
      </c>
      <c r="I18" s="24">
        <f>AVERAGE(AA34:AD34)</f>
        <v>3.5</v>
      </c>
      <c r="J18" s="24">
        <f>AVERAGE(AE34:AH34)</f>
        <v>3.5</v>
      </c>
      <c r="K18" s="24">
        <f>AVERAGE(AI34:AL34)</f>
        <v>3.5</v>
      </c>
      <c r="L18" s="24"/>
      <c r="M18" s="24"/>
      <c r="N18" s="24"/>
      <c r="O18" s="24"/>
    </row>
    <row r="19" spans="1:82" x14ac:dyDescent="0.25">
      <c r="A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</row>
    <row r="20" spans="1:82" x14ac:dyDescent="0.25">
      <c r="A20" s="23" t="s">
        <v>229</v>
      </c>
      <c r="C20" s="24">
        <f>AVERAGE(C36:F36)</f>
        <v>3.1771666666666629</v>
      </c>
      <c r="D20" s="24">
        <f t="shared" ref="D20:D22" si="8">AVERAGE(G36:J36)</f>
        <v>4.0518333333333301</v>
      </c>
      <c r="E20" s="24">
        <f t="shared" ref="E20:E22" si="9">AVERAGE(K36:N36)</f>
        <v>3.4651750541666648</v>
      </c>
      <c r="F20" s="24">
        <f t="shared" ref="F20:F22" si="10">AVERAGE(O36:R36)</f>
        <v>2.82</v>
      </c>
      <c r="G20" s="24">
        <f t="shared" ref="G20:G22" si="11">AVERAGE(S36:V36)</f>
        <v>2.82</v>
      </c>
      <c r="H20" s="24">
        <f t="shared" ref="H20:H22" si="12">AVERAGE(W36:Z36)</f>
        <v>2.82</v>
      </c>
      <c r="I20" s="24">
        <f t="shared" ref="I20:I22" si="13">AVERAGE(AA36:AD36)</f>
        <v>2.82</v>
      </c>
      <c r="J20" s="24">
        <f t="shared" ref="J20:J22" si="14">AVERAGE(AE36:AH36)</f>
        <v>2.82</v>
      </c>
      <c r="K20" s="24">
        <f t="shared" ref="K20:K22" si="15">AVERAGE(AI36:AL36)</f>
        <v>2.82</v>
      </c>
      <c r="L20" s="24"/>
      <c r="M20" s="24"/>
      <c r="N20" s="24"/>
      <c r="O20" s="24"/>
    </row>
    <row r="21" spans="1:82" x14ac:dyDescent="0.25">
      <c r="A21" s="23" t="s">
        <v>230</v>
      </c>
      <c r="C21" s="24">
        <f t="shared" ref="C21:C22" si="16">AVERAGE(C37:F37)</f>
        <v>3.1771666666666629</v>
      </c>
      <c r="D21" s="24">
        <f t="shared" si="8"/>
        <v>4.0518333333333301</v>
      </c>
      <c r="E21" s="24">
        <f t="shared" si="9"/>
        <v>3.4320450591666654</v>
      </c>
      <c r="F21" s="24">
        <f t="shared" si="10"/>
        <v>2.8679999999999999</v>
      </c>
      <c r="G21" s="24">
        <f t="shared" si="11"/>
        <v>2.8679999999999999</v>
      </c>
      <c r="H21" s="24">
        <f t="shared" si="12"/>
        <v>2.8679999999999999</v>
      </c>
      <c r="I21" s="24">
        <f t="shared" si="13"/>
        <v>2.8679999999999999</v>
      </c>
      <c r="J21" s="24">
        <f t="shared" si="14"/>
        <v>2.8679999999999999</v>
      </c>
      <c r="K21" s="24">
        <f t="shared" si="15"/>
        <v>2.8679999999999999</v>
      </c>
      <c r="L21" s="24"/>
      <c r="M21" s="24"/>
      <c r="N21" s="24"/>
      <c r="O21" s="24"/>
    </row>
    <row r="22" spans="1:82" x14ac:dyDescent="0.25">
      <c r="A22" s="23" t="s">
        <v>231</v>
      </c>
      <c r="C22" s="24">
        <f t="shared" si="16"/>
        <v>3.1771666666666629</v>
      </c>
      <c r="D22" s="24">
        <f t="shared" si="8"/>
        <v>4.0518333333333301</v>
      </c>
      <c r="E22" s="24">
        <f t="shared" si="9"/>
        <v>3.3436984058333326</v>
      </c>
      <c r="F22" s="24">
        <f t="shared" si="10"/>
        <v>2.996</v>
      </c>
      <c r="G22" s="24">
        <f t="shared" si="11"/>
        <v>2.996</v>
      </c>
      <c r="H22" s="24">
        <f t="shared" si="12"/>
        <v>2.996</v>
      </c>
      <c r="I22" s="24">
        <f t="shared" si="13"/>
        <v>2.996</v>
      </c>
      <c r="J22" s="24">
        <f t="shared" si="14"/>
        <v>2.996</v>
      </c>
      <c r="K22" s="24">
        <f t="shared" si="15"/>
        <v>2.996</v>
      </c>
      <c r="L22" s="24"/>
      <c r="M22" s="24"/>
      <c r="N22" s="24"/>
      <c r="O22" s="24"/>
    </row>
    <row r="23" spans="1:82" x14ac:dyDescent="0.25">
      <c r="A23" s="21"/>
    </row>
    <row r="24" spans="1:82" s="49" customFormat="1" x14ac:dyDescent="0.25">
      <c r="A24" s="49" t="s">
        <v>43</v>
      </c>
      <c r="C24" s="49">
        <f>0.6*C18+0.4*C16</f>
        <v>3.1771666666666629</v>
      </c>
      <c r="D24" s="49">
        <f>0.6*D18+0.4*D16</f>
        <v>4.0518333333333301</v>
      </c>
      <c r="E24" s="49">
        <f>0.6*E18+0.4*E16</f>
        <v>3.5200333833333328</v>
      </c>
      <c r="F24" s="49">
        <f>0.6*F18+0.4*F16</f>
        <v>3.18</v>
      </c>
      <c r="G24" s="49">
        <f t="shared" ref="G24:K24" si="17">0.6*G18+0.4*G16</f>
        <v>3.18</v>
      </c>
      <c r="H24" s="49">
        <f t="shared" si="17"/>
        <v>3.18</v>
      </c>
      <c r="I24" s="49">
        <f t="shared" si="17"/>
        <v>3.18</v>
      </c>
      <c r="J24" s="49">
        <f t="shared" si="17"/>
        <v>3.18</v>
      </c>
      <c r="K24" s="49">
        <f t="shared" si="17"/>
        <v>3.1800000000000006</v>
      </c>
    </row>
    <row r="25" spans="1:82" s="23" customFormat="1" x14ac:dyDescent="0.25">
      <c r="A25" s="23" t="s">
        <v>292</v>
      </c>
      <c r="C25" s="49">
        <f>C$2*C16+C$3*C17+C$4*C$7*C$20+C$4*C$8*C$21+C$4*C$9*C$22</f>
        <v>3.2570732127476276</v>
      </c>
      <c r="D25" s="49">
        <f t="shared" ref="D25:K25" si="18">D$2*D16+D$3*D17+D$4*D$7*D$20+D$4*D$8*D$21+D$4*D$9*D$22</f>
        <v>4.4820855670103068</v>
      </c>
      <c r="E25" s="49">
        <f t="shared" si="18"/>
        <v>3.6482257794345228</v>
      </c>
      <c r="F25" s="49">
        <f>F$2*F16+F$3*F17+F$4*F$7*F$20+F$4*F$8*F$21+F$4*F$9*F$22</f>
        <v>2.9141503759398493</v>
      </c>
      <c r="G25" s="49">
        <f t="shared" si="18"/>
        <v>2.9141503759398493</v>
      </c>
      <c r="H25" s="49">
        <f t="shared" si="18"/>
        <v>2.9141503759398493</v>
      </c>
      <c r="I25" s="49">
        <f t="shared" si="18"/>
        <v>2.9141503759398493</v>
      </c>
      <c r="J25" s="49">
        <f t="shared" si="18"/>
        <v>2.9141503759398493</v>
      </c>
      <c r="K25" s="49">
        <f t="shared" si="18"/>
        <v>2.9141503759398493</v>
      </c>
      <c r="L25" s="49"/>
      <c r="M25" s="49"/>
      <c r="N25" s="49"/>
      <c r="O25" s="49"/>
    </row>
    <row r="26" spans="1:82" x14ac:dyDescent="0.25">
      <c r="A26" s="21"/>
    </row>
    <row r="29" spans="1:82" x14ac:dyDescent="0.25">
      <c r="A29" s="21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  <c r="BL29" s="52"/>
      <c r="BM29" s="52"/>
      <c r="BN29" s="52"/>
      <c r="BO29" s="52"/>
      <c r="BP29" s="52"/>
      <c r="BQ29" s="52"/>
      <c r="BR29" s="52"/>
      <c r="BS29" s="52"/>
      <c r="BT29" s="52"/>
      <c r="BU29" s="52"/>
      <c r="BV29" s="52"/>
      <c r="BW29" s="52"/>
      <c r="BX29" s="52"/>
      <c r="BY29" s="52"/>
      <c r="BZ29" s="52"/>
      <c r="CA29" s="52"/>
      <c r="CB29" s="52"/>
      <c r="CC29" s="52"/>
      <c r="CD29" s="52"/>
    </row>
    <row r="30" spans="1:82" x14ac:dyDescent="0.25">
      <c r="A30" s="21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2"/>
      <c r="BL30" s="52"/>
      <c r="BM30" s="52"/>
      <c r="BN30" s="52"/>
      <c r="BO30" s="52"/>
      <c r="BP30" s="52"/>
      <c r="BQ30" s="52"/>
      <c r="BR30" s="52"/>
      <c r="BS30" s="52"/>
      <c r="BT30" s="52"/>
      <c r="BU30" s="52"/>
      <c r="BV30" s="52"/>
      <c r="BW30" s="52"/>
      <c r="BX30" s="52"/>
      <c r="BY30" s="52"/>
      <c r="BZ30" s="52"/>
      <c r="CA30" s="52"/>
      <c r="CB30" s="52"/>
      <c r="CC30" s="52"/>
      <c r="CD30" s="52"/>
    </row>
    <row r="31" spans="1:82" x14ac:dyDescent="0.25">
      <c r="A31" s="21" t="s">
        <v>14</v>
      </c>
    </row>
    <row r="32" spans="1:82" s="19" customFormat="1" x14ac:dyDescent="0.25">
      <c r="A32" s="22"/>
      <c r="B32" s="19" t="s">
        <v>10</v>
      </c>
      <c r="C32" s="19">
        <v>44652</v>
      </c>
      <c r="D32" s="19">
        <v>44743</v>
      </c>
      <c r="E32" s="19">
        <v>44835</v>
      </c>
      <c r="F32" s="19">
        <v>44927</v>
      </c>
      <c r="G32" s="19">
        <v>45017</v>
      </c>
      <c r="H32" s="19">
        <v>45108</v>
      </c>
      <c r="I32" s="19">
        <v>45200</v>
      </c>
      <c r="J32" s="19">
        <v>45292</v>
      </c>
      <c r="K32" s="19">
        <v>45383</v>
      </c>
      <c r="L32" s="19">
        <v>45474</v>
      </c>
      <c r="M32" s="19">
        <v>45566</v>
      </c>
      <c r="N32" s="19">
        <v>45658</v>
      </c>
      <c r="O32" s="19">
        <v>45748</v>
      </c>
      <c r="P32" s="19">
        <v>45839</v>
      </c>
      <c r="Q32" s="19">
        <v>45931</v>
      </c>
      <c r="R32" s="19">
        <v>46023</v>
      </c>
      <c r="S32" s="19">
        <v>46113</v>
      </c>
      <c r="T32" s="19">
        <v>46204</v>
      </c>
      <c r="U32" s="19">
        <v>46296</v>
      </c>
      <c r="V32" s="19">
        <v>46388</v>
      </c>
      <c r="W32" s="19">
        <v>46478</v>
      </c>
      <c r="X32" s="19">
        <v>46569</v>
      </c>
      <c r="Y32" s="19">
        <v>46661</v>
      </c>
      <c r="Z32" s="19">
        <v>46753</v>
      </c>
      <c r="AA32" s="19">
        <v>46844</v>
      </c>
      <c r="AB32" s="19">
        <v>46935</v>
      </c>
      <c r="AC32" s="19">
        <v>47027</v>
      </c>
      <c r="AD32" s="19">
        <v>47119</v>
      </c>
      <c r="AE32" s="19">
        <v>47209</v>
      </c>
      <c r="AF32" s="19">
        <v>47300</v>
      </c>
      <c r="AG32" s="19">
        <v>47392</v>
      </c>
      <c r="AH32" s="19">
        <v>47484</v>
      </c>
      <c r="AI32" s="19">
        <v>47574</v>
      </c>
      <c r="AJ32" s="19">
        <v>47665</v>
      </c>
      <c r="AK32" s="19">
        <v>47757</v>
      </c>
    </row>
    <row r="33" spans="1:45" s="24" customFormat="1" x14ac:dyDescent="0.25">
      <c r="A33" s="25" t="s">
        <v>12</v>
      </c>
      <c r="B33" s="24" t="s">
        <v>15</v>
      </c>
      <c r="C33">
        <v>2.92</v>
      </c>
      <c r="D33">
        <v>2.94</v>
      </c>
      <c r="E33">
        <v>3.2366666666666601</v>
      </c>
      <c r="F33">
        <v>3.0833333333333299</v>
      </c>
      <c r="G33">
        <v>3.0733333333333301</v>
      </c>
      <c r="H33">
        <v>3.5233333333333299</v>
      </c>
      <c r="I33">
        <v>3.39333333333333</v>
      </c>
      <c r="J33">
        <v>3.34</v>
      </c>
      <c r="K33">
        <v>3.5533333333333301</v>
      </c>
      <c r="L33">
        <v>3.2</v>
      </c>
      <c r="M33">
        <v>3.3233329999999999</v>
      </c>
      <c r="N33">
        <v>3.34</v>
      </c>
      <c r="O33">
        <v>3.75</v>
      </c>
      <c r="P33">
        <v>3.75</v>
      </c>
      <c r="Q33">
        <v>3.75</v>
      </c>
      <c r="R33">
        <v>3.75</v>
      </c>
      <c r="S33">
        <v>3.75</v>
      </c>
      <c r="T33">
        <v>3.75</v>
      </c>
      <c r="U33">
        <v>3.75</v>
      </c>
      <c r="V33">
        <v>3.75</v>
      </c>
      <c r="W33">
        <v>3.75</v>
      </c>
      <c r="X33">
        <v>3.75</v>
      </c>
      <c r="Y33">
        <v>3.75</v>
      </c>
      <c r="Z33">
        <v>3.75</v>
      </c>
      <c r="AA33">
        <v>3.75</v>
      </c>
      <c r="AB33">
        <v>3.75</v>
      </c>
      <c r="AC33">
        <v>3.75</v>
      </c>
      <c r="AD33">
        <v>3.75</v>
      </c>
      <c r="AE33">
        <v>3.75</v>
      </c>
      <c r="AF33">
        <v>3.75</v>
      </c>
      <c r="AG33">
        <v>3.75</v>
      </c>
      <c r="AH33">
        <v>3.75</v>
      </c>
      <c r="AI33">
        <v>3.75</v>
      </c>
      <c r="AJ33">
        <v>3.75</v>
      </c>
      <c r="AK33">
        <v>3.75</v>
      </c>
      <c r="AL33"/>
      <c r="AM33"/>
      <c r="AN33"/>
      <c r="AO33"/>
      <c r="AP33"/>
      <c r="AQ33"/>
      <c r="AR33"/>
      <c r="AS33"/>
    </row>
    <row r="34" spans="1:45" s="24" customFormat="1" x14ac:dyDescent="0.25">
      <c r="A34" s="25" t="s">
        <v>13</v>
      </c>
      <c r="B34" s="24" t="s">
        <v>16</v>
      </c>
      <c r="C34">
        <v>2.95</v>
      </c>
      <c r="D34">
        <v>2.9866666666666601</v>
      </c>
      <c r="E34">
        <v>3.1766666666666601</v>
      </c>
      <c r="F34">
        <v>3.03</v>
      </c>
      <c r="G34">
        <v>3.0833333333333299</v>
      </c>
      <c r="H34">
        <v>3.70333333333333</v>
      </c>
      <c r="I34">
        <v>3.56</v>
      </c>
      <c r="J34">
        <v>3.4366666666666599</v>
      </c>
      <c r="K34">
        <v>3.67</v>
      </c>
      <c r="L34">
        <v>3.09</v>
      </c>
      <c r="M34">
        <v>3.2566670000000002</v>
      </c>
      <c r="N34">
        <v>3.18</v>
      </c>
      <c r="O34">
        <v>3.5</v>
      </c>
      <c r="P34">
        <v>3.5</v>
      </c>
      <c r="Q34">
        <v>3.5</v>
      </c>
      <c r="R34">
        <v>3.5</v>
      </c>
      <c r="S34">
        <v>3.5</v>
      </c>
      <c r="T34">
        <v>3.5</v>
      </c>
      <c r="U34">
        <v>3.5</v>
      </c>
      <c r="V34">
        <v>3.5</v>
      </c>
      <c r="W34">
        <v>3.5</v>
      </c>
      <c r="X34">
        <v>3.5</v>
      </c>
      <c r="Y34">
        <v>3.5</v>
      </c>
      <c r="Z34">
        <v>3.5</v>
      </c>
      <c r="AA34">
        <v>3.5</v>
      </c>
      <c r="AB34">
        <v>3.5</v>
      </c>
      <c r="AC34">
        <v>3.5</v>
      </c>
      <c r="AD34">
        <v>3.5</v>
      </c>
      <c r="AE34">
        <v>3.5</v>
      </c>
      <c r="AF34">
        <v>3.5</v>
      </c>
      <c r="AG34">
        <v>3.5</v>
      </c>
      <c r="AH34">
        <v>3.5</v>
      </c>
      <c r="AI34">
        <v>3.5</v>
      </c>
      <c r="AJ34">
        <v>3.5</v>
      </c>
      <c r="AK34">
        <v>3.5</v>
      </c>
      <c r="AL34"/>
      <c r="AM34"/>
      <c r="AN34"/>
      <c r="AO34"/>
      <c r="AP34"/>
      <c r="AQ34"/>
      <c r="AR34"/>
      <c r="AS34"/>
    </row>
    <row r="35" spans="1:45" s="24" customFormat="1" x14ac:dyDescent="0.25">
      <c r="A35" s="25" t="s">
        <v>11</v>
      </c>
      <c r="B35" s="24" t="s">
        <v>17</v>
      </c>
      <c r="C35">
        <v>1.6566666666666601</v>
      </c>
      <c r="D35">
        <v>3.2233333333333301</v>
      </c>
      <c r="E35">
        <v>4.2</v>
      </c>
      <c r="F35">
        <v>4.4766666666666604</v>
      </c>
      <c r="G35">
        <v>4.6466666666666603</v>
      </c>
      <c r="H35">
        <v>5.1133333333333297</v>
      </c>
      <c r="I35">
        <v>5.08</v>
      </c>
      <c r="J35">
        <v>5.0033333333333303</v>
      </c>
      <c r="K35">
        <v>4.8233333333333297</v>
      </c>
      <c r="L35">
        <v>4.2</v>
      </c>
      <c r="M35">
        <v>3.42</v>
      </c>
      <c r="N35">
        <v>2.9620000000000002</v>
      </c>
      <c r="O35">
        <v>2.7</v>
      </c>
      <c r="P35">
        <v>2.7</v>
      </c>
      <c r="Q35">
        <v>2.7</v>
      </c>
      <c r="R35">
        <v>2.7</v>
      </c>
      <c r="S35">
        <v>2.7</v>
      </c>
      <c r="T35">
        <v>2.7</v>
      </c>
      <c r="U35">
        <v>2.7</v>
      </c>
      <c r="V35">
        <v>2.7</v>
      </c>
      <c r="W35">
        <v>2.7</v>
      </c>
      <c r="X35">
        <v>2.7</v>
      </c>
      <c r="Y35">
        <v>2.7</v>
      </c>
      <c r="Z35">
        <v>2.7</v>
      </c>
      <c r="AA35">
        <v>2.7</v>
      </c>
      <c r="AB35">
        <v>2.7</v>
      </c>
      <c r="AC35">
        <v>2.7</v>
      </c>
      <c r="AD35">
        <v>2.7</v>
      </c>
      <c r="AE35">
        <v>2.7</v>
      </c>
      <c r="AF35">
        <v>2.7</v>
      </c>
      <c r="AG35">
        <v>2.7</v>
      </c>
      <c r="AH35">
        <v>2.7</v>
      </c>
      <c r="AI35">
        <v>2.7</v>
      </c>
      <c r="AJ35">
        <v>2.7</v>
      </c>
      <c r="AK35">
        <v>2.7</v>
      </c>
      <c r="AL35"/>
      <c r="AM35"/>
      <c r="AN35"/>
      <c r="AO35"/>
      <c r="AP35"/>
      <c r="AQ35"/>
      <c r="AR35"/>
      <c r="AS35"/>
    </row>
    <row r="36" spans="1:45" x14ac:dyDescent="0.25">
      <c r="A36" s="25" t="s">
        <v>229</v>
      </c>
      <c r="B36" s="24" t="s">
        <v>254</v>
      </c>
      <c r="C36">
        <v>2.4326666666666599</v>
      </c>
      <c r="D36">
        <v>3.0813333333333301</v>
      </c>
      <c r="E36">
        <v>3.5859999999999999</v>
      </c>
      <c r="F36">
        <v>3.60866666666666</v>
      </c>
      <c r="G36">
        <v>3.7086666666666601</v>
      </c>
      <c r="H36">
        <v>4.2673333333333296</v>
      </c>
      <c r="I36">
        <v>4.1680000000000001</v>
      </c>
      <c r="J36">
        <v>4.0633333333333299</v>
      </c>
      <c r="K36">
        <v>4.0736666666666599</v>
      </c>
      <c r="L36">
        <v>3.4784999999999999</v>
      </c>
      <c r="M36">
        <v>3.31383355</v>
      </c>
      <c r="N36">
        <v>2.9946999999999999</v>
      </c>
      <c r="O36">
        <v>2.82</v>
      </c>
      <c r="P36">
        <v>2.82</v>
      </c>
      <c r="Q36">
        <v>2.82</v>
      </c>
      <c r="R36">
        <v>2.82</v>
      </c>
      <c r="S36">
        <v>2.82</v>
      </c>
      <c r="T36">
        <v>2.82</v>
      </c>
      <c r="U36">
        <v>2.82</v>
      </c>
      <c r="V36">
        <v>2.82</v>
      </c>
      <c r="W36">
        <v>2.82</v>
      </c>
      <c r="X36">
        <v>2.82</v>
      </c>
      <c r="Y36">
        <v>2.82</v>
      </c>
      <c r="Z36">
        <v>2.82</v>
      </c>
      <c r="AA36">
        <v>2.82</v>
      </c>
      <c r="AB36">
        <v>2.82</v>
      </c>
      <c r="AC36">
        <v>2.82</v>
      </c>
      <c r="AD36">
        <v>2.82</v>
      </c>
      <c r="AE36">
        <v>2.82</v>
      </c>
      <c r="AF36">
        <v>2.82</v>
      </c>
      <c r="AG36">
        <v>2.82</v>
      </c>
      <c r="AH36">
        <v>2.82</v>
      </c>
      <c r="AI36">
        <v>2.82</v>
      </c>
      <c r="AJ36">
        <v>2.82</v>
      </c>
      <c r="AK36">
        <v>2.82</v>
      </c>
    </row>
    <row r="37" spans="1:45" x14ac:dyDescent="0.25">
      <c r="A37" s="25" t="s">
        <v>230</v>
      </c>
      <c r="B37" s="24" t="s">
        <v>255</v>
      </c>
      <c r="C37">
        <v>2.4326666666666599</v>
      </c>
      <c r="D37">
        <v>3.0813333333333301</v>
      </c>
      <c r="E37">
        <v>3.5859999999999999</v>
      </c>
      <c r="F37">
        <v>3.60866666666666</v>
      </c>
      <c r="G37">
        <v>3.7086666666666601</v>
      </c>
      <c r="H37">
        <v>4.2673333333333296</v>
      </c>
      <c r="I37">
        <v>4.1680000000000001</v>
      </c>
      <c r="J37">
        <v>4.0633333333333299</v>
      </c>
      <c r="K37">
        <v>4.0044666666666604</v>
      </c>
      <c r="L37">
        <v>3.4119000000000002</v>
      </c>
      <c r="M37">
        <v>3.3040335700000001</v>
      </c>
      <c r="N37">
        <v>3.0077799999999999</v>
      </c>
      <c r="O37">
        <v>2.8679999999999999</v>
      </c>
      <c r="P37">
        <v>2.8679999999999999</v>
      </c>
      <c r="Q37">
        <v>2.8679999999999999</v>
      </c>
      <c r="R37">
        <v>2.8679999999999999</v>
      </c>
      <c r="S37">
        <v>2.8679999999999999</v>
      </c>
      <c r="T37">
        <v>2.8679999999999999</v>
      </c>
      <c r="U37">
        <v>2.8679999999999999</v>
      </c>
      <c r="V37">
        <v>2.8679999999999999</v>
      </c>
      <c r="W37">
        <v>2.8679999999999999</v>
      </c>
      <c r="X37">
        <v>2.8679999999999999</v>
      </c>
      <c r="Y37">
        <v>2.8679999999999999</v>
      </c>
      <c r="Z37">
        <v>2.8679999999999999</v>
      </c>
      <c r="AA37">
        <v>2.8679999999999999</v>
      </c>
      <c r="AB37">
        <v>2.8679999999999999</v>
      </c>
      <c r="AC37">
        <v>2.8679999999999999</v>
      </c>
      <c r="AD37">
        <v>2.8679999999999999</v>
      </c>
      <c r="AE37">
        <v>2.8679999999999999</v>
      </c>
      <c r="AF37">
        <v>2.8679999999999999</v>
      </c>
      <c r="AG37">
        <v>2.8679999999999999</v>
      </c>
      <c r="AH37">
        <v>2.8679999999999999</v>
      </c>
      <c r="AI37">
        <v>2.8679999999999999</v>
      </c>
      <c r="AJ37">
        <v>2.8679999999999999</v>
      </c>
      <c r="AK37">
        <v>2.8679999999999999</v>
      </c>
    </row>
    <row r="38" spans="1:45" x14ac:dyDescent="0.25">
      <c r="A38" s="25" t="s">
        <v>231</v>
      </c>
      <c r="B38" s="24" t="s">
        <v>256</v>
      </c>
      <c r="C38">
        <v>2.4326666666666599</v>
      </c>
      <c r="D38">
        <v>3.0813333333333301</v>
      </c>
      <c r="E38">
        <v>3.5859999999999999</v>
      </c>
      <c r="F38">
        <v>3.60866666666666</v>
      </c>
      <c r="G38">
        <v>3.7086666666666601</v>
      </c>
      <c r="H38">
        <v>4.2673333333333296</v>
      </c>
      <c r="I38">
        <v>4.1680000000000001</v>
      </c>
      <c r="J38">
        <v>4.0633333333333299</v>
      </c>
      <c r="K38">
        <v>3.8199333333333301</v>
      </c>
      <c r="L38">
        <v>3.2343000000000002</v>
      </c>
      <c r="M38">
        <v>3.2779002899999998</v>
      </c>
      <c r="N38">
        <v>3.0426600000000001</v>
      </c>
      <c r="O38">
        <v>2.996</v>
      </c>
      <c r="P38">
        <v>2.996</v>
      </c>
      <c r="Q38">
        <v>2.996</v>
      </c>
      <c r="R38">
        <v>2.996</v>
      </c>
      <c r="S38">
        <v>2.996</v>
      </c>
      <c r="T38">
        <v>2.996</v>
      </c>
      <c r="U38">
        <v>2.996</v>
      </c>
      <c r="V38">
        <v>2.996</v>
      </c>
      <c r="W38">
        <v>2.996</v>
      </c>
      <c r="X38">
        <v>2.996</v>
      </c>
      <c r="Y38">
        <v>2.996</v>
      </c>
      <c r="Z38">
        <v>2.996</v>
      </c>
      <c r="AA38">
        <v>2.996</v>
      </c>
      <c r="AB38">
        <v>2.996</v>
      </c>
      <c r="AC38">
        <v>2.996</v>
      </c>
      <c r="AD38">
        <v>2.996</v>
      </c>
      <c r="AE38">
        <v>2.996</v>
      </c>
      <c r="AF38">
        <v>2.996</v>
      </c>
      <c r="AG38">
        <v>2.996</v>
      </c>
      <c r="AH38">
        <v>2.996</v>
      </c>
      <c r="AI38">
        <v>2.996</v>
      </c>
      <c r="AJ38">
        <v>2.996</v>
      </c>
      <c r="AK38">
        <v>2.996</v>
      </c>
    </row>
    <row r="40" spans="1:45" x14ac:dyDescent="0.25">
      <c r="A40" s="25" t="s">
        <v>286</v>
      </c>
      <c r="O40" s="20">
        <f>F3</f>
        <v>0.15037593984962405</v>
      </c>
      <c r="P40" s="20">
        <f>O40</f>
        <v>0.15037593984962405</v>
      </c>
      <c r="Q40" s="20">
        <f t="shared" ref="Q40:AK44" si="19">P40</f>
        <v>0.15037593984962405</v>
      </c>
      <c r="R40" s="20">
        <f t="shared" si="19"/>
        <v>0.15037593984962405</v>
      </c>
      <c r="S40" s="20">
        <f t="shared" si="19"/>
        <v>0.15037593984962405</v>
      </c>
      <c r="T40" s="20">
        <f t="shared" si="19"/>
        <v>0.15037593984962405</v>
      </c>
      <c r="U40" s="20">
        <f t="shared" si="19"/>
        <v>0.15037593984962405</v>
      </c>
      <c r="V40" s="20">
        <f t="shared" si="19"/>
        <v>0.15037593984962405</v>
      </c>
      <c r="W40" s="20">
        <f t="shared" si="19"/>
        <v>0.15037593984962405</v>
      </c>
      <c r="X40" s="20">
        <f t="shared" si="19"/>
        <v>0.15037593984962405</v>
      </c>
      <c r="Y40" s="20">
        <f t="shared" si="19"/>
        <v>0.15037593984962405</v>
      </c>
      <c r="Z40" s="20">
        <f t="shared" si="19"/>
        <v>0.15037593984962405</v>
      </c>
      <c r="AA40" s="20">
        <f t="shared" si="19"/>
        <v>0.15037593984962405</v>
      </c>
      <c r="AB40" s="20">
        <f t="shared" si="19"/>
        <v>0.15037593984962405</v>
      </c>
      <c r="AC40" s="20">
        <f t="shared" si="19"/>
        <v>0.15037593984962405</v>
      </c>
      <c r="AD40" s="20">
        <f t="shared" si="19"/>
        <v>0.15037593984962405</v>
      </c>
      <c r="AE40" s="20">
        <f t="shared" si="19"/>
        <v>0.15037593984962405</v>
      </c>
      <c r="AF40" s="20">
        <f t="shared" si="19"/>
        <v>0.15037593984962405</v>
      </c>
      <c r="AG40" s="20">
        <f t="shared" si="19"/>
        <v>0.15037593984962405</v>
      </c>
      <c r="AH40" s="20">
        <f t="shared" si="19"/>
        <v>0.15037593984962405</v>
      </c>
      <c r="AI40" s="20">
        <f t="shared" si="19"/>
        <v>0.15037593984962405</v>
      </c>
      <c r="AJ40" s="20">
        <f t="shared" si="19"/>
        <v>0.15037593984962405</v>
      </c>
      <c r="AK40" s="20">
        <f t="shared" si="19"/>
        <v>0.15037593984962405</v>
      </c>
      <c r="AL40" s="20"/>
      <c r="AM40" s="20"/>
      <c r="AN40" s="20"/>
      <c r="AO40" s="20"/>
      <c r="AP40" s="20"/>
      <c r="AQ40" s="20"/>
      <c r="AR40" s="20"/>
      <c r="AS40" s="20"/>
    </row>
    <row r="41" spans="1:45" x14ac:dyDescent="0.25">
      <c r="A41" s="25" t="s">
        <v>287</v>
      </c>
      <c r="O41" s="20">
        <f>F2</f>
        <v>0.55451127819548873</v>
      </c>
      <c r="P41" s="20">
        <f t="shared" ref="P41:AE44" si="20">O41</f>
        <v>0.55451127819548873</v>
      </c>
      <c r="Q41" s="20">
        <f t="shared" si="20"/>
        <v>0.55451127819548873</v>
      </c>
      <c r="R41" s="20">
        <f t="shared" si="20"/>
        <v>0.55451127819548873</v>
      </c>
      <c r="S41" s="20">
        <f t="shared" si="20"/>
        <v>0.55451127819548873</v>
      </c>
      <c r="T41" s="20">
        <f t="shared" si="20"/>
        <v>0.55451127819548873</v>
      </c>
      <c r="U41" s="20">
        <f t="shared" si="20"/>
        <v>0.55451127819548873</v>
      </c>
      <c r="V41" s="20">
        <f t="shared" si="20"/>
        <v>0.55451127819548873</v>
      </c>
      <c r="W41" s="20">
        <f t="shared" si="20"/>
        <v>0.55451127819548873</v>
      </c>
      <c r="X41" s="20">
        <f t="shared" si="20"/>
        <v>0.55451127819548873</v>
      </c>
      <c r="Y41" s="20">
        <f t="shared" si="20"/>
        <v>0.55451127819548873</v>
      </c>
      <c r="Z41" s="20">
        <f t="shared" si="20"/>
        <v>0.55451127819548873</v>
      </c>
      <c r="AA41" s="20">
        <f t="shared" si="20"/>
        <v>0.55451127819548873</v>
      </c>
      <c r="AB41" s="20">
        <f t="shared" si="20"/>
        <v>0.55451127819548873</v>
      </c>
      <c r="AC41" s="20">
        <f t="shared" si="20"/>
        <v>0.55451127819548873</v>
      </c>
      <c r="AD41" s="20">
        <f t="shared" si="20"/>
        <v>0.55451127819548873</v>
      </c>
      <c r="AE41" s="20">
        <f t="shared" si="20"/>
        <v>0.55451127819548873</v>
      </c>
      <c r="AF41" s="20">
        <f t="shared" si="19"/>
        <v>0.55451127819548873</v>
      </c>
      <c r="AG41" s="20">
        <f t="shared" si="19"/>
        <v>0.55451127819548873</v>
      </c>
      <c r="AH41" s="20">
        <f t="shared" si="19"/>
        <v>0.55451127819548873</v>
      </c>
      <c r="AI41" s="20">
        <f t="shared" si="19"/>
        <v>0.55451127819548873</v>
      </c>
      <c r="AJ41" s="20">
        <f t="shared" si="19"/>
        <v>0.55451127819548873</v>
      </c>
      <c r="AK41" s="20">
        <f t="shared" si="19"/>
        <v>0.55451127819548873</v>
      </c>
      <c r="AL41" s="20"/>
      <c r="AM41" s="20"/>
      <c r="AN41" s="20"/>
      <c r="AO41" s="20"/>
      <c r="AP41" s="20"/>
      <c r="AQ41" s="20"/>
      <c r="AR41" s="20"/>
      <c r="AS41" s="20"/>
    </row>
    <row r="42" spans="1:45" x14ac:dyDescent="0.25">
      <c r="A42" s="25" t="s">
        <v>288</v>
      </c>
      <c r="O42" s="20">
        <f>F4*F7</f>
        <v>0.17669172932330823</v>
      </c>
      <c r="P42" s="20">
        <f t="shared" si="20"/>
        <v>0.17669172932330823</v>
      </c>
      <c r="Q42" s="20">
        <f t="shared" si="19"/>
        <v>0.17669172932330823</v>
      </c>
      <c r="R42" s="20">
        <f t="shared" si="19"/>
        <v>0.17669172932330823</v>
      </c>
      <c r="S42" s="20">
        <f t="shared" si="19"/>
        <v>0.17669172932330823</v>
      </c>
      <c r="T42" s="20">
        <f t="shared" si="19"/>
        <v>0.17669172932330823</v>
      </c>
      <c r="U42" s="20">
        <f t="shared" si="19"/>
        <v>0.17669172932330823</v>
      </c>
      <c r="V42" s="20">
        <f t="shared" si="19"/>
        <v>0.17669172932330823</v>
      </c>
      <c r="W42" s="20">
        <f t="shared" si="19"/>
        <v>0.17669172932330823</v>
      </c>
      <c r="X42" s="20">
        <f t="shared" si="19"/>
        <v>0.17669172932330823</v>
      </c>
      <c r="Y42" s="20">
        <f t="shared" si="19"/>
        <v>0.17669172932330823</v>
      </c>
      <c r="Z42" s="20">
        <f t="shared" si="19"/>
        <v>0.17669172932330823</v>
      </c>
      <c r="AA42" s="20">
        <f t="shared" si="19"/>
        <v>0.17669172932330823</v>
      </c>
      <c r="AB42" s="20">
        <f t="shared" si="19"/>
        <v>0.17669172932330823</v>
      </c>
      <c r="AC42" s="20">
        <f t="shared" si="19"/>
        <v>0.17669172932330823</v>
      </c>
      <c r="AD42" s="20">
        <f t="shared" si="19"/>
        <v>0.17669172932330823</v>
      </c>
      <c r="AE42" s="20">
        <f t="shared" si="19"/>
        <v>0.17669172932330823</v>
      </c>
      <c r="AF42" s="20">
        <f t="shared" si="19"/>
        <v>0.17669172932330823</v>
      </c>
      <c r="AG42" s="20">
        <f t="shared" si="19"/>
        <v>0.17669172932330823</v>
      </c>
      <c r="AH42" s="20">
        <f t="shared" si="19"/>
        <v>0.17669172932330823</v>
      </c>
      <c r="AI42" s="20">
        <f t="shared" si="19"/>
        <v>0.17669172932330823</v>
      </c>
      <c r="AJ42" s="20">
        <f t="shared" si="19"/>
        <v>0.17669172932330823</v>
      </c>
      <c r="AK42" s="20">
        <f t="shared" si="19"/>
        <v>0.17669172932330823</v>
      </c>
      <c r="AL42" s="20"/>
      <c r="AM42" s="20"/>
      <c r="AN42" s="20"/>
      <c r="AO42" s="20"/>
      <c r="AP42" s="20"/>
      <c r="AQ42" s="20"/>
      <c r="AR42" s="20"/>
      <c r="AS42" s="20"/>
    </row>
    <row r="43" spans="1:45" x14ac:dyDescent="0.25">
      <c r="A43" s="25" t="s">
        <v>289</v>
      </c>
      <c r="O43" s="20">
        <f>F4*F8</f>
        <v>0</v>
      </c>
      <c r="P43" s="20">
        <f t="shared" si="20"/>
        <v>0</v>
      </c>
      <c r="Q43" s="20">
        <f t="shared" si="19"/>
        <v>0</v>
      </c>
      <c r="R43" s="20">
        <f t="shared" si="19"/>
        <v>0</v>
      </c>
      <c r="S43" s="20">
        <f t="shared" si="19"/>
        <v>0</v>
      </c>
      <c r="T43" s="20">
        <f t="shared" si="19"/>
        <v>0</v>
      </c>
      <c r="U43" s="20">
        <f t="shared" si="19"/>
        <v>0</v>
      </c>
      <c r="V43" s="20">
        <f t="shared" si="19"/>
        <v>0</v>
      </c>
      <c r="W43" s="20">
        <f t="shared" si="19"/>
        <v>0</v>
      </c>
      <c r="X43" s="20">
        <f t="shared" si="19"/>
        <v>0</v>
      </c>
      <c r="Y43" s="20">
        <f t="shared" si="19"/>
        <v>0</v>
      </c>
      <c r="Z43" s="20">
        <f t="shared" si="19"/>
        <v>0</v>
      </c>
      <c r="AA43" s="20">
        <f t="shared" si="19"/>
        <v>0</v>
      </c>
      <c r="AB43" s="20">
        <f t="shared" si="19"/>
        <v>0</v>
      </c>
      <c r="AC43" s="20">
        <f t="shared" si="19"/>
        <v>0</v>
      </c>
      <c r="AD43" s="20">
        <f t="shared" si="19"/>
        <v>0</v>
      </c>
      <c r="AE43" s="20">
        <f t="shared" si="19"/>
        <v>0</v>
      </c>
      <c r="AF43" s="20">
        <f t="shared" si="19"/>
        <v>0</v>
      </c>
      <c r="AG43" s="20">
        <f t="shared" si="19"/>
        <v>0</v>
      </c>
      <c r="AH43" s="20">
        <f t="shared" si="19"/>
        <v>0</v>
      </c>
      <c r="AI43" s="20">
        <f t="shared" si="19"/>
        <v>0</v>
      </c>
      <c r="AJ43" s="20">
        <f t="shared" si="19"/>
        <v>0</v>
      </c>
      <c r="AK43" s="20">
        <f t="shared" si="19"/>
        <v>0</v>
      </c>
      <c r="AL43" s="20"/>
      <c r="AM43" s="20"/>
      <c r="AN43" s="20"/>
      <c r="AO43" s="20"/>
      <c r="AP43" s="20"/>
      <c r="AQ43" s="20"/>
      <c r="AR43" s="20"/>
      <c r="AS43" s="20"/>
    </row>
    <row r="44" spans="1:45" x14ac:dyDescent="0.25">
      <c r="A44" s="25" t="s">
        <v>290</v>
      </c>
      <c r="O44" s="20">
        <f>F4*F9</f>
        <v>0.11842105263157893</v>
      </c>
      <c r="P44" s="20">
        <f t="shared" si="20"/>
        <v>0.11842105263157893</v>
      </c>
      <c r="Q44" s="20">
        <f t="shared" si="19"/>
        <v>0.11842105263157893</v>
      </c>
      <c r="R44" s="20">
        <f t="shared" si="19"/>
        <v>0.11842105263157893</v>
      </c>
      <c r="S44" s="20">
        <f t="shared" si="19"/>
        <v>0.11842105263157893</v>
      </c>
      <c r="T44" s="20">
        <f t="shared" si="19"/>
        <v>0.11842105263157893</v>
      </c>
      <c r="U44" s="20">
        <f t="shared" si="19"/>
        <v>0.11842105263157893</v>
      </c>
      <c r="V44" s="20">
        <f t="shared" si="19"/>
        <v>0.11842105263157893</v>
      </c>
      <c r="W44" s="20">
        <f t="shared" si="19"/>
        <v>0.11842105263157893</v>
      </c>
      <c r="X44" s="20">
        <f t="shared" si="19"/>
        <v>0.11842105263157893</v>
      </c>
      <c r="Y44" s="20">
        <f t="shared" si="19"/>
        <v>0.11842105263157893</v>
      </c>
      <c r="Z44" s="20">
        <f t="shared" si="19"/>
        <v>0.11842105263157893</v>
      </c>
      <c r="AA44" s="20">
        <f t="shared" si="19"/>
        <v>0.11842105263157893</v>
      </c>
      <c r="AB44" s="20">
        <f t="shared" si="19"/>
        <v>0.11842105263157893</v>
      </c>
      <c r="AC44" s="20">
        <f t="shared" si="19"/>
        <v>0.11842105263157893</v>
      </c>
      <c r="AD44" s="20">
        <f t="shared" si="19"/>
        <v>0.11842105263157893</v>
      </c>
      <c r="AE44" s="20">
        <f t="shared" si="19"/>
        <v>0.11842105263157893</v>
      </c>
      <c r="AF44" s="20">
        <f t="shared" si="19"/>
        <v>0.11842105263157893</v>
      </c>
      <c r="AG44" s="20">
        <f t="shared" si="19"/>
        <v>0.11842105263157893</v>
      </c>
      <c r="AH44" s="20">
        <f t="shared" si="19"/>
        <v>0.11842105263157893</v>
      </c>
      <c r="AI44" s="20">
        <f t="shared" si="19"/>
        <v>0.11842105263157893</v>
      </c>
      <c r="AJ44" s="20">
        <f t="shared" si="19"/>
        <v>0.11842105263157893</v>
      </c>
      <c r="AK44" s="20">
        <f t="shared" si="19"/>
        <v>0.11842105263157893</v>
      </c>
      <c r="AL44" s="20"/>
      <c r="AM44" s="20"/>
      <c r="AN44" s="20"/>
      <c r="AO44" s="20"/>
      <c r="AP44" s="20"/>
      <c r="AQ44" s="20"/>
      <c r="AR44" s="20"/>
      <c r="AS44" s="20"/>
    </row>
    <row r="45" spans="1:45" x14ac:dyDescent="0.25">
      <c r="A45" s="25"/>
    </row>
    <row r="46" spans="1:45" x14ac:dyDescent="0.25">
      <c r="A46" s="25" t="s">
        <v>291</v>
      </c>
      <c r="O46" s="24">
        <f>O33*O40+SUMPRODUCT(O35:O38,O41:O44)</f>
        <v>2.9141503759398493</v>
      </c>
      <c r="P46" s="24">
        <f t="shared" ref="P46:AK46" si="21">P33*P40+SUMPRODUCT(P35:P38,P41:P44)</f>
        <v>2.9141503759398493</v>
      </c>
      <c r="Q46" s="24">
        <f t="shared" si="21"/>
        <v>2.9141503759398493</v>
      </c>
      <c r="R46" s="24">
        <f t="shared" si="21"/>
        <v>2.9141503759398493</v>
      </c>
      <c r="S46" s="24">
        <f t="shared" si="21"/>
        <v>2.9141503759398493</v>
      </c>
      <c r="T46" s="24">
        <f t="shared" si="21"/>
        <v>2.9141503759398493</v>
      </c>
      <c r="U46" s="24">
        <f t="shared" si="21"/>
        <v>2.9141503759398493</v>
      </c>
      <c r="V46" s="24">
        <f t="shared" si="21"/>
        <v>2.9141503759398493</v>
      </c>
      <c r="W46" s="24">
        <f t="shared" si="21"/>
        <v>2.9141503759398493</v>
      </c>
      <c r="X46" s="24">
        <f t="shared" si="21"/>
        <v>2.9141503759398493</v>
      </c>
      <c r="Y46" s="24">
        <f t="shared" si="21"/>
        <v>2.9141503759398493</v>
      </c>
      <c r="Z46" s="24">
        <f t="shared" si="21"/>
        <v>2.9141503759398493</v>
      </c>
      <c r="AA46" s="24">
        <f t="shared" si="21"/>
        <v>2.9141503759398493</v>
      </c>
      <c r="AB46" s="24">
        <f t="shared" si="21"/>
        <v>2.9141503759398493</v>
      </c>
      <c r="AC46" s="24">
        <f t="shared" si="21"/>
        <v>2.9141503759398493</v>
      </c>
      <c r="AD46" s="24">
        <f t="shared" si="21"/>
        <v>2.9141503759398493</v>
      </c>
      <c r="AE46" s="24">
        <f t="shared" si="21"/>
        <v>2.9141503759398493</v>
      </c>
      <c r="AF46" s="24">
        <f t="shared" si="21"/>
        <v>2.9141503759398493</v>
      </c>
      <c r="AG46" s="24">
        <f t="shared" si="21"/>
        <v>2.9141503759398493</v>
      </c>
      <c r="AH46" s="24">
        <f t="shared" si="21"/>
        <v>2.9141503759398493</v>
      </c>
      <c r="AI46" s="24">
        <f t="shared" si="21"/>
        <v>2.9141503759398493</v>
      </c>
      <c r="AJ46" s="24">
        <f t="shared" si="21"/>
        <v>2.9141503759398493</v>
      </c>
      <c r="AK46" s="24">
        <f t="shared" si="21"/>
        <v>2.9141503759398493</v>
      </c>
      <c r="AL46" s="24"/>
      <c r="AM46" s="24"/>
      <c r="AN46" s="24"/>
      <c r="AO46" s="24"/>
      <c r="AP46" s="24"/>
      <c r="AQ46" s="24"/>
      <c r="AR46" s="24"/>
      <c r="AS46" s="24"/>
    </row>
    <row r="47" spans="1:45" x14ac:dyDescent="0.25">
      <c r="A47" s="25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</row>
    <row r="48" spans="1:45" x14ac:dyDescent="0.25">
      <c r="A48" s="25" t="s">
        <v>296</v>
      </c>
      <c r="O48" s="71">
        <f>O41*SUM(Decomposition!$B$8:$B$9)</f>
        <v>0.35710526315789476</v>
      </c>
      <c r="P48" s="71">
        <f>P41*SUM(Decomposition!$B$8:$B$9)</f>
        <v>0.35710526315789476</v>
      </c>
      <c r="Q48" s="71">
        <f>Q41*SUM(Decomposition!$B$8:$B$9)</f>
        <v>0.35710526315789476</v>
      </c>
      <c r="R48" s="71">
        <f>R41*SUM(Decomposition!$B$8:$B$9)</f>
        <v>0.35710526315789476</v>
      </c>
      <c r="S48" s="71">
        <f>S41*SUM(Decomposition!$B$8:$B$9)</f>
        <v>0.35710526315789476</v>
      </c>
      <c r="T48" s="71">
        <f>T41*SUM(Decomposition!$B$8:$B$9)</f>
        <v>0.35710526315789476</v>
      </c>
      <c r="U48" s="71">
        <f>U41*SUM(Decomposition!$B$8:$B$9)</f>
        <v>0.35710526315789476</v>
      </c>
      <c r="V48" s="71">
        <f>V41*SUM(Decomposition!$B$8:$B$9)</f>
        <v>0.35710526315789476</v>
      </c>
      <c r="W48" s="71">
        <f>W41*SUM(Decomposition!$B$8:$B$9)</f>
        <v>0.35710526315789476</v>
      </c>
      <c r="X48" s="71">
        <f>X41*SUM(Decomposition!$B$8:$B$9)</f>
        <v>0.35710526315789476</v>
      </c>
      <c r="Y48" s="71">
        <f>Y41*SUM(Decomposition!$B$8:$B$9)</f>
        <v>0.35710526315789476</v>
      </c>
      <c r="Z48" s="71">
        <f>Z41*SUM(Decomposition!$B$8:$B$9)</f>
        <v>0.35710526315789476</v>
      </c>
      <c r="AA48" s="71">
        <f>AA41*SUM(Decomposition!$B$8:$B$9)</f>
        <v>0.35710526315789476</v>
      </c>
      <c r="AB48" s="71">
        <f>AB41*SUM(Decomposition!$B$8:$B$9)</f>
        <v>0.35710526315789476</v>
      </c>
      <c r="AC48" s="71">
        <f>AC41*SUM(Decomposition!$B$8:$B$9)</f>
        <v>0.35710526315789476</v>
      </c>
      <c r="AD48" s="71">
        <f>AD41*SUM(Decomposition!$B$8:$B$9)</f>
        <v>0.35710526315789476</v>
      </c>
      <c r="AE48" s="71">
        <f>AE41*SUM(Decomposition!$B$8:$B$9)</f>
        <v>0.35710526315789476</v>
      </c>
      <c r="AF48" s="71">
        <f>AF41*SUM(Decomposition!$B$8:$B$9)</f>
        <v>0.35710526315789476</v>
      </c>
      <c r="AG48" s="71">
        <f>AG41*SUM(Decomposition!$B$8:$B$9)</f>
        <v>0.35710526315789476</v>
      </c>
      <c r="AH48" s="71">
        <f>AH41*SUM(Decomposition!$B$8:$B$9)</f>
        <v>0.35710526315789476</v>
      </c>
      <c r="AI48" s="71">
        <f>AI41*SUM(Decomposition!$B$8:$B$9)</f>
        <v>0.35710526315789476</v>
      </c>
      <c r="AJ48" s="71">
        <f>AJ41*SUM(Decomposition!$B$8:$B$9)</f>
        <v>0.35710526315789476</v>
      </c>
      <c r="AK48" s="71">
        <f>AK41*SUM(Decomposition!$B$8:$B$9)</f>
        <v>0.35710526315789476</v>
      </c>
      <c r="AL48" s="24"/>
      <c r="AM48" s="24"/>
      <c r="AN48" s="24"/>
      <c r="AO48" s="24"/>
      <c r="AP48" s="24"/>
      <c r="AQ48" s="24"/>
      <c r="AR48" s="24"/>
      <c r="AS48" s="24"/>
    </row>
    <row r="49" spans="1:82" x14ac:dyDescent="0.25">
      <c r="A49" s="25" t="s">
        <v>297</v>
      </c>
      <c r="O49" s="71">
        <f>O41*Decomposition!$B$10</f>
        <v>9.8703007518796987E-2</v>
      </c>
      <c r="P49" s="71">
        <f>P41*Decomposition!$B$10</f>
        <v>9.8703007518796987E-2</v>
      </c>
      <c r="Q49" s="71">
        <f>Q41*Decomposition!$B$10</f>
        <v>9.8703007518796987E-2</v>
      </c>
      <c r="R49" s="71">
        <f>R41*Decomposition!$B$10</f>
        <v>9.8703007518796987E-2</v>
      </c>
      <c r="S49" s="71">
        <f>S41*Decomposition!$B$10</f>
        <v>9.8703007518796987E-2</v>
      </c>
      <c r="T49" s="71">
        <f>T41*Decomposition!$B$10</f>
        <v>9.8703007518796987E-2</v>
      </c>
      <c r="U49" s="71">
        <f>U41*Decomposition!$B$10</f>
        <v>9.8703007518796987E-2</v>
      </c>
      <c r="V49" s="71">
        <f>V41*Decomposition!$B$10</f>
        <v>9.8703007518796987E-2</v>
      </c>
      <c r="W49" s="71">
        <f>W41*Decomposition!$B$10</f>
        <v>9.8703007518796987E-2</v>
      </c>
      <c r="X49" s="71">
        <f>X41*Decomposition!$B$10</f>
        <v>9.8703007518796987E-2</v>
      </c>
      <c r="Y49" s="71">
        <f>Y41*Decomposition!$B$10</f>
        <v>9.8703007518796987E-2</v>
      </c>
      <c r="Z49" s="71">
        <f>Z41*Decomposition!$B$10</f>
        <v>9.8703007518796987E-2</v>
      </c>
      <c r="AA49" s="71">
        <f>AA41*Decomposition!$B$10</f>
        <v>9.8703007518796987E-2</v>
      </c>
      <c r="AB49" s="71">
        <f>AB41*Decomposition!$B$10</f>
        <v>9.8703007518796987E-2</v>
      </c>
      <c r="AC49" s="71">
        <f>AC41*Decomposition!$B$10</f>
        <v>9.8703007518796987E-2</v>
      </c>
      <c r="AD49" s="71">
        <f>AD41*Decomposition!$B$10</f>
        <v>9.8703007518796987E-2</v>
      </c>
      <c r="AE49" s="71">
        <f>AE41*Decomposition!$B$10</f>
        <v>9.8703007518796987E-2</v>
      </c>
      <c r="AF49" s="71">
        <f>AF41*Decomposition!$B$10</f>
        <v>9.8703007518796987E-2</v>
      </c>
      <c r="AG49" s="71">
        <f>AG41*Decomposition!$B$10</f>
        <v>9.8703007518796987E-2</v>
      </c>
      <c r="AH49" s="71">
        <f>AH41*Decomposition!$B$10</f>
        <v>9.8703007518796987E-2</v>
      </c>
      <c r="AI49" s="71">
        <f>AI41*Decomposition!$B$10</f>
        <v>9.8703007518796987E-2</v>
      </c>
      <c r="AJ49" s="71">
        <f>AJ41*Decomposition!$B$10</f>
        <v>9.8703007518796987E-2</v>
      </c>
      <c r="AK49" s="71">
        <f>AK41*Decomposition!$B$10</f>
        <v>9.8703007518796987E-2</v>
      </c>
      <c r="AL49" s="24"/>
      <c r="AM49" s="24"/>
      <c r="AN49" s="24"/>
      <c r="AO49" s="24"/>
      <c r="AP49" s="24"/>
      <c r="AQ49" s="24"/>
      <c r="AR49" s="24"/>
      <c r="AS49" s="24"/>
    </row>
    <row r="50" spans="1:82" x14ac:dyDescent="0.25">
      <c r="A50" s="25" t="s">
        <v>298</v>
      </c>
      <c r="O50" s="71">
        <f>O41*Decomposition!$B$11</f>
        <v>9.8703007518796987E-2</v>
      </c>
      <c r="P50" s="71">
        <f>P41*Decomposition!$B$11</f>
        <v>9.8703007518796987E-2</v>
      </c>
      <c r="Q50" s="71">
        <f>Q41*Decomposition!$B$11</f>
        <v>9.8703007518796987E-2</v>
      </c>
      <c r="R50" s="71">
        <f>R41*Decomposition!$B$11</f>
        <v>9.8703007518796987E-2</v>
      </c>
      <c r="S50" s="71">
        <f>S41*Decomposition!$B$11</f>
        <v>9.8703007518796987E-2</v>
      </c>
      <c r="T50" s="71">
        <f>T41*Decomposition!$B$11</f>
        <v>9.8703007518796987E-2</v>
      </c>
      <c r="U50" s="71">
        <f>U41*Decomposition!$B$11</f>
        <v>9.8703007518796987E-2</v>
      </c>
      <c r="V50" s="71">
        <f>V41*Decomposition!$B$11</f>
        <v>9.8703007518796987E-2</v>
      </c>
      <c r="W50" s="71">
        <f>W41*Decomposition!$B$11</f>
        <v>9.8703007518796987E-2</v>
      </c>
      <c r="X50" s="71">
        <f>X41*Decomposition!$B$11</f>
        <v>9.8703007518796987E-2</v>
      </c>
      <c r="Y50" s="71">
        <f>Y41*Decomposition!$B$11</f>
        <v>9.8703007518796987E-2</v>
      </c>
      <c r="Z50" s="71">
        <f>Z41*Decomposition!$B$11</f>
        <v>9.8703007518796987E-2</v>
      </c>
      <c r="AA50" s="71">
        <f>AA41*Decomposition!$B$11</f>
        <v>9.8703007518796987E-2</v>
      </c>
      <c r="AB50" s="71">
        <f>AB41*Decomposition!$B$11</f>
        <v>9.8703007518796987E-2</v>
      </c>
      <c r="AC50" s="71">
        <f>AC41*Decomposition!$B$11</f>
        <v>9.8703007518796987E-2</v>
      </c>
      <c r="AD50" s="71">
        <f>AD41*Decomposition!$B$11</f>
        <v>9.8703007518796987E-2</v>
      </c>
      <c r="AE50" s="71">
        <f>AE41*Decomposition!$B$11</f>
        <v>9.8703007518796987E-2</v>
      </c>
      <c r="AF50" s="71">
        <f>AF41*Decomposition!$B$11</f>
        <v>9.8703007518796987E-2</v>
      </c>
      <c r="AG50" s="71">
        <f>AG41*Decomposition!$B$11</f>
        <v>9.8703007518796987E-2</v>
      </c>
      <c r="AH50" s="71">
        <f>AH41*Decomposition!$B$11</f>
        <v>9.8703007518796987E-2</v>
      </c>
      <c r="AI50" s="71">
        <f>AI41*Decomposition!$B$11</f>
        <v>9.8703007518796987E-2</v>
      </c>
      <c r="AJ50" s="71">
        <f>AJ41*Decomposition!$B$11</f>
        <v>9.8703007518796987E-2</v>
      </c>
      <c r="AK50" s="71">
        <f>AK41*Decomposition!$B$11</f>
        <v>9.8703007518796987E-2</v>
      </c>
      <c r="AL50" s="24"/>
      <c r="AM50" s="24"/>
      <c r="AN50" s="24"/>
      <c r="AO50" s="24"/>
      <c r="AP50" s="24"/>
      <c r="AQ50" s="24"/>
      <c r="AR50" s="24"/>
      <c r="AS50" s="24"/>
    </row>
    <row r="51" spans="1:82" x14ac:dyDescent="0.25">
      <c r="A51" s="25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</row>
    <row r="52" spans="1:82" x14ac:dyDescent="0.25">
      <c r="A52" s="25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</row>
    <row r="54" spans="1:82" x14ac:dyDescent="0.25">
      <c r="E54" t="s">
        <v>45</v>
      </c>
    </row>
    <row r="55" spans="1:82" x14ac:dyDescent="0.25">
      <c r="F55" t="s">
        <v>25</v>
      </c>
      <c r="G55" t="s">
        <v>33</v>
      </c>
      <c r="H55" t="s">
        <v>34</v>
      </c>
      <c r="I55" t="s">
        <v>35</v>
      </c>
      <c r="J55" t="s">
        <v>36</v>
      </c>
      <c r="K55" t="s">
        <v>37</v>
      </c>
    </row>
    <row r="56" spans="1:82" x14ac:dyDescent="0.25">
      <c r="E56" t="s">
        <v>39</v>
      </c>
      <c r="F56" s="24">
        <v>0.82499999999999996</v>
      </c>
      <c r="G56" s="24">
        <v>1.7833332499999999</v>
      </c>
      <c r="H56" s="24">
        <v>2.2000000000000002</v>
      </c>
      <c r="I56" s="24">
        <v>2.2000000000000002</v>
      </c>
      <c r="J56" s="24">
        <v>2.2000000000000002</v>
      </c>
      <c r="K56" s="24">
        <v>2.2000000000000002</v>
      </c>
    </row>
    <row r="57" spans="1:82" s="20" customFormat="1" x14ac:dyDescent="0.25">
      <c r="B57"/>
      <c r="E57" s="20" t="s">
        <v>46</v>
      </c>
      <c r="F57" s="24">
        <v>2.3331702500000002</v>
      </c>
      <c r="G57" s="24">
        <v>2.8973732500000002</v>
      </c>
      <c r="H57" s="24">
        <v>3.25</v>
      </c>
      <c r="I57" s="24">
        <v>3.25</v>
      </c>
      <c r="J57" s="24">
        <v>3.25</v>
      </c>
      <c r="K57" s="24">
        <v>3.25</v>
      </c>
    </row>
    <row r="58" spans="1:82" s="20" customFormat="1" x14ac:dyDescent="0.25">
      <c r="E58" s="20" t="s">
        <v>47</v>
      </c>
      <c r="F58" s="24">
        <v>2.1525924999999999</v>
      </c>
      <c r="G58" s="24">
        <v>2.6740742500000003</v>
      </c>
      <c r="H58" s="24">
        <v>3</v>
      </c>
      <c r="I58" s="24">
        <v>3</v>
      </c>
      <c r="J58" s="24">
        <v>3</v>
      </c>
      <c r="K58" s="24">
        <v>3</v>
      </c>
    </row>
    <row r="59" spans="1:82" s="20" customFormat="1" x14ac:dyDescent="0.25"/>
    <row r="60" spans="1:82" x14ac:dyDescent="0.25">
      <c r="A60" s="20"/>
      <c r="B60" s="20"/>
      <c r="C60" s="20"/>
      <c r="D60" s="20"/>
      <c r="E60" s="24" t="s">
        <v>48</v>
      </c>
      <c r="F60" s="24">
        <f>0.6*F58+0.4*F56</f>
        <v>1.6215554999999999</v>
      </c>
      <c r="G60" s="24">
        <f t="shared" ref="G60:K60" si="22">0.6*G58+0.4*G56</f>
        <v>2.3177778500000001</v>
      </c>
      <c r="H60" s="24">
        <f t="shared" si="22"/>
        <v>2.6799999999999997</v>
      </c>
      <c r="I60" s="24">
        <f t="shared" si="22"/>
        <v>2.6799999999999997</v>
      </c>
      <c r="J60" s="24">
        <f t="shared" si="22"/>
        <v>2.6799999999999997</v>
      </c>
      <c r="K60" s="24">
        <f t="shared" si="22"/>
        <v>2.6799999999999997</v>
      </c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</row>
    <row r="61" spans="1:82" x14ac:dyDescent="0.25">
      <c r="A61" s="20"/>
      <c r="E61" s="24" t="s">
        <v>49</v>
      </c>
      <c r="F61" s="24">
        <f t="shared" ref="F61:K61" si="23">$B$2*F56+$B$3*F57+$B$4*F60</f>
        <v>1.4735893902027026</v>
      </c>
      <c r="G61" s="24">
        <f t="shared" si="23"/>
        <v>2.2454164121621618</v>
      </c>
      <c r="H61" s="24">
        <f t="shared" si="23"/>
        <v>2.6280405405405403</v>
      </c>
      <c r="I61" s="24">
        <f t="shared" si="23"/>
        <v>2.6280405405405403</v>
      </c>
      <c r="J61" s="24">
        <f t="shared" si="23"/>
        <v>2.6280405405405403</v>
      </c>
      <c r="K61" s="24">
        <f t="shared" si="23"/>
        <v>2.6280405405405403</v>
      </c>
    </row>
    <row r="63" spans="1:82" x14ac:dyDescent="0.25">
      <c r="A63" s="20"/>
    </row>
    <row r="64" spans="1:82" x14ac:dyDescent="0.25">
      <c r="A64" s="21"/>
      <c r="C64" s="21"/>
      <c r="D64" s="21"/>
      <c r="E64" s="21"/>
      <c r="F64" s="21"/>
      <c r="G64" s="21"/>
      <c r="H64" s="21"/>
      <c r="I64" s="21"/>
      <c r="J64" s="21"/>
      <c r="K64" s="21"/>
      <c r="L64" s="21"/>
    </row>
    <row r="65" spans="1:16" x14ac:dyDescent="0.2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</row>
    <row r="66" spans="1:16" x14ac:dyDescent="0.25">
      <c r="A66" s="20"/>
      <c r="B66" s="21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</row>
    <row r="67" spans="1:16" x14ac:dyDescent="0.25">
      <c r="A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</row>
    <row r="68" spans="1:16" x14ac:dyDescent="0.25">
      <c r="A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</row>
    <row r="69" spans="1:16" x14ac:dyDescent="0.25">
      <c r="A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</row>
    <row r="74" spans="1:16" s="25" customFormat="1" x14ac:dyDescent="0.25">
      <c r="B74"/>
    </row>
    <row r="75" spans="1:16" x14ac:dyDescent="0.25">
      <c r="B75" s="25"/>
    </row>
    <row r="78" spans="1:16" x14ac:dyDescent="0.25">
      <c r="C78">
        <v>1.9833333333333301</v>
      </c>
      <c r="D78">
        <v>1.4566666666666599</v>
      </c>
      <c r="E78">
        <v>0.116666666666666</v>
      </c>
      <c r="K78" t="s">
        <v>15</v>
      </c>
      <c r="L78" t="s">
        <v>16</v>
      </c>
      <c r="M78" t="s">
        <v>17</v>
      </c>
      <c r="N78" t="s">
        <v>257</v>
      </c>
      <c r="O78" t="s">
        <v>258</v>
      </c>
      <c r="P78" t="s">
        <v>259</v>
      </c>
    </row>
    <row r="79" spans="1:16" x14ac:dyDescent="0.25">
      <c r="C79">
        <v>1.8433333333333299</v>
      </c>
      <c r="D79">
        <v>1.31</v>
      </c>
      <c r="E79">
        <v>0.17</v>
      </c>
      <c r="J79" t="s">
        <v>64</v>
      </c>
      <c r="K79">
        <v>2.92</v>
      </c>
      <c r="L79">
        <v>2.95</v>
      </c>
      <c r="M79">
        <v>1.6566666666666601</v>
      </c>
      <c r="N79">
        <v>2.4326666666666599</v>
      </c>
      <c r="O79">
        <v>2.4326666666666599</v>
      </c>
      <c r="P79">
        <v>2.4326666666666599</v>
      </c>
    </row>
    <row r="80" spans="1:16" x14ac:dyDescent="0.25">
      <c r="C80">
        <v>1.9166666666666601</v>
      </c>
      <c r="D80">
        <v>1.61333333333333</v>
      </c>
      <c r="E80">
        <v>0.15</v>
      </c>
      <c r="J80" t="s">
        <v>65</v>
      </c>
      <c r="K80">
        <v>2.94</v>
      </c>
      <c r="L80">
        <v>2.9866666666666601</v>
      </c>
      <c r="M80">
        <v>3.2233333333333301</v>
      </c>
      <c r="N80">
        <v>3.0813333333333301</v>
      </c>
      <c r="O80">
        <v>3.0813333333333301</v>
      </c>
      <c r="P80">
        <v>3.0813333333333301</v>
      </c>
    </row>
    <row r="81" spans="3:16" x14ac:dyDescent="0.25">
      <c r="C81">
        <v>2.2366666666666601</v>
      </c>
      <c r="D81">
        <v>2.08</v>
      </c>
      <c r="E81">
        <v>0.63666666666666605</v>
      </c>
      <c r="J81" t="s">
        <v>66</v>
      </c>
      <c r="K81">
        <v>3.2366666666666601</v>
      </c>
      <c r="L81">
        <v>3.1766666666666601</v>
      </c>
      <c r="M81">
        <v>4.2</v>
      </c>
      <c r="N81">
        <v>3.5859999999999999</v>
      </c>
      <c r="O81">
        <v>3.5859999999999999</v>
      </c>
      <c r="P81">
        <v>3.5859999999999999</v>
      </c>
    </row>
    <row r="82" spans="3:16" x14ac:dyDescent="0.25">
      <c r="C82">
        <v>2.92</v>
      </c>
      <c r="D82">
        <v>2.95</v>
      </c>
      <c r="E82">
        <v>1.6566666666666601</v>
      </c>
      <c r="J82" t="s">
        <v>67</v>
      </c>
      <c r="K82">
        <v>3.0833333333333299</v>
      </c>
      <c r="L82">
        <v>3.03</v>
      </c>
      <c r="M82">
        <v>4.4766666666666604</v>
      </c>
      <c r="N82">
        <v>3.60866666666666</v>
      </c>
      <c r="O82">
        <v>3.60866666666666</v>
      </c>
      <c r="P82">
        <v>3.60866666666666</v>
      </c>
    </row>
    <row r="83" spans="3:16" x14ac:dyDescent="0.25">
      <c r="C83">
        <v>2.94</v>
      </c>
      <c r="D83">
        <v>2.9866666666666601</v>
      </c>
      <c r="E83">
        <v>3.2233333333333301</v>
      </c>
      <c r="J83" t="s">
        <v>68</v>
      </c>
      <c r="K83">
        <v>3.0733333333333301</v>
      </c>
      <c r="L83">
        <v>3.0833333333333299</v>
      </c>
      <c r="M83">
        <v>4.6466666666666603</v>
      </c>
      <c r="N83">
        <v>3.7086666666666601</v>
      </c>
      <c r="O83">
        <v>3.7086666666666601</v>
      </c>
      <c r="P83">
        <v>3.7086666666666601</v>
      </c>
    </row>
    <row r="84" spans="3:16" x14ac:dyDescent="0.25">
      <c r="C84">
        <v>3.2366666666666601</v>
      </c>
      <c r="D84">
        <v>3.1766666666666601</v>
      </c>
      <c r="E84">
        <v>4.2</v>
      </c>
      <c r="J84" t="s">
        <v>69</v>
      </c>
      <c r="K84">
        <v>3.5233333333333299</v>
      </c>
      <c r="L84">
        <v>3.70333333333333</v>
      </c>
      <c r="M84">
        <v>5.1133333333333297</v>
      </c>
      <c r="N84">
        <v>4.2673333333333296</v>
      </c>
      <c r="O84">
        <v>4.2673333333333296</v>
      </c>
      <c r="P84">
        <v>4.2673333333333296</v>
      </c>
    </row>
    <row r="85" spans="3:16" x14ac:dyDescent="0.25">
      <c r="C85">
        <v>3.0833333333333299</v>
      </c>
      <c r="D85">
        <v>3.03</v>
      </c>
      <c r="E85">
        <v>4.4766666666666604</v>
      </c>
      <c r="J85" t="s">
        <v>70</v>
      </c>
      <c r="K85">
        <v>3.39333333333333</v>
      </c>
      <c r="L85">
        <v>3.56</v>
      </c>
      <c r="M85">
        <v>5.08</v>
      </c>
      <c r="N85">
        <v>4.1680000000000001</v>
      </c>
      <c r="O85">
        <v>4.1680000000000001</v>
      </c>
      <c r="P85">
        <v>4.1680000000000001</v>
      </c>
    </row>
    <row r="86" spans="3:16" x14ac:dyDescent="0.25">
      <c r="C86">
        <v>3.0733333333333301</v>
      </c>
      <c r="D86">
        <v>3.0833333333333299</v>
      </c>
      <c r="E86">
        <v>4.6466666666666603</v>
      </c>
      <c r="J86" t="s">
        <v>71</v>
      </c>
      <c r="K86">
        <v>3.34</v>
      </c>
      <c r="L86">
        <v>3.4366666666666599</v>
      </c>
      <c r="M86">
        <v>5.0033333333333303</v>
      </c>
      <c r="N86">
        <v>4.0633333333333299</v>
      </c>
      <c r="O86">
        <v>4.0633333333333299</v>
      </c>
      <c r="P86">
        <v>4.0633333333333299</v>
      </c>
    </row>
    <row r="87" spans="3:16" x14ac:dyDescent="0.25">
      <c r="C87">
        <v>3.523333</v>
      </c>
      <c r="D87">
        <v>3.7033330000000002</v>
      </c>
      <c r="E87">
        <v>5.1133329999999999</v>
      </c>
      <c r="J87" t="s">
        <v>72</v>
      </c>
      <c r="K87">
        <v>3.5533333333333301</v>
      </c>
      <c r="L87">
        <v>3.67</v>
      </c>
      <c r="M87">
        <v>4.8233333333333297</v>
      </c>
      <c r="N87">
        <v>4.0736666666666599</v>
      </c>
      <c r="O87">
        <v>4.0044666666666604</v>
      </c>
      <c r="P87">
        <v>3.8199333333333301</v>
      </c>
    </row>
    <row r="88" spans="3:16" x14ac:dyDescent="0.25">
      <c r="C88">
        <v>3.5825650000000002</v>
      </c>
      <c r="D88">
        <v>3.7313529999999999</v>
      </c>
      <c r="E88">
        <v>4.95</v>
      </c>
      <c r="J88" t="s">
        <v>73</v>
      </c>
      <c r="K88">
        <v>3.2</v>
      </c>
      <c r="L88">
        <v>3.09</v>
      </c>
      <c r="M88">
        <v>4.2</v>
      </c>
      <c r="N88">
        <v>3.4784999999999999</v>
      </c>
      <c r="O88">
        <v>3.4119000000000002</v>
      </c>
      <c r="P88">
        <v>3.2343000000000002</v>
      </c>
    </row>
    <row r="89" spans="3:16" x14ac:dyDescent="0.25">
      <c r="C89">
        <v>3.5619670000000001</v>
      </c>
      <c r="D89">
        <v>3.552743</v>
      </c>
      <c r="E89">
        <v>4.95</v>
      </c>
      <c r="J89" t="s">
        <v>74</v>
      </c>
      <c r="K89">
        <v>3.3233329999999999</v>
      </c>
      <c r="L89">
        <v>3.2566670000000002</v>
      </c>
      <c r="M89">
        <v>3.42</v>
      </c>
      <c r="N89">
        <v>3.31383355</v>
      </c>
      <c r="O89">
        <v>3.3040335700000001</v>
      </c>
      <c r="P89">
        <v>3.2779002899999998</v>
      </c>
    </row>
    <row r="90" spans="3:16" x14ac:dyDescent="0.25">
      <c r="C90">
        <v>3.5413730000000001</v>
      </c>
      <c r="D90">
        <v>3.3741699999999999</v>
      </c>
      <c r="E90">
        <v>4.45</v>
      </c>
      <c r="J90" t="s">
        <v>75</v>
      </c>
      <c r="K90">
        <v>3.34</v>
      </c>
      <c r="L90">
        <v>3.18</v>
      </c>
      <c r="M90">
        <v>2.9620000000000002</v>
      </c>
      <c r="N90">
        <v>2.9946999999999999</v>
      </c>
      <c r="O90">
        <v>3.0077799999999999</v>
      </c>
      <c r="P90">
        <v>3.0426600000000001</v>
      </c>
    </row>
    <row r="91" spans="3:16" x14ac:dyDescent="0.25">
      <c r="C91">
        <v>3.5248620000000002</v>
      </c>
      <c r="D91">
        <v>3.3246039999999999</v>
      </c>
      <c r="E91">
        <v>3.95</v>
      </c>
      <c r="J91" t="s">
        <v>76</v>
      </c>
      <c r="K91">
        <v>3.75</v>
      </c>
      <c r="L91">
        <v>3.5</v>
      </c>
      <c r="M91">
        <v>2.7</v>
      </c>
      <c r="N91">
        <v>2.82</v>
      </c>
      <c r="O91">
        <v>2.8679999999999999</v>
      </c>
      <c r="P91">
        <v>2.996</v>
      </c>
    </row>
    <row r="92" spans="3:16" x14ac:dyDescent="0.25">
      <c r="C92">
        <v>3.5124499999999999</v>
      </c>
      <c r="D92">
        <v>3.2873549999999998</v>
      </c>
      <c r="E92">
        <v>3.45</v>
      </c>
      <c r="J92" t="s">
        <v>77</v>
      </c>
      <c r="K92">
        <v>3.75</v>
      </c>
      <c r="L92">
        <v>3.5</v>
      </c>
      <c r="M92">
        <v>2.7</v>
      </c>
      <c r="N92">
        <v>2.82</v>
      </c>
      <c r="O92">
        <v>2.8679999999999999</v>
      </c>
      <c r="P92">
        <v>2.996</v>
      </c>
    </row>
    <row r="93" spans="3:16" x14ac:dyDescent="0.25">
      <c r="C93">
        <v>3.5041570000000002</v>
      </c>
      <c r="D93">
        <v>3.26247</v>
      </c>
      <c r="E93">
        <v>2.95</v>
      </c>
      <c r="J93" t="s">
        <v>78</v>
      </c>
      <c r="K93">
        <v>3.75</v>
      </c>
      <c r="L93">
        <v>3.5</v>
      </c>
      <c r="M93">
        <v>2.7</v>
      </c>
      <c r="N93">
        <v>2.82</v>
      </c>
      <c r="O93">
        <v>2.8679999999999999</v>
      </c>
      <c r="P93">
        <v>2.996</v>
      </c>
    </row>
    <row r="94" spans="3:16" x14ac:dyDescent="0.25">
      <c r="C94">
        <v>3.5</v>
      </c>
      <c r="D94">
        <v>3.25</v>
      </c>
      <c r="E94">
        <v>2.4500000000000002</v>
      </c>
      <c r="J94" t="s">
        <v>79</v>
      </c>
      <c r="K94">
        <v>3.75</v>
      </c>
      <c r="L94">
        <v>3.5</v>
      </c>
      <c r="M94">
        <v>2.7</v>
      </c>
      <c r="N94">
        <v>2.82</v>
      </c>
      <c r="O94">
        <v>2.8679999999999999</v>
      </c>
      <c r="P94">
        <v>2.996</v>
      </c>
    </row>
    <row r="95" spans="3:16" x14ac:dyDescent="0.25">
      <c r="C95">
        <v>3.5</v>
      </c>
      <c r="D95">
        <v>3.25</v>
      </c>
      <c r="E95">
        <v>2.4500000000000002</v>
      </c>
      <c r="J95" t="s">
        <v>80</v>
      </c>
      <c r="K95">
        <v>3.75</v>
      </c>
      <c r="L95">
        <v>3.5</v>
      </c>
      <c r="M95">
        <v>2.7</v>
      </c>
      <c r="N95">
        <v>2.82</v>
      </c>
      <c r="O95">
        <v>2.8679999999999999</v>
      </c>
      <c r="P95">
        <v>2.996</v>
      </c>
    </row>
    <row r="96" spans="3:16" x14ac:dyDescent="0.25">
      <c r="C96">
        <v>3.5</v>
      </c>
      <c r="D96">
        <v>3.25</v>
      </c>
      <c r="E96">
        <v>2.4500000000000002</v>
      </c>
      <c r="J96" t="s">
        <v>81</v>
      </c>
      <c r="K96">
        <v>3.75</v>
      </c>
      <c r="L96">
        <v>3.5</v>
      </c>
      <c r="M96">
        <v>2.7</v>
      </c>
      <c r="N96">
        <v>2.82</v>
      </c>
      <c r="O96">
        <v>2.8679999999999999</v>
      </c>
      <c r="P96">
        <v>2.996</v>
      </c>
    </row>
    <row r="97" spans="3:16" x14ac:dyDescent="0.25">
      <c r="C97">
        <v>3.5</v>
      </c>
      <c r="D97">
        <v>3.25</v>
      </c>
      <c r="E97">
        <v>2.4500000000000002</v>
      </c>
      <c r="J97" t="s">
        <v>82</v>
      </c>
      <c r="K97">
        <v>3.75</v>
      </c>
      <c r="L97">
        <v>3.5</v>
      </c>
      <c r="M97">
        <v>2.7</v>
      </c>
      <c r="N97">
        <v>2.82</v>
      </c>
      <c r="O97">
        <v>2.8679999999999999</v>
      </c>
      <c r="P97">
        <v>2.996</v>
      </c>
    </row>
    <row r="98" spans="3:16" x14ac:dyDescent="0.25">
      <c r="C98">
        <v>3.5</v>
      </c>
      <c r="D98">
        <v>3.25</v>
      </c>
      <c r="E98">
        <v>2.4500000000000002</v>
      </c>
      <c r="J98" t="s">
        <v>83</v>
      </c>
      <c r="K98">
        <v>3.75</v>
      </c>
      <c r="L98">
        <v>3.5</v>
      </c>
      <c r="M98">
        <v>2.7</v>
      </c>
      <c r="N98">
        <v>2.82</v>
      </c>
      <c r="O98">
        <v>2.8679999999999999</v>
      </c>
      <c r="P98">
        <v>2.996</v>
      </c>
    </row>
    <row r="99" spans="3:16" x14ac:dyDescent="0.25">
      <c r="C99">
        <v>3.5</v>
      </c>
      <c r="D99">
        <v>3.25</v>
      </c>
      <c r="E99">
        <v>2.4500000000000002</v>
      </c>
      <c r="J99" t="s">
        <v>84</v>
      </c>
      <c r="K99">
        <v>3.75</v>
      </c>
      <c r="L99">
        <v>3.5</v>
      </c>
      <c r="M99">
        <v>2.7</v>
      </c>
      <c r="N99">
        <v>2.82</v>
      </c>
      <c r="O99">
        <v>2.8679999999999999</v>
      </c>
      <c r="P99">
        <v>2.996</v>
      </c>
    </row>
    <row r="100" spans="3:16" x14ac:dyDescent="0.25">
      <c r="C100">
        <v>3.5</v>
      </c>
      <c r="D100">
        <v>3.25</v>
      </c>
      <c r="E100">
        <v>2.4500000000000002</v>
      </c>
      <c r="J100" t="s">
        <v>85</v>
      </c>
      <c r="K100">
        <v>3.75</v>
      </c>
      <c r="L100">
        <v>3.5</v>
      </c>
      <c r="M100">
        <v>2.7</v>
      </c>
      <c r="N100">
        <v>2.82</v>
      </c>
      <c r="O100">
        <v>2.8679999999999999</v>
      </c>
      <c r="P100">
        <v>2.996</v>
      </c>
    </row>
    <row r="101" spans="3:16" x14ac:dyDescent="0.25">
      <c r="C101">
        <v>3.5</v>
      </c>
      <c r="D101">
        <v>3.25</v>
      </c>
      <c r="E101">
        <v>2.4500000000000002</v>
      </c>
      <c r="J101" t="s">
        <v>86</v>
      </c>
      <c r="K101">
        <v>3.75</v>
      </c>
      <c r="L101">
        <v>3.5</v>
      </c>
      <c r="M101">
        <v>2.7</v>
      </c>
      <c r="N101">
        <v>2.82</v>
      </c>
      <c r="O101">
        <v>2.8679999999999999</v>
      </c>
      <c r="P101">
        <v>2.996</v>
      </c>
    </row>
    <row r="102" spans="3:16" x14ac:dyDescent="0.25">
      <c r="C102">
        <v>3.5</v>
      </c>
      <c r="D102">
        <v>3.25</v>
      </c>
      <c r="E102">
        <v>2.4500000000000002</v>
      </c>
      <c r="J102" t="s">
        <v>87</v>
      </c>
      <c r="K102">
        <v>3.75</v>
      </c>
      <c r="L102">
        <v>3.5</v>
      </c>
      <c r="M102">
        <v>2.7</v>
      </c>
      <c r="N102">
        <v>2.82</v>
      </c>
      <c r="O102">
        <v>2.8679999999999999</v>
      </c>
      <c r="P102">
        <v>2.996</v>
      </c>
    </row>
    <row r="103" spans="3:16" x14ac:dyDescent="0.25">
      <c r="C103">
        <v>3.5</v>
      </c>
      <c r="D103">
        <v>3.25</v>
      </c>
      <c r="E103">
        <v>2.4500000000000002</v>
      </c>
      <c r="J103" t="s">
        <v>88</v>
      </c>
      <c r="K103">
        <v>3.75</v>
      </c>
      <c r="L103">
        <v>3.5</v>
      </c>
      <c r="M103">
        <v>2.7</v>
      </c>
      <c r="N103">
        <v>2.82</v>
      </c>
      <c r="O103">
        <v>2.8679999999999999</v>
      </c>
      <c r="P103">
        <v>2.996</v>
      </c>
    </row>
    <row r="104" spans="3:16" x14ac:dyDescent="0.25">
      <c r="C104">
        <v>3.5</v>
      </c>
      <c r="D104">
        <v>3.25</v>
      </c>
      <c r="E104">
        <v>2.4500000000000002</v>
      </c>
      <c r="J104" t="s">
        <v>89</v>
      </c>
      <c r="K104">
        <v>3.75</v>
      </c>
      <c r="L104">
        <v>3.5</v>
      </c>
      <c r="M104">
        <v>2.7</v>
      </c>
      <c r="N104">
        <v>2.82</v>
      </c>
      <c r="O104">
        <v>2.8679999999999999</v>
      </c>
      <c r="P104">
        <v>2.996</v>
      </c>
    </row>
    <row r="105" spans="3:16" x14ac:dyDescent="0.25">
      <c r="C105">
        <v>3.5</v>
      </c>
      <c r="D105">
        <v>3.25</v>
      </c>
      <c r="E105">
        <v>2.4500000000000002</v>
      </c>
      <c r="J105" t="s">
        <v>90</v>
      </c>
      <c r="K105">
        <v>3.75</v>
      </c>
      <c r="L105">
        <v>3.5</v>
      </c>
      <c r="M105">
        <v>2.7</v>
      </c>
      <c r="N105">
        <v>2.82</v>
      </c>
      <c r="O105">
        <v>2.8679999999999999</v>
      </c>
      <c r="P105">
        <v>2.996</v>
      </c>
    </row>
    <row r="106" spans="3:16" x14ac:dyDescent="0.25">
      <c r="C106">
        <v>3.5</v>
      </c>
      <c r="D106">
        <v>3.25</v>
      </c>
      <c r="E106">
        <v>2.4500000000000002</v>
      </c>
      <c r="J106" t="s">
        <v>91</v>
      </c>
      <c r="K106">
        <v>3.75</v>
      </c>
      <c r="L106">
        <v>3.5</v>
      </c>
      <c r="M106">
        <v>2.7</v>
      </c>
      <c r="N106">
        <v>2.82</v>
      </c>
      <c r="O106">
        <v>2.8679999999999999</v>
      </c>
      <c r="P106">
        <v>2.996</v>
      </c>
    </row>
    <row r="107" spans="3:16" x14ac:dyDescent="0.25">
      <c r="C107">
        <v>3.5</v>
      </c>
      <c r="D107">
        <v>3.25</v>
      </c>
      <c r="E107">
        <v>2.4500000000000002</v>
      </c>
      <c r="J107" t="s">
        <v>92</v>
      </c>
      <c r="K107">
        <v>3.75</v>
      </c>
      <c r="L107">
        <v>3.5</v>
      </c>
      <c r="M107">
        <v>2.7</v>
      </c>
      <c r="N107">
        <v>2.82</v>
      </c>
      <c r="O107">
        <v>2.8679999999999999</v>
      </c>
      <c r="P107">
        <v>2.996</v>
      </c>
    </row>
    <row r="108" spans="3:16" x14ac:dyDescent="0.25">
      <c r="C108">
        <v>3.5</v>
      </c>
      <c r="D108">
        <v>3.25</v>
      </c>
      <c r="E108">
        <v>2.4500000000000002</v>
      </c>
      <c r="J108" t="s">
        <v>93</v>
      </c>
      <c r="K108">
        <v>3.75</v>
      </c>
      <c r="L108">
        <v>3.5</v>
      </c>
      <c r="M108">
        <v>2.7</v>
      </c>
      <c r="N108">
        <v>2.82</v>
      </c>
      <c r="O108">
        <v>2.8679999999999999</v>
      </c>
      <c r="P108">
        <v>2.996</v>
      </c>
    </row>
    <row r="109" spans="3:16" x14ac:dyDescent="0.25">
      <c r="C109">
        <v>3.5</v>
      </c>
      <c r="D109">
        <v>3.25</v>
      </c>
      <c r="E109">
        <v>2.4500000000000002</v>
      </c>
      <c r="J109" t="s">
        <v>94</v>
      </c>
      <c r="K109">
        <v>3.75</v>
      </c>
      <c r="L109">
        <v>3.5</v>
      </c>
      <c r="M109">
        <v>2.7</v>
      </c>
      <c r="N109">
        <v>2.82</v>
      </c>
      <c r="O109">
        <v>2.8679999999999999</v>
      </c>
      <c r="P109">
        <v>2.996</v>
      </c>
    </row>
    <row r="110" spans="3:16" x14ac:dyDescent="0.25">
      <c r="C110">
        <v>3.5</v>
      </c>
      <c r="D110">
        <v>3.25</v>
      </c>
      <c r="E110">
        <v>2.4500000000000002</v>
      </c>
      <c r="K110">
        <v>3.75</v>
      </c>
      <c r="L110">
        <v>3.5</v>
      </c>
      <c r="M110">
        <v>2.7</v>
      </c>
      <c r="N110">
        <v>2.82</v>
      </c>
      <c r="O110">
        <v>2.8679999999999999</v>
      </c>
      <c r="P110">
        <v>2.996</v>
      </c>
    </row>
    <row r="111" spans="3:16" x14ac:dyDescent="0.25">
      <c r="C111">
        <v>3.5</v>
      </c>
      <c r="D111">
        <v>3.25</v>
      </c>
      <c r="E111">
        <v>2.4500000000000002</v>
      </c>
      <c r="K111">
        <v>3.75</v>
      </c>
      <c r="L111">
        <v>3.5</v>
      </c>
      <c r="M111">
        <v>2.7</v>
      </c>
      <c r="N111">
        <v>2.82</v>
      </c>
      <c r="O111">
        <v>2.8679999999999999</v>
      </c>
      <c r="P111">
        <v>2.996</v>
      </c>
    </row>
    <row r="112" spans="3:16" x14ac:dyDescent="0.25">
      <c r="C112">
        <v>3.5</v>
      </c>
      <c r="D112">
        <v>3.25</v>
      </c>
      <c r="E112">
        <v>2.4500000000000002</v>
      </c>
      <c r="K112">
        <v>3.75</v>
      </c>
      <c r="L112">
        <v>3.5</v>
      </c>
      <c r="M112">
        <v>2.7</v>
      </c>
      <c r="N112">
        <v>2.82</v>
      </c>
      <c r="O112">
        <v>2.8679999999999999</v>
      </c>
      <c r="P112">
        <v>2.996</v>
      </c>
    </row>
    <row r="113" spans="3:16" x14ac:dyDescent="0.25">
      <c r="C113">
        <v>3.5</v>
      </c>
      <c r="D113">
        <v>3.25</v>
      </c>
      <c r="E113">
        <v>2.4500000000000002</v>
      </c>
      <c r="K113">
        <v>3.75</v>
      </c>
      <c r="L113">
        <v>3.5</v>
      </c>
      <c r="M113">
        <v>2.7</v>
      </c>
      <c r="N113">
        <v>2.82</v>
      </c>
      <c r="O113">
        <v>2.8679999999999999</v>
      </c>
      <c r="P113">
        <v>2.996</v>
      </c>
    </row>
    <row r="114" spans="3:16" x14ac:dyDescent="0.25">
      <c r="C114">
        <v>3.5</v>
      </c>
      <c r="D114">
        <v>3.25</v>
      </c>
      <c r="E114">
        <v>2.4500000000000002</v>
      </c>
    </row>
    <row r="115" spans="3:16" x14ac:dyDescent="0.25">
      <c r="C115">
        <v>3.5</v>
      </c>
      <c r="D115">
        <v>3.25</v>
      </c>
      <c r="E115">
        <v>2.4500000000000002</v>
      </c>
    </row>
    <row r="116" spans="3:16" x14ac:dyDescent="0.25">
      <c r="C116">
        <v>3.5</v>
      </c>
      <c r="D116">
        <v>3.25</v>
      </c>
      <c r="E116">
        <v>2.4500000000000002</v>
      </c>
    </row>
    <row r="117" spans="3:16" x14ac:dyDescent="0.25">
      <c r="C117">
        <v>3.5</v>
      </c>
      <c r="D117">
        <v>3.25</v>
      </c>
      <c r="E117">
        <v>2.4500000000000002</v>
      </c>
    </row>
    <row r="118" spans="3:16" x14ac:dyDescent="0.25">
      <c r="C118">
        <v>3.5</v>
      </c>
      <c r="D118">
        <v>3.25</v>
      </c>
      <c r="E118">
        <v>2.4500000000000002</v>
      </c>
    </row>
    <row r="119" spans="3:16" x14ac:dyDescent="0.25">
      <c r="C119">
        <v>3.5</v>
      </c>
      <c r="D119">
        <v>3.25</v>
      </c>
      <c r="E119">
        <v>2.4500000000000002</v>
      </c>
    </row>
    <row r="120" spans="3:16" x14ac:dyDescent="0.25">
      <c r="C120">
        <v>3.5</v>
      </c>
      <c r="D120">
        <v>3.25</v>
      </c>
      <c r="E120">
        <v>2.4500000000000002</v>
      </c>
    </row>
  </sheetData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How to interface with Web tool</vt:lpstr>
      <vt:lpstr>machine_readable</vt:lpstr>
      <vt:lpstr>Model</vt:lpstr>
      <vt:lpstr>Model Quarterly</vt:lpstr>
      <vt:lpstr>For user (EN)</vt:lpstr>
      <vt:lpstr>Decomposition</vt:lpstr>
      <vt:lpstr>Fiscal Model 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Bergeron, Étienne</dc:creator>
  <cp:lastModifiedBy>Vanherweghem, Rémy : PBO-DPB</cp:lastModifiedBy>
  <dcterms:created xsi:type="dcterms:W3CDTF">2019-03-06T17:58:40Z</dcterms:created>
  <dcterms:modified xsi:type="dcterms:W3CDTF">2025-03-07T22:42:39Z</dcterms:modified>
</cp:coreProperties>
</file>