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U:\Downloads\WORKDIR\"/>
    </mc:Choice>
  </mc:AlternateContent>
  <xr:revisionPtr revIDLastSave="0" documentId="13_ncr:1_{2B1A339C-D4D4-4DC3-8D78-9FC758D80EF1}" xr6:coauthVersionLast="47" xr6:coauthVersionMax="47" xr10:uidLastSave="{00000000-0000-0000-0000-000000000000}"/>
  <bookViews>
    <workbookView xWindow="-57720" yWindow="-3285" windowWidth="29040" windowHeight="15840" activeTab="3" xr2:uid="{983CEFC8-2B83-4647-BCB1-636BCC2A5490}"/>
  </bookViews>
  <sheets>
    <sheet name="How to interface with Web tool" sheetId="8" r:id="rId1"/>
    <sheet name="machine_readable" sheetId="7" r:id="rId2"/>
    <sheet name="Model" sheetId="1" r:id="rId3"/>
    <sheet name="For user (EN)" sheetId="2" r:id="rId4"/>
    <sheet name="Fiscal Model Import" sheetId="5" r:id="rId5"/>
    <sheet name="Decomposit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" l="1"/>
  <c r="F5" i="2"/>
  <c r="E5" i="2"/>
  <c r="D5" i="2"/>
  <c r="C5" i="2"/>
  <c r="E2" i="5"/>
  <c r="F2" i="5" s="1"/>
  <c r="D10" i="1"/>
  <c r="I2" i="6"/>
  <c r="G27" i="6"/>
  <c r="G28" i="6"/>
  <c r="H4" i="6"/>
  <c r="H3" i="6"/>
  <c r="H2" i="6"/>
  <c r="D4" i="6"/>
  <c r="D3" i="6"/>
  <c r="E41" i="6"/>
  <c r="F41" i="6"/>
  <c r="F40" i="6"/>
  <c r="F39" i="6"/>
  <c r="F38" i="6"/>
  <c r="F37" i="6"/>
  <c r="D13" i="6"/>
  <c r="D11" i="6"/>
  <c r="B32" i="6"/>
  <c r="D32" i="6"/>
  <c r="G4" i="2" l="1"/>
  <c r="F4" i="2"/>
  <c r="E4" i="2"/>
  <c r="D4" i="2"/>
  <c r="C4" i="2"/>
  <c r="D4" i="1" s="1"/>
  <c r="C6" i="2" l="1"/>
  <c r="M4" i="7" s="1"/>
  <c r="E1" i="2" l="1"/>
  <c r="F1" i="2"/>
  <c r="G1" i="2" s="1"/>
  <c r="E2" i="2"/>
  <c r="F2" i="2" s="1"/>
  <c r="G2" i="2" s="1"/>
  <c r="D2" i="2"/>
  <c r="D1" i="2"/>
  <c r="D17" i="1"/>
  <c r="M14" i="7" s="1"/>
  <c r="D5" i="1" l="1"/>
  <c r="G30" i="6"/>
  <c r="G4" i="6"/>
  <c r="G3" i="6"/>
  <c r="F4" i="6"/>
  <c r="F3" i="6"/>
  <c r="F2" i="6"/>
  <c r="G26" i="6"/>
  <c r="G25" i="6"/>
  <c r="N35" i="6"/>
  <c r="N34" i="6"/>
  <c r="N33" i="6"/>
  <c r="N32" i="6"/>
  <c r="G24" i="6"/>
  <c r="G17" i="6" l="1"/>
  <c r="G18" i="6"/>
  <c r="G19" i="6"/>
  <c r="G20" i="6"/>
  <c r="G21" i="6"/>
  <c r="G22" i="6"/>
  <c r="G16" i="5" l="1"/>
  <c r="E10" i="1" s="1"/>
  <c r="N9" i="7" s="1"/>
  <c r="H16" i="5"/>
  <c r="F10" i="1" s="1"/>
  <c r="O9" i="7" s="1"/>
  <c r="I16" i="5"/>
  <c r="G10" i="1" s="1"/>
  <c r="P9" i="7" s="1"/>
  <c r="J16" i="5"/>
  <c r="H10" i="1" s="1"/>
  <c r="Q9" i="7" s="1"/>
  <c r="K16" i="5"/>
  <c r="L16" i="5"/>
  <c r="M16" i="5" s="1"/>
  <c r="G17" i="5"/>
  <c r="E11" i="1" s="1"/>
  <c r="N11" i="7" s="1"/>
  <c r="H17" i="5"/>
  <c r="F11" i="1" s="1"/>
  <c r="O11" i="7" s="1"/>
  <c r="I17" i="5"/>
  <c r="G11" i="1" s="1"/>
  <c r="P11" i="7" s="1"/>
  <c r="J17" i="5"/>
  <c r="H11" i="1" s="1"/>
  <c r="Q11" i="7" s="1"/>
  <c r="K17" i="5"/>
  <c r="L17" i="5"/>
  <c r="M17" i="5" s="1"/>
  <c r="N17" i="5" s="1"/>
  <c r="O17" i="5" s="1"/>
  <c r="G18" i="5"/>
  <c r="N10" i="7" s="1"/>
  <c r="H18" i="5"/>
  <c r="O10" i="7" s="1"/>
  <c r="I18" i="5"/>
  <c r="P10" i="7" s="1"/>
  <c r="J18" i="5"/>
  <c r="Q10" i="7" s="1"/>
  <c r="K18" i="5"/>
  <c r="K20" i="5" s="1"/>
  <c r="L18" i="5"/>
  <c r="L20" i="5" s="1"/>
  <c r="G20" i="5" l="1"/>
  <c r="E12" i="1" s="1"/>
  <c r="M18" i="5"/>
  <c r="H20" i="5"/>
  <c r="F12" i="1" s="1"/>
  <c r="I20" i="5"/>
  <c r="G12" i="1" s="1"/>
  <c r="J20" i="5"/>
  <c r="H12" i="1" s="1"/>
  <c r="N16" i="5"/>
  <c r="M20" i="5" l="1"/>
  <c r="N18" i="5"/>
  <c r="O16" i="5"/>
  <c r="O18" i="5" l="1"/>
  <c r="O20" i="5" s="1"/>
  <c r="N20" i="5"/>
  <c r="D6" i="1"/>
  <c r="D6" i="2"/>
  <c r="N4" i="7" s="1"/>
  <c r="E6" i="2"/>
  <c r="O4" i="7" s="1"/>
  <c r="F6" i="2"/>
  <c r="P4" i="7" s="1"/>
  <c r="G6" i="2"/>
  <c r="Q4" i="7" s="1"/>
  <c r="C12" i="5" l="1"/>
  <c r="C13" i="5" s="1"/>
  <c r="B12" i="5"/>
  <c r="B13" i="5" s="1"/>
  <c r="D12" i="5"/>
  <c r="E12" i="5" s="1"/>
  <c r="F12" i="5" s="1"/>
  <c r="G12" i="5" s="1"/>
  <c r="H12" i="5" s="1"/>
  <c r="I12" i="5" s="1"/>
  <c r="J12" i="5" s="1"/>
  <c r="K12" i="5" s="1"/>
  <c r="L12" i="5" s="1"/>
  <c r="M12" i="5" s="1"/>
  <c r="N12" i="5" s="1"/>
  <c r="C32" i="6"/>
  <c r="D13" i="5" l="1"/>
  <c r="E13" i="5" s="1"/>
  <c r="F13" i="5" s="1"/>
  <c r="G13" i="5" s="1"/>
  <c r="H13" i="5" s="1"/>
  <c r="I13" i="5" s="1"/>
  <c r="J13" i="5" s="1"/>
  <c r="K13" i="5" s="1"/>
  <c r="L13" i="5" s="1"/>
  <c r="M13" i="5" s="1"/>
  <c r="N13" i="5" s="1"/>
  <c r="C7" i="5"/>
  <c r="C8" i="5"/>
  <c r="E8" i="5"/>
  <c r="F8" i="5" s="1"/>
  <c r="G8" i="5" s="1"/>
  <c r="H8" i="5" s="1"/>
  <c r="I8" i="5" s="1"/>
  <c r="J8" i="5" s="1"/>
  <c r="K8" i="5" s="1"/>
  <c r="L8" i="5" s="1"/>
  <c r="M8" i="5" s="1"/>
  <c r="N8" i="5" s="1"/>
  <c r="C9" i="5"/>
  <c r="B8" i="5"/>
  <c r="B9" i="5"/>
  <c r="B7" i="5"/>
  <c r="E12" i="6"/>
  <c r="E13" i="6"/>
  <c r="E11" i="6"/>
  <c r="F11" i="6"/>
  <c r="B2" i="5" l="1"/>
  <c r="B3" i="5"/>
  <c r="B4" i="5"/>
  <c r="C16" i="5"/>
  <c r="C17" i="5"/>
  <c r="C18" i="5"/>
  <c r="C20" i="5" s="1"/>
  <c r="F18" i="5"/>
  <c r="C3" i="5"/>
  <c r="C4" i="5"/>
  <c r="I6" i="6"/>
  <c r="I3" i="6" s="1"/>
  <c r="F6" i="6"/>
  <c r="I4" i="6" l="1"/>
  <c r="E3" i="5" s="1"/>
  <c r="G3" i="5" s="1"/>
  <c r="M10" i="7"/>
  <c r="C21" i="5"/>
  <c r="G2" i="5"/>
  <c r="N2" i="5"/>
  <c r="M2" i="5"/>
  <c r="K2" i="5"/>
  <c r="J2" i="5"/>
  <c r="L2" i="5"/>
  <c r="I2" i="5"/>
  <c r="H2" i="5"/>
  <c r="L3" i="5" l="1"/>
  <c r="N3" i="5"/>
  <c r="I3" i="5"/>
  <c r="F3" i="5"/>
  <c r="J3" i="5"/>
  <c r="M3" i="5"/>
  <c r="H3" i="5"/>
  <c r="K3" i="5"/>
  <c r="I8" i="6"/>
  <c r="E4" i="5"/>
  <c r="C11" i="6"/>
  <c r="C12" i="6"/>
  <c r="D12" i="6"/>
  <c r="C13" i="6"/>
  <c r="B12" i="6"/>
  <c r="B13" i="6"/>
  <c r="B11" i="6"/>
  <c r="G11" i="6" l="1"/>
  <c r="G12" i="6"/>
  <c r="D8" i="5" s="1"/>
  <c r="G13" i="6"/>
  <c r="G4" i="5"/>
  <c r="G21" i="5"/>
  <c r="E13" i="1" s="1"/>
  <c r="N12" i="7" s="1"/>
  <c r="I21" i="5"/>
  <c r="G13" i="1" s="1"/>
  <c r="P12" i="7" s="1"/>
  <c r="I4" i="5"/>
  <c r="J4" i="5"/>
  <c r="F4" i="5"/>
  <c r="J21" i="5"/>
  <c r="H13" i="1" s="1"/>
  <c r="Q12" i="7" s="1"/>
  <c r="M21" i="5"/>
  <c r="H21" i="5"/>
  <c r="F13" i="1" s="1"/>
  <c r="O12" i="7" s="1"/>
  <c r="K21" i="5"/>
  <c r="L21" i="5"/>
  <c r="K4" i="5"/>
  <c r="N21" i="5"/>
  <c r="N4" i="5"/>
  <c r="L4" i="5"/>
  <c r="O21" i="5"/>
  <c r="H4" i="5"/>
  <c r="M4" i="5"/>
  <c r="C4" i="6"/>
  <c r="B4" i="6"/>
  <c r="C3" i="6"/>
  <c r="B3" i="6"/>
  <c r="C2" i="6"/>
  <c r="G2" i="6" s="1"/>
  <c r="B2" i="6"/>
  <c r="G6" i="6" l="1"/>
  <c r="C2" i="5"/>
  <c r="D3" i="5"/>
  <c r="D9" i="5"/>
  <c r="H13" i="6"/>
  <c r="E9" i="5" s="1"/>
  <c r="F9" i="5" s="1"/>
  <c r="G9" i="5" s="1"/>
  <c r="H9" i="5" s="1"/>
  <c r="I9" i="5" s="1"/>
  <c r="J9" i="5" s="1"/>
  <c r="K9" i="5" s="1"/>
  <c r="L9" i="5" s="1"/>
  <c r="M9" i="5" s="1"/>
  <c r="N9" i="5" s="1"/>
  <c r="H11" i="6"/>
  <c r="E7" i="5" s="1"/>
  <c r="F7" i="5" s="1"/>
  <c r="G7" i="5" s="1"/>
  <c r="H7" i="5" s="1"/>
  <c r="I7" i="5" s="1"/>
  <c r="J7" i="5" s="1"/>
  <c r="K7" i="5" s="1"/>
  <c r="L7" i="5" s="1"/>
  <c r="M7" i="5" s="1"/>
  <c r="N7" i="5" s="1"/>
  <c r="D7" i="5"/>
  <c r="D2" i="5"/>
  <c r="H6" i="6"/>
  <c r="D4" i="5"/>
  <c r="E18" i="5" l="1"/>
  <c r="F13" i="6" l="1"/>
  <c r="F12" i="6"/>
  <c r="E6" i="1" l="1"/>
  <c r="E16" i="1" s="1"/>
  <c r="N13" i="7" s="1"/>
  <c r="F6" i="1"/>
  <c r="G40" i="5" l="1"/>
  <c r="H40" i="5"/>
  <c r="I40" i="5"/>
  <c r="J40" i="5"/>
  <c r="K40" i="5"/>
  <c r="F40" i="5"/>
  <c r="F41" i="5" s="1"/>
  <c r="I41" i="5" l="1"/>
  <c r="E5" i="1"/>
  <c r="F5" i="1"/>
  <c r="G5" i="1"/>
  <c r="H5" i="1"/>
  <c r="G6" i="1"/>
  <c r="H6" i="1"/>
  <c r="E1" i="1"/>
  <c r="F1" i="1" s="1"/>
  <c r="G1" i="1" s="1"/>
  <c r="E2" i="1"/>
  <c r="F2" i="1" s="1"/>
  <c r="G2" i="1" s="1"/>
  <c r="E4" i="1"/>
  <c r="F4" i="1"/>
  <c r="G41" i="5" l="1"/>
  <c r="H41" i="5"/>
  <c r="K41" i="5"/>
  <c r="J41" i="5"/>
  <c r="D18" i="5" l="1"/>
  <c r="D16" i="5"/>
  <c r="E16" i="5"/>
  <c r="F16" i="5"/>
  <c r="F17" i="5"/>
  <c r="D11" i="1" s="1"/>
  <c r="M11" i="7" s="1"/>
  <c r="E17" i="5"/>
  <c r="D17" i="5"/>
  <c r="M9" i="7" l="1"/>
  <c r="F20" i="5"/>
  <c r="D12" i="1" s="1"/>
  <c r="F21" i="5"/>
  <c r="D13" i="1" s="1"/>
  <c r="D20" i="5"/>
  <c r="E20" i="5"/>
  <c r="D16" i="1" l="1"/>
  <c r="M12" i="7"/>
  <c r="D21" i="5"/>
  <c r="F16" i="1"/>
  <c r="O13" i="7" s="1"/>
  <c r="E21" i="5"/>
  <c r="D18" i="1" l="1"/>
  <c r="M13" i="7"/>
  <c r="D53" i="1"/>
  <c r="D55" i="1" s="1"/>
  <c r="G4" i="1"/>
  <c r="H4" i="1"/>
  <c r="H2" i="1"/>
  <c r="H1" i="1"/>
  <c r="D24" i="1" l="1"/>
  <c r="D29" i="1" s="1"/>
  <c r="D19" i="1"/>
  <c r="D23" i="1"/>
  <c r="D22" i="1"/>
  <c r="D27" i="1" s="1"/>
  <c r="M15" i="7"/>
  <c r="G16" i="1"/>
  <c r="P13" i="7" s="1"/>
  <c r="H16" i="1"/>
  <c r="Q13" i="7" s="1"/>
  <c r="D25" i="1" l="1"/>
  <c r="D28" i="1"/>
  <c r="D45" i="1" s="1"/>
  <c r="M17" i="7"/>
  <c r="E35" i="1"/>
  <c r="M16" i="7"/>
  <c r="E42" i="1"/>
  <c r="D54" i="1"/>
  <c r="D30" i="1"/>
  <c r="D31" i="1"/>
  <c r="D46" i="1"/>
  <c r="D26" i="1"/>
  <c r="C12" i="2"/>
  <c r="M6" i="7" s="1"/>
  <c r="C10" i="2"/>
  <c r="M19" i="7" l="1"/>
  <c r="D48" i="1"/>
  <c r="D32" i="1"/>
  <c r="M18" i="7"/>
  <c r="D47" i="1"/>
  <c r="C13" i="2"/>
  <c r="M8" i="7" s="1"/>
  <c r="M5" i="7"/>
  <c r="C11" i="2"/>
  <c r="M7" i="7" s="1"/>
  <c r="D50" i="1" l="1"/>
  <c r="E17" i="1" s="1"/>
  <c r="E53" i="1" l="1"/>
  <c r="E55" i="1" s="1"/>
  <c r="N14" i="7"/>
  <c r="E18" i="1"/>
  <c r="E22" i="1" l="1"/>
  <c r="N15" i="7"/>
  <c r="E19" i="1"/>
  <c r="E24" i="1"/>
  <c r="E23" i="1"/>
  <c r="D12" i="2"/>
  <c r="N6" i="7" s="1"/>
  <c r="D10" i="2"/>
  <c r="N16" i="7" l="1"/>
  <c r="E27" i="1"/>
  <c r="F35" i="1" s="1"/>
  <c r="E25" i="1"/>
  <c r="F36" i="1" s="1"/>
  <c r="D13" i="2"/>
  <c r="N8" i="7" s="1"/>
  <c r="N5" i="7"/>
  <c r="E29" i="1"/>
  <c r="E28" i="1"/>
  <c r="N18" i="7" s="1"/>
  <c r="E26" i="1"/>
  <c r="E32" i="1" l="1"/>
  <c r="N19" i="7"/>
  <c r="N17" i="7"/>
  <c r="E30" i="1"/>
  <c r="E31" i="1"/>
  <c r="E45" i="1"/>
  <c r="E46" i="1"/>
  <c r="E54" i="1"/>
  <c r="D11" i="2" s="1"/>
  <c r="N7" i="7" s="1"/>
  <c r="E48" i="1" l="1"/>
  <c r="E47" i="1"/>
  <c r="F39" i="1"/>
  <c r="E50" i="1" l="1"/>
  <c r="F17" i="1" s="1"/>
  <c r="F18" i="1" s="1"/>
  <c r="F41" i="1"/>
  <c r="F42" i="1" s="1"/>
  <c r="F19" i="1" l="1"/>
  <c r="F22" i="1"/>
  <c r="O14" i="7"/>
  <c r="O15" i="7"/>
  <c r="F53" i="1"/>
  <c r="F55" i="1" s="1"/>
  <c r="F23" i="1" l="1"/>
  <c r="F25" i="1" s="1"/>
  <c r="O16" i="7"/>
  <c r="F24" i="1"/>
  <c r="F26" i="1" s="1"/>
  <c r="E12" i="2"/>
  <c r="O6" i="7" s="1"/>
  <c r="E10" i="2"/>
  <c r="F28" i="1" l="1"/>
  <c r="O18" i="7" s="1"/>
  <c r="F27" i="1"/>
  <c r="F29" i="1"/>
  <c r="O19" i="7" s="1"/>
  <c r="E13" i="2"/>
  <c r="O8" i="7" s="1"/>
  <c r="O5" i="7"/>
  <c r="F54" i="1"/>
  <c r="E11" i="2" s="1"/>
  <c r="O7" i="7" s="1"/>
  <c r="O17" i="7" l="1"/>
  <c r="G35" i="1"/>
  <c r="G36" i="1"/>
  <c r="F45" i="1"/>
  <c r="F47" i="1" s="1"/>
  <c r="F31" i="1"/>
  <c r="F30" i="1"/>
  <c r="F46" i="1"/>
  <c r="F48" i="1" s="1"/>
  <c r="F32" i="1"/>
  <c r="F50" i="1" l="1"/>
  <c r="G17" i="1" s="1"/>
  <c r="G18" i="1" l="1"/>
  <c r="P14" i="7"/>
  <c r="G53" i="1"/>
  <c r="G55" i="1" s="1"/>
  <c r="F10" i="2" l="1"/>
  <c r="F13" i="2" s="1"/>
  <c r="P8" i="7" s="1"/>
  <c r="F12" i="2"/>
  <c r="P6" i="7" s="1"/>
  <c r="P15" i="7"/>
  <c r="G19" i="1"/>
  <c r="P16" i="7" s="1"/>
  <c r="G37" i="1" l="1"/>
  <c r="G39" i="1" s="1"/>
  <c r="P5" i="7"/>
  <c r="G41" i="1" l="1"/>
  <c r="G42" i="1" s="1"/>
  <c r="G24" i="1"/>
  <c r="G23" i="1"/>
  <c r="G22" i="1"/>
  <c r="G27" i="1" s="1"/>
  <c r="G54" i="1"/>
  <c r="F11" i="2" s="1"/>
  <c r="P7" i="7" s="1"/>
  <c r="H35" i="1" l="1"/>
  <c r="G30" i="1"/>
  <c r="P17" i="7"/>
  <c r="G25" i="1"/>
  <c r="G28" i="1"/>
  <c r="G45" i="1" s="1"/>
  <c r="G47" i="1" s="1"/>
  <c r="G26" i="1"/>
  <c r="G29" i="1"/>
  <c r="P19" i="7" l="1"/>
  <c r="G32" i="1"/>
  <c r="G46" i="1"/>
  <c r="G48" i="1" s="1"/>
  <c r="P18" i="7"/>
  <c r="G31" i="1"/>
  <c r="H36" i="1"/>
  <c r="G50" i="1" l="1"/>
  <c r="H17" i="1" s="1"/>
  <c r="Q14" i="7" s="1"/>
  <c r="H18" i="1" l="1"/>
  <c r="Q15" i="7" s="1"/>
  <c r="H53" i="1"/>
  <c r="H19" i="1" l="1"/>
  <c r="H37" i="1" s="1"/>
  <c r="H39" i="1" s="1"/>
  <c r="H22" i="1" s="1"/>
  <c r="H27" i="1" s="1"/>
  <c r="H55" i="1"/>
  <c r="G10" i="2"/>
  <c r="G12" i="2"/>
  <c r="Q6" i="7" s="1"/>
  <c r="H24" i="1" l="1"/>
  <c r="H26" i="1" s="1"/>
  <c r="Q16" i="7"/>
  <c r="H23" i="1"/>
  <c r="H28" i="1" s="1"/>
  <c r="H45" i="1" s="1"/>
  <c r="H41" i="1"/>
  <c r="H42" i="1" s="1"/>
  <c r="H54" i="1"/>
  <c r="G11" i="2" s="1"/>
  <c r="Q7" i="7" s="1"/>
  <c r="Q5" i="7"/>
  <c r="G13" i="2"/>
  <c r="Q8" i="7" s="1"/>
  <c r="Q17" i="7"/>
  <c r="H30" i="1"/>
  <c r="H29" i="1" l="1"/>
  <c r="Q19" i="7" s="1"/>
  <c r="H25" i="1"/>
  <c r="H31" i="1"/>
  <c r="Q18" i="7"/>
  <c r="H47" i="1"/>
  <c r="H46" i="1" l="1"/>
  <c r="H48" i="1" s="1"/>
  <c r="H32" i="1"/>
  <c r="H50" i="1" l="1"/>
</calcChain>
</file>

<file path=xl/sharedStrings.xml><?xml version="1.0" encoding="utf-8"?>
<sst xmlns="http://schemas.openxmlformats.org/spreadsheetml/2006/main" count="471" uniqueCount="270">
  <si>
    <t>INPUTS</t>
  </si>
  <si>
    <t>Total revenues measures</t>
  </si>
  <si>
    <t>Total program spending measures</t>
  </si>
  <si>
    <t>Net change on primary balance</t>
  </si>
  <si>
    <t>Fiscal year</t>
  </si>
  <si>
    <t>$ million</t>
  </si>
  <si>
    <t>Back-end</t>
  </si>
  <si>
    <t>OUTPUT</t>
  </si>
  <si>
    <t>Cumulative surplus</t>
  </si>
  <si>
    <t>Surplus for the year*</t>
  </si>
  <si>
    <t>Debt charges on primary balances</t>
  </si>
  <si>
    <t>_date_</t>
  </si>
  <si>
    <t>Marginal T-Bills Rate</t>
  </si>
  <si>
    <t>Marginal LT Bonds Rate</t>
  </si>
  <si>
    <t>Marginal 10yr Bonds Rate</t>
  </si>
  <si>
    <t>Debt Model Projections (Quarterly):</t>
  </si>
  <si>
    <t>RGCBLTB_0</t>
  </si>
  <si>
    <t>RGCB10B_0</t>
  </si>
  <si>
    <t>RTB_0</t>
  </si>
  <si>
    <t>Bond type</t>
  </si>
  <si>
    <t>2-Year</t>
  </si>
  <si>
    <t>3-Year</t>
  </si>
  <si>
    <t>5-Year</t>
  </si>
  <si>
    <t>2019-20</t>
  </si>
  <si>
    <t>2020-21</t>
  </si>
  <si>
    <t>2021-22</t>
  </si>
  <si>
    <t>2022-23</t>
  </si>
  <si>
    <t>Overall New Debt</t>
  </si>
  <si>
    <t>Rationale</t>
  </si>
  <si>
    <t>Debt charges on existing debt stock</t>
  </si>
  <si>
    <t>Primary balance * marginal eff. Int. rate</t>
  </si>
  <si>
    <t>Previous debt stock * running int. rate</t>
  </si>
  <si>
    <t>Primary balance + debt charges on primary balance + debt charges on existing debt stock</t>
  </si>
  <si>
    <t>Sum of previous new borrowings</t>
  </si>
  <si>
    <t>From fiscal model</t>
  </si>
  <si>
    <t>Calculated from fiscal model outputs</t>
  </si>
  <si>
    <t>2023-24</t>
  </si>
  <si>
    <t>2024-25</t>
  </si>
  <si>
    <t>2025-26</t>
  </si>
  <si>
    <t>2026-27</t>
  </si>
  <si>
    <t>2027-28</t>
  </si>
  <si>
    <t>Assumed Market Debt Shares:</t>
  </si>
  <si>
    <t>T-Bills</t>
  </si>
  <si>
    <t>Long-term Bonds</t>
  </si>
  <si>
    <t>Medium-term Bonds</t>
  </si>
  <si>
    <t>Marginal Interest Rate Projections:</t>
  </si>
  <si>
    <t>Marginal MT Bonds Rate (0.6*10yr rate + 0.4* T-bills rate)</t>
  </si>
  <si>
    <t>Marginal Interest Rate (All Debt)</t>
  </si>
  <si>
    <t>Cumulative Public Debt Charges</t>
  </si>
  <si>
    <t>Old Interest Rates (March 2022 Projections)</t>
  </si>
  <si>
    <t>LT Bonds</t>
  </si>
  <si>
    <t>10Y Bonds</t>
  </si>
  <si>
    <t>MT Bonds</t>
  </si>
  <si>
    <t>Overall</t>
  </si>
  <si>
    <t>Cumulative Surplus</t>
  </si>
  <si>
    <t>90-day treasury bills rate</t>
  </si>
  <si>
    <t>Debt Stock</t>
  </si>
  <si>
    <t>Long-term bond rate (new borrowing)</t>
  </si>
  <si>
    <t>Medium-term bond rate (new borrowing)</t>
  </si>
  <si>
    <t>Running Applicable Interest Rate: Medium-Term</t>
  </si>
  <si>
    <t>Running Applicable Interest Rate: Long-Term</t>
  </si>
  <si>
    <t>Running Applicable Interest Rate: All Debt</t>
  </si>
  <si>
    <t>Annual Debt Charges</t>
  </si>
  <si>
    <t>Medium-term bonds stock</t>
  </si>
  <si>
    <t>Long-term bond stock</t>
  </si>
  <si>
    <t>Marginal effective interest rate (all new debt)</t>
  </si>
  <si>
    <t>Cumulative public debt charges</t>
  </si>
  <si>
    <t>Annual public debt charges</t>
  </si>
  <si>
    <t>Overall Composition</t>
  </si>
  <si>
    <t>T-bills</t>
  </si>
  <si>
    <t>Medium Term Bonds Composition</t>
  </si>
  <si>
    <t>Share (2022-23)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</si>
  <si>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</si>
  <si>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</si>
  <si>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</si>
  <si>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</si>
  <si>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</si>
  <si>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</si>
  <si>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</si>
  <si>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</si>
  <si>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</si>
  <si>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</si>
  <si>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2024Q4</t>
  </si>
  <si>
    <t>2025Q1</t>
  </si>
  <si>
    <t>2025Q2</t>
  </si>
  <si>
    <t>2025Q3</t>
  </si>
  <si>
    <t>2025Q4</t>
  </si>
  <si>
    <t>2026Q1</t>
  </si>
  <si>
    <t>2026Q2</t>
  </si>
  <si>
    <t>2026Q3</t>
  </si>
  <si>
    <t>2026Q4</t>
  </si>
  <si>
    <t>2027Q1</t>
  </si>
  <si>
    <t>2027Q2</t>
  </si>
  <si>
    <t>2027Q3</t>
  </si>
  <si>
    <t>2027Q4</t>
  </si>
  <si>
    <t>2028Q1</t>
  </si>
  <si>
    <t>2028Q2</t>
  </si>
  <si>
    <t>2028Q3</t>
  </si>
  <si>
    <t>2028Q4</t>
  </si>
  <si>
    <t>2029Q1</t>
  </si>
  <si>
    <t>2029Q2</t>
  </si>
  <si>
    <t>2029Q3</t>
  </si>
  <si>
    <t>2029Q4</t>
  </si>
  <si>
    <t>2028-29</t>
  </si>
  <si>
    <t>2029-30</t>
  </si>
  <si>
    <t>2030-31</t>
  </si>
  <si>
    <t>Post 2023-24</t>
  </si>
  <si>
    <t>Actual</t>
  </si>
  <si>
    <t>Estimated</t>
  </si>
  <si>
    <t>Planned</t>
  </si>
  <si>
    <t>Treasury bills</t>
  </si>
  <si>
    <t>2-year</t>
  </si>
  <si>
    <t>3-year</t>
  </si>
  <si>
    <t>5-year</t>
  </si>
  <si>
    <t>10-year</t>
  </si>
  <si>
    <t>30-year</t>
  </si>
  <si>
    <t>Green bonds</t>
  </si>
  <si>
    <t>-</t>
  </si>
  <si>
    <t>Total bonds</t>
  </si>
  <si>
    <t>Total gross issuance</t>
  </si>
  <si>
    <t>Shares</t>
  </si>
  <si>
    <t>Post 23-24 (Adjusted based on Debt Management Strategy Comments)</t>
  </si>
  <si>
    <t>23-24</t>
  </si>
  <si>
    <t>22-23</t>
  </si>
  <si>
    <t>21-22</t>
  </si>
  <si>
    <t>2018-19</t>
  </si>
  <si>
    <t>LT</t>
  </si>
  <si>
    <t>* LT adjusted to long-term average at 22%, 3-year adjusted to 0 since they will no longer be issued, the share reductions for LT and 3-year are redistributed equally to 2-year and 5-year</t>
  </si>
  <si>
    <t>Based on the latest Debt Management Strategy</t>
  </si>
  <si>
    <t>Total Bonds</t>
  </si>
  <si>
    <t>2031-32</t>
  </si>
  <si>
    <t>2032-33</t>
  </si>
  <si>
    <t>2033-34</t>
  </si>
  <si>
    <t>T-bills: stock</t>
  </si>
  <si>
    <t>Share (2023-24)</t>
  </si>
  <si>
    <t>Share (post 2023-24)</t>
  </si>
  <si>
    <t>Medium-term Bond Breakdown</t>
  </si>
  <si>
    <t>share (2021-22)</t>
  </si>
  <si>
    <t>Total MT bond expiring</t>
  </si>
  <si>
    <t>T-bills expiring</t>
  </si>
  <si>
    <t>T-bills issued year prior</t>
  </si>
  <si>
    <t>2-year bond expiring</t>
  </si>
  <si>
    <t>MT bond issued 2 years prior * share of 2y bonds</t>
  </si>
  <si>
    <t>3-year bond expiring</t>
  </si>
  <si>
    <t>5-year bond expiring</t>
  </si>
  <si>
    <t>New borrowing requirement</t>
  </si>
  <si>
    <t>Medium-term bonds: issuance</t>
  </si>
  <si>
    <t>T-bills: issuance</t>
  </si>
  <si>
    <t>Long-term bonds: issuance</t>
  </si>
  <si>
    <t>(New borrowing requirement + total expiring debt) * share of T-bills</t>
  </si>
  <si>
    <t xml:space="preserve">(New borrowing requirement + total expiring debt)  * share of MT bonds </t>
  </si>
  <si>
    <t>(New borrowing requirement + total expiring debt) * share of LT bonds</t>
  </si>
  <si>
    <t>Equal to current year issuance</t>
  </si>
  <si>
    <t>Previous year stock + this year issuance - this year expiring</t>
  </si>
  <si>
    <t>MT bond issued 3 years prior * share of 3y bonds</t>
  </si>
  <si>
    <t>MT bond issued 5 years prior * share of 5y bonds</t>
  </si>
  <si>
    <t>Sum of 2y, 3y, 5y bonds expiring</t>
  </si>
  <si>
    <t>Government Bonds Composition (Isssuance &amp; Stock)</t>
  </si>
  <si>
    <t>Long-term Bond Breakdown</t>
  </si>
  <si>
    <t>Interest rate of expiring MT bonds</t>
  </si>
  <si>
    <t>Running Applicable Interest Rate Calculation</t>
  </si>
  <si>
    <t>Fiscal Model Imports</t>
  </si>
  <si>
    <t>Interest rate of non-expiring MT bonds</t>
  </si>
  <si>
    <t>Rate_MT_NonExpiring = (Rate_Bond_MT(-1)*Bond_MT(-1) - MT_Expiring*Rate_MT_Expiring) / (Bond_MT(-1) - MT_Expiring)</t>
  </si>
  <si>
    <t>Weighted average of different bonds expiring</t>
  </si>
  <si>
    <t>Stock percentage: T-bills</t>
  </si>
  <si>
    <t>Stock percentage: Medium-term bonds</t>
  </si>
  <si>
    <t>Stock percentage: Long-term bonds</t>
  </si>
  <si>
    <t>T-bills stock / total debt stock</t>
  </si>
  <si>
    <t>MT bond stock / total debt stock</t>
  </si>
  <si>
    <t>LT bond stock / total debt stock</t>
  </si>
  <si>
    <t>Weighted avg of T-bills rate and MT, LT running rates</t>
  </si>
  <si>
    <t>*Equals net change in primary balance + annual public debt charges. Includes debt charges on deficits/surplus from previous years resulting from policies implemented by the party platform</t>
  </si>
  <si>
    <t>Medium-term bonds: cumulative borrowing</t>
  </si>
  <si>
    <t>Long-term bonds: cumulative borrowing</t>
  </si>
  <si>
    <t>Sum of MT issuances if &gt;0</t>
  </si>
  <si>
    <t>Sum of LT issuances if &gt;0</t>
  </si>
  <si>
    <t>Debt Expiring Amounts</t>
  </si>
  <si>
    <t>Interest of Expiring and Remaining MT Bonds</t>
  </si>
  <si>
    <t>Share new * new rate + share old * non-expiring rate</t>
  </si>
  <si>
    <t>Share of new medium-term bonds</t>
  </si>
  <si>
    <t>Share of new long-term bonds</t>
  </si>
  <si>
    <t>Issuance/Stock, between 0 and 1</t>
  </si>
  <si>
    <t xml:space="preserve"> </t>
  </si>
  <si>
    <t>2017-18</t>
  </si>
  <si>
    <t>2016-17</t>
  </si>
  <si>
    <t>2015-16</t>
  </si>
  <si>
    <t>2014-15</t>
  </si>
  <si>
    <t>2013-14</t>
  </si>
  <si>
    <t>2012-13</t>
  </si>
  <si>
    <t>Historical T-bill Issuance Shares</t>
  </si>
  <si>
    <t>2023-24 (Planned)</t>
  </si>
  <si>
    <t>Historical T-bill Stock Shares (End of Fiscal Year)</t>
  </si>
  <si>
    <t>type</t>
  </si>
  <si>
    <t>group_name_en</t>
  </si>
  <si>
    <t>group_name_fr</t>
  </si>
  <si>
    <t>label_en</t>
  </si>
  <si>
    <t>label_fr</t>
  </si>
  <si>
    <t>description_en</t>
  </si>
  <si>
    <t>description_fr</t>
  </si>
  <si>
    <t>warning_en</t>
  </si>
  <si>
    <t>warning_fr</t>
  </si>
  <si>
    <t>2024-2025</t>
  </si>
  <si>
    <t>2025-2026</t>
  </si>
  <si>
    <t>2026-2027</t>
  </si>
  <si>
    <t>id</t>
  </si>
  <si>
    <t>input</t>
  </si>
  <si>
    <t>unit</t>
  </si>
  <si>
    <t>Revenu total provenant de nouvelles mesures</t>
  </si>
  <si>
    <t>total_revenue_measures</t>
  </si>
  <si>
    <t>Dépense totale provenant de nouvelles mesures</t>
  </si>
  <si>
    <t>millions</t>
  </si>
  <si>
    <t>total_program_spending_measures</t>
  </si>
  <si>
    <t>2027-2028</t>
  </si>
  <si>
    <t>2028-2029</t>
  </si>
  <si>
    <t>outputs</t>
  </si>
  <si>
    <t>Frais annuels de la dette publique</t>
  </si>
  <si>
    <t>Cumulative surplus/(deficit)</t>
  </si>
  <si>
    <t>Surplus/(déficit) cumulatif</t>
  </si>
  <si>
    <t>is_static</t>
  </si>
  <si>
    <t>Surplus/(déficit) pour l'année</t>
  </si>
  <si>
    <t>Inclut le service de la dette publique sur le surplus/(déficit) des années précédentes résultant des politiques mises en œuvre.</t>
  </si>
  <si>
    <t>Includes public debt charges on surplus/(deficit) from previous years resulting from the implemented policies.</t>
  </si>
  <si>
    <t>Frais cumulatifs de la dette publique</t>
  </si>
  <si>
    <t>backend</t>
  </si>
  <si>
    <t>Taux des bons du Trésor à 90 jours</t>
  </si>
  <si>
    <t>Taux d'intérêt</t>
  </si>
  <si>
    <t>Interest rates</t>
  </si>
  <si>
    <t>Long-term bonds rate</t>
  </si>
  <si>
    <t>Surplus for the year</t>
  </si>
  <si>
    <t>Taux des obligations à long terme</t>
  </si>
  <si>
    <t>Marginal effective interest rate</t>
  </si>
  <si>
    <t>Taux d'intérêt marginal effectif</t>
  </si>
  <si>
    <t>Frais de la dette sur les soldes primaires</t>
  </si>
  <si>
    <t>Nouvelle dette globale</t>
  </si>
  <si>
    <t>Overall new debt</t>
  </si>
  <si>
    <t>Charges de la dette sur le stock de la dette existante</t>
  </si>
  <si>
    <t>Nouveau besoin d'emprunt</t>
  </si>
  <si>
    <t>Encours de la dette</t>
  </si>
  <si>
    <t>The row will appear in either the `input` section, general `outputs` or backend depending of the value specified here.</t>
  </si>
  <si>
    <t>A user visible label in english.</t>
  </si>
  <si>
    <t>Field</t>
  </si>
  <si>
    <t>Description</t>
  </si>
  <si>
    <t>Required</t>
  </si>
  <si>
    <t>A user visible label in French</t>
  </si>
  <si>
    <t>A unique identifier for this aspect. Can be any chain of characters unless the aspect is an input (only letters, underscores and numbers are accepted). Not visible to the end user.</t>
  </si>
  <si>
    <t xml:space="preserve"> When type is `backend`</t>
  </si>
  <si>
    <t>Aspects will be grouped under this use visible group name. Use the same group name for multiple aspects to group them together.</t>
  </si>
  <si>
    <t>An optional user visible description. Will appear under the aspect label (and unit, if specified) with a gray tone.</t>
  </si>
  <si>
    <t>An optional user visible warning. Will appear under the aspect label, unit (if specified) and description (if specified) with a yellow tone.</t>
  </si>
  <si>
    <t>When TRUE, the values for a given aspect will appear within a grayed out box. Use to display constants and other non-variable values (eg. Imports from an external model).</t>
  </si>
  <si>
    <t>Can be `millions` or `percents`; will be localized to the end user's preference (and multiply values x100 if percents).</t>
  </si>
  <si>
    <t>[Fiscal years]</t>
  </si>
  <si>
    <t>A series of fical year columns must be included. Fiscal year headers MUST adopt the following format: `YYYY-YYYY`.</t>
  </si>
  <si>
    <t>A `machine_readable` sheet must be present and include the fields above.</t>
  </si>
  <si>
    <t xml:space="preserve"> The field headers MUST be on row 1.</t>
  </si>
  <si>
    <t>Empty rows are not allowed.</t>
  </si>
  <si>
    <t>User inputs should be set to 0 by default.</t>
  </si>
  <si>
    <t>Notes</t>
  </si>
  <si>
    <t>Changement net sur le solde primaire</t>
  </si>
  <si>
    <t>10-year bond rate</t>
  </si>
  <si>
    <t>Taux des obligations à 10 ans</t>
  </si>
  <si>
    <t>Public debt composition</t>
  </si>
  <si>
    <t>Composition de la dette publique</t>
  </si>
  <si>
    <t>Treasury bills stock</t>
  </si>
  <si>
    <t>Encours des bons du Trésor</t>
  </si>
  <si>
    <t>Long-term bonds stock</t>
  </si>
  <si>
    <t>Encours des obligations à moyen terme</t>
  </si>
  <si>
    <t>Encours des obligations à long terme</t>
  </si>
  <si>
    <t>Surplus/(deficit) for the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</si>
</sst>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0.0"/>
    <numFmt numFmtId="166" formatCode="_(* #,##0.0_);_(* \(#,##0.0\);_(* &quot;-&quot;??_);_(@_)"/>
    <numFmt numFmtId="167" formatCode="0.0%"/>
    <numFmt numFmtId="168" formatCode="_(* #,##0.00000000_);_(* \(#,##0.000000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8"/>
      <color rgb="FFFFFFFF"/>
      <name val="Noto Sans"/>
      <family val="2"/>
    </font>
    <font>
      <b/>
      <sz val="8"/>
      <color rgb="FF333333"/>
      <name val="Noto Sans"/>
      <family val="2"/>
    </font>
    <font>
      <sz val="8"/>
      <color rgb="FF333333"/>
      <name val="Noto Sans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43A4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DDDDDD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2" fillId="2" borderId="0" xfId="0" applyFont="1" applyFill="1"/>
    <xf numFmtId="0" fontId="0" fillId="2" borderId="0" xfId="0" applyFill="1"/>
    <xf numFmtId="0" fontId="4" fillId="3" borderId="0" xfId="0" applyFont="1" applyFill="1" applyAlignment="1">
      <alignment horizontal="left" indent="1"/>
    </xf>
    <xf numFmtId="0" fontId="0" fillId="3" borderId="0" xfId="0" applyFill="1"/>
    <xf numFmtId="0" fontId="3" fillId="4" borderId="0" xfId="0" applyFont="1" applyFill="1" applyAlignment="1">
      <alignment horizontal="left"/>
    </xf>
    <xf numFmtId="0" fontId="3" fillId="4" borderId="0" xfId="0" applyFont="1" applyFill="1"/>
    <xf numFmtId="0" fontId="0" fillId="5" borderId="0" xfId="0" applyFill="1"/>
    <xf numFmtId="164" fontId="0" fillId="5" borderId="0" xfId="1" applyFont="1" applyFill="1"/>
    <xf numFmtId="165" fontId="0" fillId="5" borderId="0" xfId="0" applyNumberFormat="1" applyFill="1"/>
    <xf numFmtId="0" fontId="0" fillId="6" borderId="0" xfId="0" applyFill="1" applyBorder="1"/>
    <xf numFmtId="165" fontId="0" fillId="6" borderId="0" xfId="0" applyNumberFormat="1" applyFill="1" applyBorder="1"/>
    <xf numFmtId="0" fontId="0" fillId="7" borderId="0" xfId="0" applyFill="1"/>
    <xf numFmtId="165" fontId="0" fillId="7" borderId="0" xfId="0" applyNumberFormat="1" applyFill="1"/>
    <xf numFmtId="0" fontId="0" fillId="8" borderId="0" xfId="0" applyFill="1" applyAlignment="1">
      <alignment wrapText="1"/>
    </xf>
    <xf numFmtId="0" fontId="0" fillId="0" borderId="0" xfId="0" applyAlignment="1">
      <alignment wrapText="1"/>
    </xf>
    <xf numFmtId="1" fontId="0" fillId="0" borderId="0" xfId="0" applyNumberFormat="1"/>
    <xf numFmtId="166" fontId="0" fillId="0" borderId="0" xfId="0" applyNumberFormat="1"/>
    <xf numFmtId="37" fontId="0" fillId="0" borderId="0" xfId="0" applyNumberFormat="1"/>
    <xf numFmtId="14" fontId="0" fillId="0" borderId="0" xfId="0" applyNumberFormat="1"/>
    <xf numFmtId="10" fontId="0" fillId="0" borderId="0" xfId="0" applyNumberFormat="1"/>
    <xf numFmtId="0" fontId="3" fillId="0" borderId="0" xfId="0" applyFont="1"/>
    <xf numFmtId="14" fontId="3" fillId="0" borderId="0" xfId="0" applyNumberFormat="1" applyFont="1"/>
    <xf numFmtId="0" fontId="0" fillId="0" borderId="0" xfId="0" applyFont="1"/>
    <xf numFmtId="2" fontId="0" fillId="0" borderId="0" xfId="0" applyNumberFormat="1"/>
    <xf numFmtId="2" fontId="3" fillId="0" borderId="0" xfId="0" applyNumberFormat="1" applyFont="1"/>
    <xf numFmtId="0" fontId="0" fillId="5" borderId="0" xfId="0" applyFont="1" applyFill="1"/>
    <xf numFmtId="0" fontId="5" fillId="9" borderId="0" xfId="0" applyFont="1" applyFill="1" applyAlignment="1">
      <alignment horizontal="left"/>
    </xf>
    <xf numFmtId="0" fontId="3" fillId="9" borderId="0" xfId="0" applyFont="1" applyFill="1"/>
    <xf numFmtId="0" fontId="5" fillId="9" borderId="0" xfId="0" applyFont="1" applyFill="1"/>
    <xf numFmtId="0" fontId="0" fillId="9" borderId="0" xfId="0" applyFill="1"/>
    <xf numFmtId="165" fontId="0" fillId="9" borderId="0" xfId="0" applyNumberFormat="1" applyFill="1"/>
    <xf numFmtId="2" fontId="0" fillId="5" borderId="0" xfId="0" applyNumberFormat="1" applyFill="1"/>
    <xf numFmtId="0" fontId="0" fillId="5" borderId="0" xfId="0" applyFont="1" applyFill="1" applyAlignment="1">
      <alignment horizontal="left"/>
    </xf>
    <xf numFmtId="2" fontId="0" fillId="5" borderId="0" xfId="0" applyNumberFormat="1" applyFont="1" applyFill="1"/>
    <xf numFmtId="0" fontId="7" fillId="5" borderId="0" xfId="0" applyFont="1" applyFill="1" applyAlignment="1">
      <alignment horizontal="left" wrapText="1"/>
    </xf>
    <xf numFmtId="0" fontId="7" fillId="5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9" fillId="3" borderId="0" xfId="0" applyFont="1" applyFill="1" applyAlignment="1">
      <alignment horizontal="left" wrapText="1"/>
    </xf>
    <xf numFmtId="0" fontId="10" fillId="4" borderId="0" xfId="0" applyFont="1" applyFill="1" applyAlignment="1">
      <alignment horizontal="left" wrapText="1"/>
    </xf>
    <xf numFmtId="0" fontId="11" fillId="9" borderId="0" xfId="0" applyFont="1" applyFill="1" applyAlignment="1">
      <alignment horizontal="left" wrapText="1"/>
    </xf>
    <xf numFmtId="0" fontId="11" fillId="9" borderId="0" xfId="0" applyFont="1" applyFill="1" applyAlignment="1">
      <alignment wrapText="1"/>
    </xf>
    <xf numFmtId="0" fontId="7" fillId="6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7" fillId="9" borderId="0" xfId="0" applyFont="1" applyFill="1" applyAlignment="1">
      <alignment wrapText="1"/>
    </xf>
    <xf numFmtId="2" fontId="0" fillId="9" borderId="0" xfId="0" applyNumberFormat="1" applyFill="1"/>
    <xf numFmtId="10" fontId="0" fillId="0" borderId="0" xfId="0" applyNumberFormat="1" applyFont="1"/>
    <xf numFmtId="10" fontId="1" fillId="0" borderId="0" xfId="2" applyNumberFormat="1" applyFont="1"/>
    <xf numFmtId="2" fontId="0" fillId="0" borderId="0" xfId="0" applyNumberFormat="1" applyFont="1"/>
    <xf numFmtId="0" fontId="0" fillId="9" borderId="0" xfId="0" applyFont="1" applyFill="1"/>
    <xf numFmtId="165" fontId="0" fillId="7" borderId="0" xfId="2" applyNumberFormat="1" applyFont="1" applyFill="1"/>
    <xf numFmtId="166" fontId="0" fillId="0" borderId="0" xfId="1" applyNumberFormat="1" applyFont="1"/>
    <xf numFmtId="0" fontId="0" fillId="11" borderId="0" xfId="0" applyFill="1" applyAlignment="1">
      <alignment horizontal="right" wrapText="1"/>
    </xf>
    <xf numFmtId="0" fontId="12" fillId="11" borderId="0" xfId="0" applyFont="1" applyFill="1" applyAlignment="1">
      <alignment horizontal="right" wrapText="1"/>
    </xf>
    <xf numFmtId="0" fontId="12" fillId="11" borderId="1" xfId="0" applyFont="1" applyFill="1" applyBorder="1" applyAlignment="1">
      <alignment horizontal="right" wrapText="1"/>
    </xf>
    <xf numFmtId="0" fontId="13" fillId="10" borderId="0" xfId="0" applyFont="1" applyFill="1" applyAlignment="1">
      <alignment horizontal="left" vertical="top" wrapText="1"/>
    </xf>
    <xf numFmtId="0" fontId="13" fillId="10" borderId="0" xfId="0" applyFont="1" applyFill="1" applyAlignment="1">
      <alignment horizontal="right" vertical="top" wrapText="1"/>
    </xf>
    <xf numFmtId="0" fontId="14" fillId="10" borderId="0" xfId="0" applyFont="1" applyFill="1" applyAlignment="1">
      <alignment horizontal="left" vertical="center" wrapText="1"/>
    </xf>
    <xf numFmtId="0" fontId="14" fillId="10" borderId="0" xfId="0" applyFont="1" applyFill="1" applyAlignment="1">
      <alignment horizontal="right" vertical="top" wrapText="1"/>
    </xf>
    <xf numFmtId="0" fontId="13" fillId="10" borderId="0" xfId="0" applyFont="1" applyFill="1" applyAlignment="1">
      <alignment horizontal="left" vertical="center" wrapText="1"/>
    </xf>
    <xf numFmtId="0" fontId="12" fillId="11" borderId="0" xfId="0" applyFont="1" applyFill="1" applyBorder="1" applyAlignment="1">
      <alignment horizontal="right" wrapText="1"/>
    </xf>
    <xf numFmtId="0" fontId="0" fillId="0" borderId="0" xfId="0" applyAlignment="1">
      <alignment horizontal="right"/>
    </xf>
    <xf numFmtId="9" fontId="0" fillId="0" borderId="0" xfId="2" applyFont="1"/>
    <xf numFmtId="167" fontId="0" fillId="0" borderId="0" xfId="2" applyNumberFormat="1" applyFont="1"/>
    <xf numFmtId="167" fontId="0" fillId="0" borderId="0" xfId="0" applyNumberFormat="1"/>
    <xf numFmtId="10" fontId="0" fillId="9" borderId="0" xfId="0" applyNumberFormat="1" applyFill="1"/>
    <xf numFmtId="9" fontId="0" fillId="5" borderId="0" xfId="2" applyFont="1" applyFill="1"/>
    <xf numFmtId="165" fontId="0" fillId="3" borderId="0" xfId="0" applyNumberFormat="1" applyFill="1"/>
    <xf numFmtId="165" fontId="0" fillId="5" borderId="0" xfId="1" applyNumberFormat="1" applyFont="1" applyFill="1"/>
    <xf numFmtId="10" fontId="0" fillId="5" borderId="0" xfId="2" applyNumberFormat="1" applyFont="1" applyFill="1"/>
    <xf numFmtId="10" fontId="0" fillId="0" borderId="0" xfId="2" applyNumberFormat="1" applyFont="1"/>
    <xf numFmtId="168" fontId="0" fillId="5" borderId="0" xfId="1" applyNumberFormat="1" applyFont="1" applyFill="1"/>
    <xf numFmtId="0" fontId="3" fillId="0" borderId="0" xfId="0" applyFont="1" applyAlignment="1">
      <alignment wrapText="1"/>
    </xf>
    <xf numFmtId="0" fontId="3" fillId="0" borderId="0" xfId="0" applyFont="1" applyAlignment="1"/>
    <xf numFmtId="0" fontId="0" fillId="0" borderId="0" xfId="0" applyNumberFormat="1"/>
    <xf numFmtId="0" fontId="0" fillId="0" borderId="0" xfId="0" applyAlignment="1"/>
    <xf numFmtId="9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4"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8D3F2AD-386C-47D7-A08A-D0F9FA78FC08}" name="Table12" displayName="Table12" ref="A1:C14" totalsRowShown="0" headerRowDxfId="3">
  <autoFilter ref="A1:C14" xr:uid="{18D3F2AD-386C-47D7-A08A-D0F9FA78FC08}">
    <filterColumn colId="0" hiddenButton="1"/>
    <filterColumn colId="1" hiddenButton="1"/>
    <filterColumn colId="2" hiddenButton="1"/>
  </autoFilter>
  <tableColumns count="3">
    <tableColumn id="1" xr3:uid="{DC129F0C-83E5-4999-8067-EED30BFDDA18}" name="Field" dataDxfId="2"/>
    <tableColumn id="2" xr3:uid="{E72215B9-C65D-4070-9C6F-FFC8A4850319}" name="Required" dataDxfId="1"/>
    <tableColumn id="3" xr3:uid="{5E3BB497-0045-4EEA-BCF3-CC45DB3FD769}" name="Description" dataDxfId="0"/>
  </tableColumns>
  <tableStyleInfo name="TableStyleLight13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AB0358D-140B-43B9-A527-231BF75D29FD}" name="Table13" displayName="Table13" ref="C17:C21" totalsRowShown="0">
  <autoFilter ref="C17:C21" xr:uid="{AAB0358D-140B-43B9-A527-231BF75D29FD}">
    <filterColumn colId="0" hiddenButton="1"/>
  </autoFilter>
  <tableColumns count="1">
    <tableColumn id="1" xr3:uid="{3FA4E765-6020-4665-8A64-E72D3247D39B}" name="Not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E8843-9E22-442B-AC52-E0B48A2465F9}">
  <dimension ref="A1:C21"/>
  <sheetViews>
    <sheetView workbookViewId="0">
      <selection activeCell="B6" sqref="B6"/>
    </sheetView>
  </sheetViews>
  <sheetFormatPr defaultRowHeight="15" x14ac:dyDescent="0.25"/>
  <cols>
    <col min="1" max="1" width="15.140625" customWidth="1"/>
    <col min="2" max="2" width="12.7109375" customWidth="1"/>
    <col min="3" max="3" width="156.85546875" customWidth="1"/>
    <col min="6" max="6" width="16.85546875" customWidth="1"/>
  </cols>
  <sheetData>
    <row r="1" spans="1:3" x14ac:dyDescent="0.25">
      <c r="A1" s="74" t="s">
        <v>241</v>
      </c>
      <c r="B1" s="74" t="s">
        <v>243</v>
      </c>
      <c r="C1" s="74" t="s">
        <v>242</v>
      </c>
    </row>
    <row r="2" spans="1:3" ht="30" x14ac:dyDescent="0.25">
      <c r="A2" s="74" t="s">
        <v>205</v>
      </c>
      <c r="B2" s="76" t="b">
        <v>1</v>
      </c>
      <c r="C2" s="15" t="s">
        <v>245</v>
      </c>
    </row>
    <row r="3" spans="1:3" x14ac:dyDescent="0.25">
      <c r="A3" s="74" t="s">
        <v>193</v>
      </c>
      <c r="B3" s="76" t="b">
        <v>1</v>
      </c>
      <c r="C3" s="15" t="s">
        <v>239</v>
      </c>
    </row>
    <row r="4" spans="1:3" x14ac:dyDescent="0.25">
      <c r="A4" s="74" t="s">
        <v>196</v>
      </c>
      <c r="B4" s="76" t="b">
        <v>1</v>
      </c>
      <c r="C4" s="15" t="s">
        <v>240</v>
      </c>
    </row>
    <row r="5" spans="1:3" x14ac:dyDescent="0.25">
      <c r="A5" s="74" t="s">
        <v>197</v>
      </c>
      <c r="B5" s="76" t="b">
        <v>1</v>
      </c>
      <c r="C5" s="15" t="s">
        <v>244</v>
      </c>
    </row>
    <row r="6" spans="1:3" x14ac:dyDescent="0.25">
      <c r="A6" s="74" t="s">
        <v>194</v>
      </c>
      <c r="B6" s="76" t="s">
        <v>246</v>
      </c>
      <c r="C6" s="15" t="s">
        <v>247</v>
      </c>
    </row>
    <row r="7" spans="1:3" x14ac:dyDescent="0.25">
      <c r="A7" s="74" t="s">
        <v>195</v>
      </c>
      <c r="B7" s="76"/>
      <c r="C7" s="15" t="s">
        <v>247</v>
      </c>
    </row>
    <row r="8" spans="1:3" x14ac:dyDescent="0.25">
      <c r="A8" s="74" t="s">
        <v>198</v>
      </c>
      <c r="B8" s="76"/>
      <c r="C8" s="15" t="s">
        <v>248</v>
      </c>
    </row>
    <row r="9" spans="1:3" x14ac:dyDescent="0.25">
      <c r="A9" s="74" t="s">
        <v>199</v>
      </c>
      <c r="B9" s="76"/>
      <c r="C9" s="15" t="s">
        <v>248</v>
      </c>
    </row>
    <row r="10" spans="1:3" x14ac:dyDescent="0.25">
      <c r="A10" s="74" t="s">
        <v>200</v>
      </c>
      <c r="B10" s="76"/>
      <c r="C10" s="15" t="s">
        <v>249</v>
      </c>
    </row>
    <row r="11" spans="1:3" x14ac:dyDescent="0.25">
      <c r="A11" s="74" t="s">
        <v>201</v>
      </c>
      <c r="B11" s="76"/>
      <c r="C11" s="15" t="s">
        <v>249</v>
      </c>
    </row>
    <row r="12" spans="1:3" x14ac:dyDescent="0.25">
      <c r="A12" s="74" t="s">
        <v>219</v>
      </c>
      <c r="B12" s="76"/>
      <c r="C12" s="15" t="s">
        <v>250</v>
      </c>
    </row>
    <row r="13" spans="1:3" x14ac:dyDescent="0.25">
      <c r="A13" s="74" t="s">
        <v>207</v>
      </c>
      <c r="B13" s="76"/>
      <c r="C13" s="15" t="s">
        <v>251</v>
      </c>
    </row>
    <row r="14" spans="1:3" x14ac:dyDescent="0.25">
      <c r="A14" s="74" t="s">
        <v>252</v>
      </c>
      <c r="B14" s="76"/>
      <c r="C14" s="15" t="s">
        <v>253</v>
      </c>
    </row>
    <row r="17" spans="3:3" x14ac:dyDescent="0.25">
      <c r="C17" t="s">
        <v>258</v>
      </c>
    </row>
    <row r="18" spans="3:3" x14ac:dyDescent="0.25">
      <c r="C18" t="s">
        <v>254</v>
      </c>
    </row>
    <row r="19" spans="3:3" x14ac:dyDescent="0.25">
      <c r="C19" t="s">
        <v>255</v>
      </c>
    </row>
    <row r="20" spans="3:3" x14ac:dyDescent="0.25">
      <c r="C20" t="s">
        <v>256</v>
      </c>
    </row>
    <row r="21" spans="3:3" x14ac:dyDescent="0.25">
      <c r="C21" t="s">
        <v>257</v>
      </c>
    </row>
  </sheetData>
  <phoneticPr fontId="6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A5658-E2EA-4E0B-B547-2D4F388F10E4}">
  <dimension ref="A1:Q19"/>
  <sheetViews>
    <sheetView zoomScale="85" zoomScaleNormal="85" workbookViewId="0">
      <selection activeCell="N3" sqref="N3"/>
    </sheetView>
  </sheetViews>
  <sheetFormatPr defaultRowHeight="15" x14ac:dyDescent="0.25"/>
  <cols>
    <col min="1" max="1" width="43.5703125" bestFit="1" customWidth="1"/>
    <col min="2" max="2" width="8.42578125" customWidth="1"/>
    <col min="3" max="3" width="26.5703125" style="73" customWidth="1"/>
    <col min="4" max="4" width="29.28515625" style="73" customWidth="1"/>
    <col min="5" max="5" width="16.5703125" customWidth="1"/>
    <col min="6" max="6" width="19" customWidth="1"/>
    <col min="7" max="7" width="15.85546875" customWidth="1"/>
    <col min="8" max="8" width="18.7109375" customWidth="1"/>
    <col min="9" max="9" width="16.7109375" customWidth="1"/>
    <col min="10" max="12" width="25.7109375" customWidth="1"/>
    <col min="13" max="17" width="9.140625" style="75"/>
  </cols>
  <sheetData>
    <row r="1" spans="1:17" x14ac:dyDescent="0.25">
      <c r="A1" t="s">
        <v>205</v>
      </c>
      <c r="B1" t="s">
        <v>193</v>
      </c>
      <c r="C1" s="73" t="s">
        <v>196</v>
      </c>
      <c r="D1" s="73" t="s">
        <v>197</v>
      </c>
      <c r="E1" t="s">
        <v>194</v>
      </c>
      <c r="F1" t="s">
        <v>195</v>
      </c>
      <c r="G1" t="s">
        <v>198</v>
      </c>
      <c r="H1" t="s">
        <v>199</v>
      </c>
      <c r="I1" t="s">
        <v>200</v>
      </c>
      <c r="J1" t="s">
        <v>201</v>
      </c>
      <c r="K1" t="s">
        <v>219</v>
      </c>
      <c r="L1" t="s">
        <v>207</v>
      </c>
      <c r="M1" s="75" t="s">
        <v>202</v>
      </c>
      <c r="N1" s="75" t="s">
        <v>203</v>
      </c>
      <c r="O1" s="75" t="s">
        <v>204</v>
      </c>
      <c r="P1" s="75" t="s">
        <v>213</v>
      </c>
      <c r="Q1" s="75" t="s">
        <v>214</v>
      </c>
    </row>
    <row r="2" spans="1:17" ht="12.75" customHeight="1" x14ac:dyDescent="0.25">
      <c r="A2" t="s">
        <v>209</v>
      </c>
      <c r="B2" s="15" t="s">
        <v>206</v>
      </c>
      <c r="C2" s="73" t="s">
        <v>1</v>
      </c>
      <c r="D2" s="73" t="s">
        <v>208</v>
      </c>
      <c r="E2" s="15"/>
      <c r="F2" s="15"/>
      <c r="G2" s="15"/>
      <c r="H2" s="15"/>
      <c r="I2" s="15"/>
      <c r="J2" s="15"/>
      <c r="K2" s="15"/>
      <c r="L2" s="15" t="s">
        <v>211</v>
      </c>
      <c r="M2" s="75">
        <v>0</v>
      </c>
      <c r="N2" s="75">
        <v>0</v>
      </c>
      <c r="O2" s="75">
        <v>0</v>
      </c>
      <c r="P2" s="75">
        <v>0</v>
      </c>
      <c r="Q2" s="75">
        <v>0</v>
      </c>
    </row>
    <row r="3" spans="1:17" ht="30" x14ac:dyDescent="0.25">
      <c r="A3" t="s">
        <v>212</v>
      </c>
      <c r="B3" s="15" t="s">
        <v>206</v>
      </c>
      <c r="C3" s="73" t="s">
        <v>2</v>
      </c>
      <c r="D3" s="73" t="s">
        <v>210</v>
      </c>
      <c r="E3" s="15"/>
      <c r="F3" s="15"/>
      <c r="G3" s="15"/>
      <c r="H3" s="15"/>
      <c r="I3" s="15"/>
      <c r="J3" s="15"/>
      <c r="K3" s="15"/>
      <c r="L3" s="15" t="s">
        <v>211</v>
      </c>
      <c r="M3" s="75">
        <v>0</v>
      </c>
      <c r="N3" s="75">
        <v>0</v>
      </c>
      <c r="O3" s="75">
        <v>0</v>
      </c>
      <c r="P3" s="75">
        <v>0</v>
      </c>
      <c r="Q3" s="75">
        <v>0</v>
      </c>
    </row>
    <row r="4" spans="1:17" ht="30" x14ac:dyDescent="0.25">
      <c r="A4" s="12" t="s">
        <v>3</v>
      </c>
      <c r="B4" s="15" t="s">
        <v>215</v>
      </c>
      <c r="C4" s="73" t="s">
        <v>3</v>
      </c>
      <c r="D4" s="73" t="s">
        <v>259</v>
      </c>
      <c r="E4" s="15"/>
      <c r="F4" s="15"/>
      <c r="G4" s="15"/>
      <c r="H4" s="15"/>
      <c r="I4" s="15"/>
      <c r="J4" s="15"/>
      <c r="K4" s="15"/>
      <c r="L4" s="15" t="s">
        <v>211</v>
      </c>
      <c r="M4" s="75">
        <f>'For user (EN)'!C6</f>
        <v>0</v>
      </c>
      <c r="N4" s="75">
        <f>'For user (EN)'!D6</f>
        <v>0</v>
      </c>
      <c r="O4" s="75">
        <f>'For user (EN)'!E6</f>
        <v>0</v>
      </c>
      <c r="P4" s="75">
        <f>'For user (EN)'!F6</f>
        <v>0</v>
      </c>
      <c r="Q4" s="75">
        <f>'For user (EN)'!G6</f>
        <v>0</v>
      </c>
    </row>
    <row r="5" spans="1:17" ht="30" x14ac:dyDescent="0.25">
      <c r="A5" s="12" t="s">
        <v>67</v>
      </c>
      <c r="B5" s="15" t="s">
        <v>215</v>
      </c>
      <c r="C5" s="73" t="s">
        <v>67</v>
      </c>
      <c r="D5" s="73" t="s">
        <v>216</v>
      </c>
      <c r="E5" s="15"/>
      <c r="F5" s="15"/>
      <c r="G5" s="15"/>
      <c r="H5" s="15"/>
      <c r="I5" s="15"/>
      <c r="J5" s="15"/>
      <c r="K5" s="15"/>
      <c r="L5" s="15" t="s">
        <v>211</v>
      </c>
      <c r="M5" s="75">
        <f>'For user (EN)'!C10</f>
        <v>0</v>
      </c>
      <c r="N5" s="75">
        <f>'For user (EN)'!D10</f>
        <v>0</v>
      </c>
      <c r="O5" s="75">
        <f>'For user (EN)'!E10</f>
        <v>0</v>
      </c>
      <c r="P5" s="75">
        <f>'For user (EN)'!F10</f>
        <v>0</v>
      </c>
      <c r="Q5" s="75">
        <f>'For user (EN)'!G10</f>
        <v>0</v>
      </c>
    </row>
    <row r="6" spans="1:17" ht="120" x14ac:dyDescent="0.25">
      <c r="A6" s="12" t="s">
        <v>229</v>
      </c>
      <c r="B6" s="15" t="s">
        <v>215</v>
      </c>
      <c r="C6" s="73" t="s">
        <v>269</v>
      </c>
      <c r="D6" s="73" t="s">
        <v>220</v>
      </c>
      <c r="E6" s="15"/>
      <c r="F6" s="15"/>
      <c r="G6" s="15"/>
      <c r="H6" s="15"/>
      <c r="I6" s="15" t="s">
        <v>222</v>
      </c>
      <c r="J6" s="15" t="s">
        <v>221</v>
      </c>
      <c r="K6" s="15"/>
      <c r="L6" s="15" t="s">
        <v>211</v>
      </c>
      <c r="M6" s="75">
        <f>'For user (EN)'!C12</f>
        <v>0</v>
      </c>
      <c r="N6" s="75">
        <f>'For user (EN)'!D12</f>
        <v>0</v>
      </c>
      <c r="O6" s="75">
        <f>'For user (EN)'!E12</f>
        <v>0</v>
      </c>
      <c r="P6" s="75">
        <f>'For user (EN)'!F12</f>
        <v>0</v>
      </c>
      <c r="Q6" s="75">
        <f>'For user (EN)'!G12</f>
        <v>0</v>
      </c>
    </row>
    <row r="7" spans="1:17" x14ac:dyDescent="0.25">
      <c r="A7" s="12" t="s">
        <v>8</v>
      </c>
      <c r="B7" s="15" t="s">
        <v>215</v>
      </c>
      <c r="C7" s="73" t="s">
        <v>217</v>
      </c>
      <c r="D7" s="73" t="s">
        <v>218</v>
      </c>
      <c r="E7" s="15"/>
      <c r="F7" s="15"/>
      <c r="G7" s="15"/>
      <c r="H7" s="15"/>
      <c r="I7" s="15"/>
      <c r="J7" s="15"/>
      <c r="K7" s="15"/>
      <c r="L7" s="15" t="s">
        <v>211</v>
      </c>
      <c r="M7" s="75">
        <f>'For user (EN)'!C11</f>
        <v>0</v>
      </c>
      <c r="N7" s="75">
        <f>'For user (EN)'!D11</f>
        <v>0</v>
      </c>
      <c r="O7" s="75">
        <f>'For user (EN)'!E11</f>
        <v>0</v>
      </c>
      <c r="P7" s="75">
        <f>'For user (EN)'!F11</f>
        <v>0</v>
      </c>
      <c r="Q7" s="75">
        <f>'For user (EN)'!G11</f>
        <v>0</v>
      </c>
    </row>
    <row r="8" spans="1:17" ht="30" x14ac:dyDescent="0.25">
      <c r="A8" s="12" t="s">
        <v>66</v>
      </c>
      <c r="B8" s="15" t="s">
        <v>215</v>
      </c>
      <c r="C8" s="73" t="s">
        <v>66</v>
      </c>
      <c r="D8" s="73" t="s">
        <v>223</v>
      </c>
      <c r="E8" s="15"/>
      <c r="F8" s="15"/>
      <c r="G8" s="15"/>
      <c r="H8" s="15"/>
      <c r="I8" s="15"/>
      <c r="J8" s="15"/>
      <c r="K8" s="15"/>
      <c r="L8" s="15" t="s">
        <v>211</v>
      </c>
      <c r="M8" s="75">
        <f>'For user (EN)'!C13</f>
        <v>0</v>
      </c>
      <c r="N8" s="75">
        <f>'For user (EN)'!D13</f>
        <v>0</v>
      </c>
      <c r="O8" s="75">
        <f>'For user (EN)'!E13</f>
        <v>0</v>
      </c>
      <c r="P8" s="75">
        <f>'For user (EN)'!F13</f>
        <v>0</v>
      </c>
      <c r="Q8" s="75">
        <f>'For user (EN)'!G13</f>
        <v>0</v>
      </c>
    </row>
    <row r="9" spans="1:17" ht="30" x14ac:dyDescent="0.25">
      <c r="A9" s="33" t="s">
        <v>55</v>
      </c>
      <c r="B9" s="15" t="s">
        <v>224</v>
      </c>
      <c r="C9" s="73" t="s">
        <v>55</v>
      </c>
      <c r="D9" s="73" t="s">
        <v>225</v>
      </c>
      <c r="E9" s="15" t="s">
        <v>227</v>
      </c>
      <c r="F9" s="15" t="s">
        <v>226</v>
      </c>
      <c r="G9" s="15"/>
      <c r="H9" s="15"/>
      <c r="I9" s="15"/>
      <c r="J9" s="15"/>
      <c r="K9" s="15" t="b">
        <v>1</v>
      </c>
      <c r="L9" s="15"/>
      <c r="M9" s="75">
        <f>Model!D10</f>
        <v>3.7</v>
      </c>
      <c r="N9" s="75">
        <f>Model!E10</f>
        <v>2.4500000000000002</v>
      </c>
      <c r="O9" s="75">
        <f>Model!F10</f>
        <v>2.4500000000000002</v>
      </c>
      <c r="P9" s="75">
        <f>Model!G10</f>
        <v>2.4500000000000002</v>
      </c>
      <c r="Q9" s="75">
        <f>Model!H10</f>
        <v>2.4500000000000002</v>
      </c>
    </row>
    <row r="10" spans="1:17" x14ac:dyDescent="0.25">
      <c r="A10" s="33" t="s">
        <v>260</v>
      </c>
      <c r="B10" s="15" t="s">
        <v>224</v>
      </c>
      <c r="C10" s="73" t="s">
        <v>260</v>
      </c>
      <c r="D10" s="73" t="s">
        <v>261</v>
      </c>
      <c r="E10" s="15" t="s">
        <v>227</v>
      </c>
      <c r="F10" s="15" t="s">
        <v>226</v>
      </c>
      <c r="G10" s="15"/>
      <c r="H10" s="15"/>
      <c r="I10" s="15"/>
      <c r="J10" s="15"/>
      <c r="K10" s="15" t="b">
        <v>1</v>
      </c>
      <c r="L10" s="15"/>
      <c r="M10" s="24">
        <f>'Fiscal Model Import'!F18</f>
        <v>3.3041892500000003</v>
      </c>
      <c r="N10" s="24">
        <f>'Fiscal Model Import'!G18</f>
        <v>3.2494407499999998</v>
      </c>
      <c r="O10" s="24">
        <f>'Fiscal Model Import'!H18</f>
        <v>3.25</v>
      </c>
      <c r="P10" s="24">
        <f>'Fiscal Model Import'!I18</f>
        <v>3.25</v>
      </c>
      <c r="Q10" s="24">
        <f>'Fiscal Model Import'!J18</f>
        <v>3.25</v>
      </c>
    </row>
    <row r="11" spans="1:17" ht="30" x14ac:dyDescent="0.25">
      <c r="A11" s="26" t="s">
        <v>57</v>
      </c>
      <c r="B11" s="15" t="s">
        <v>224</v>
      </c>
      <c r="C11" s="73" t="s">
        <v>228</v>
      </c>
      <c r="D11" s="73" t="s">
        <v>230</v>
      </c>
      <c r="E11" s="15" t="s">
        <v>227</v>
      </c>
      <c r="F11" s="15" t="s">
        <v>226</v>
      </c>
      <c r="G11" s="15"/>
      <c r="H11" s="15"/>
      <c r="I11" s="15"/>
      <c r="J11" s="15"/>
      <c r="K11" s="15" t="b">
        <v>1</v>
      </c>
      <c r="L11" s="15"/>
      <c r="M11" s="75">
        <f>Model!D11</f>
        <v>3.5107837499999999</v>
      </c>
      <c r="N11" s="75">
        <f>Model!E11</f>
        <v>3.4899732500000002</v>
      </c>
      <c r="O11" s="75">
        <f>Model!F11</f>
        <v>3.5</v>
      </c>
      <c r="P11" s="75">
        <f>Model!G11</f>
        <v>3.5</v>
      </c>
      <c r="Q11" s="75">
        <f>Model!H11</f>
        <v>3.5</v>
      </c>
    </row>
    <row r="12" spans="1:17" ht="30" x14ac:dyDescent="0.25">
      <c r="A12" s="7" t="s">
        <v>65</v>
      </c>
      <c r="B12" s="15" t="s">
        <v>224</v>
      </c>
      <c r="C12" s="73" t="s">
        <v>231</v>
      </c>
      <c r="D12" s="73" t="s">
        <v>232</v>
      </c>
      <c r="E12" s="15" t="s">
        <v>227</v>
      </c>
      <c r="F12" s="15" t="s">
        <v>226</v>
      </c>
      <c r="G12" s="15"/>
      <c r="H12" s="15"/>
      <c r="I12" s="15"/>
      <c r="J12" s="15"/>
      <c r="K12" s="15" t="b">
        <v>1</v>
      </c>
      <c r="L12" s="15"/>
      <c r="M12" s="75">
        <f>Model!D13</f>
        <v>3.5989958673128895</v>
      </c>
      <c r="N12" s="75">
        <f>Model!E13</f>
        <v>2.7184333160234875</v>
      </c>
      <c r="O12" s="75">
        <f>Model!F13</f>
        <v>2.7195319297720051</v>
      </c>
      <c r="P12" s="75">
        <f>Model!G13</f>
        <v>2.7195319297720051</v>
      </c>
      <c r="Q12" s="75">
        <f>Model!H13</f>
        <v>2.7195319297720051</v>
      </c>
    </row>
    <row r="13" spans="1:17" ht="30" x14ac:dyDescent="0.25">
      <c r="A13" s="7" t="s">
        <v>10</v>
      </c>
      <c r="B13" s="15" t="s">
        <v>224</v>
      </c>
      <c r="C13" s="73" t="s">
        <v>10</v>
      </c>
      <c r="D13" s="73" t="s">
        <v>233</v>
      </c>
      <c r="E13" s="15" t="s">
        <v>235</v>
      </c>
      <c r="F13" s="15" t="s">
        <v>234</v>
      </c>
      <c r="G13" s="15"/>
      <c r="H13" s="15"/>
      <c r="I13" s="15"/>
      <c r="J13" s="15"/>
      <c r="K13" s="15"/>
      <c r="L13" s="15"/>
      <c r="M13" s="75">
        <f>Model!D16</f>
        <v>0</v>
      </c>
      <c r="N13" s="75">
        <f>Model!E16</f>
        <v>0</v>
      </c>
      <c r="O13" s="75">
        <f>Model!F16</f>
        <v>0</v>
      </c>
      <c r="P13" s="75">
        <f>Model!G16</f>
        <v>0</v>
      </c>
      <c r="Q13" s="75">
        <f>Model!H16</f>
        <v>0</v>
      </c>
    </row>
    <row r="14" spans="1:17" ht="30" x14ac:dyDescent="0.25">
      <c r="A14" s="7" t="s">
        <v>29</v>
      </c>
      <c r="B14" s="15" t="s">
        <v>224</v>
      </c>
      <c r="C14" s="73" t="s">
        <v>29</v>
      </c>
      <c r="D14" s="73" t="s">
        <v>236</v>
      </c>
      <c r="E14" s="15" t="s">
        <v>235</v>
      </c>
      <c r="F14" s="15" t="s">
        <v>234</v>
      </c>
      <c r="G14" s="15"/>
      <c r="H14" s="15"/>
      <c r="I14" s="15"/>
      <c r="J14" s="15"/>
      <c r="K14" s="15"/>
      <c r="L14" s="15"/>
      <c r="M14" s="75">
        <f>Model!D17</f>
        <v>0</v>
      </c>
      <c r="N14" s="75">
        <f>Model!E17</f>
        <v>0</v>
      </c>
      <c r="O14" s="75">
        <f>Model!F17</f>
        <v>0</v>
      </c>
      <c r="P14" s="75">
        <f>Model!G17</f>
        <v>0</v>
      </c>
      <c r="Q14" s="75">
        <f>Model!H17</f>
        <v>0</v>
      </c>
    </row>
    <row r="15" spans="1:17" ht="30" x14ac:dyDescent="0.25">
      <c r="A15" s="7" t="s">
        <v>145</v>
      </c>
      <c r="B15" s="15" t="s">
        <v>224</v>
      </c>
      <c r="C15" s="73" t="s">
        <v>145</v>
      </c>
      <c r="D15" s="73" t="s">
        <v>237</v>
      </c>
      <c r="E15" s="15" t="s">
        <v>235</v>
      </c>
      <c r="F15" s="15" t="s">
        <v>234</v>
      </c>
      <c r="G15" s="15"/>
      <c r="H15" s="15"/>
      <c r="I15" s="15"/>
      <c r="J15" s="15"/>
      <c r="K15" s="15"/>
      <c r="L15" s="15"/>
      <c r="M15" s="75">
        <f>Model!D18</f>
        <v>0</v>
      </c>
      <c r="N15" s="75">
        <f>Model!E18</f>
        <v>0</v>
      </c>
      <c r="O15" s="75">
        <f>Model!F18</f>
        <v>0</v>
      </c>
      <c r="P15" s="75">
        <f>Model!G18</f>
        <v>0</v>
      </c>
      <c r="Q15" s="75">
        <f>Model!H18</f>
        <v>0</v>
      </c>
    </row>
    <row r="16" spans="1:17" ht="30" x14ac:dyDescent="0.25">
      <c r="A16" s="7" t="s">
        <v>56</v>
      </c>
      <c r="B16" s="15" t="s">
        <v>224</v>
      </c>
      <c r="C16" s="73" t="s">
        <v>56</v>
      </c>
      <c r="D16" s="73" t="s">
        <v>238</v>
      </c>
      <c r="E16" s="15" t="s">
        <v>235</v>
      </c>
      <c r="F16" s="15" t="s">
        <v>234</v>
      </c>
      <c r="G16" s="15"/>
      <c r="H16" s="15"/>
      <c r="I16" s="15"/>
      <c r="J16" s="15"/>
      <c r="K16" s="15"/>
      <c r="L16" s="15"/>
      <c r="M16" s="75">
        <f>Model!D19</f>
        <v>0</v>
      </c>
      <c r="N16" s="75">
        <f>Model!E19</f>
        <v>0</v>
      </c>
      <c r="O16" s="75">
        <f>Model!F19</f>
        <v>0</v>
      </c>
      <c r="P16" s="75">
        <f>Model!G19</f>
        <v>0</v>
      </c>
      <c r="Q16" s="75">
        <f>Model!H19</f>
        <v>0</v>
      </c>
    </row>
    <row r="17" spans="1:17" ht="30" x14ac:dyDescent="0.25">
      <c r="A17" s="26" t="s">
        <v>133</v>
      </c>
      <c r="B17" s="15" t="s">
        <v>224</v>
      </c>
      <c r="C17" s="73" t="s">
        <v>264</v>
      </c>
      <c r="D17" s="73" t="s">
        <v>265</v>
      </c>
      <c r="E17" s="15" t="s">
        <v>262</v>
      </c>
      <c r="F17" s="15" t="s">
        <v>263</v>
      </c>
      <c r="G17" s="15"/>
      <c r="H17" s="15"/>
      <c r="I17" s="15"/>
      <c r="J17" s="15"/>
      <c r="K17" s="15"/>
      <c r="L17" s="15"/>
      <c r="M17" s="75">
        <f>Model!D27</f>
        <v>0</v>
      </c>
      <c r="N17" s="75">
        <f>Model!E27</f>
        <v>0</v>
      </c>
      <c r="O17" s="75">
        <f>Model!F27</f>
        <v>0</v>
      </c>
      <c r="P17" s="75">
        <f>Model!G27</f>
        <v>0</v>
      </c>
      <c r="Q17" s="75">
        <f>Model!H27</f>
        <v>0</v>
      </c>
    </row>
    <row r="18" spans="1:17" ht="30" x14ac:dyDescent="0.25">
      <c r="A18" s="7" t="s">
        <v>63</v>
      </c>
      <c r="B18" s="15" t="s">
        <v>224</v>
      </c>
      <c r="C18" s="73" t="s">
        <v>63</v>
      </c>
      <c r="D18" s="73" t="s">
        <v>267</v>
      </c>
      <c r="E18" s="15" t="s">
        <v>262</v>
      </c>
      <c r="F18" s="15" t="s">
        <v>263</v>
      </c>
      <c r="G18" s="15"/>
      <c r="H18" s="15"/>
      <c r="I18" s="15"/>
      <c r="J18" s="15"/>
      <c r="K18" s="15"/>
      <c r="L18" s="15"/>
      <c r="M18" s="75">
        <f>Model!D28</f>
        <v>0</v>
      </c>
      <c r="N18" s="75">
        <f>Model!E28</f>
        <v>0</v>
      </c>
      <c r="O18" s="75">
        <f>Model!F28</f>
        <v>0</v>
      </c>
      <c r="P18" s="75">
        <f>Model!G28</f>
        <v>0</v>
      </c>
      <c r="Q18" s="75">
        <f>Model!H28</f>
        <v>0</v>
      </c>
    </row>
    <row r="19" spans="1:17" ht="30" x14ac:dyDescent="0.25">
      <c r="A19" s="7" t="s">
        <v>64</v>
      </c>
      <c r="B19" s="15" t="s">
        <v>224</v>
      </c>
      <c r="C19" s="73" t="s">
        <v>266</v>
      </c>
      <c r="D19" s="73" t="s">
        <v>268</v>
      </c>
      <c r="E19" s="15" t="s">
        <v>262</v>
      </c>
      <c r="F19" s="15" t="s">
        <v>263</v>
      </c>
      <c r="G19" s="15"/>
      <c r="H19" s="15"/>
      <c r="I19" s="15"/>
      <c r="J19" s="15"/>
      <c r="K19" s="15"/>
      <c r="L19" s="15"/>
      <c r="M19" s="75">
        <f>Model!D29</f>
        <v>0</v>
      </c>
      <c r="N19" s="75">
        <f>Model!E29</f>
        <v>0</v>
      </c>
      <c r="O19" s="75">
        <f>Model!F29</f>
        <v>0</v>
      </c>
      <c r="P19" s="75">
        <f>Model!G29</f>
        <v>0</v>
      </c>
      <c r="Q19" s="75">
        <f>Model!H29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7E90E-259F-4B12-BB0C-68506FD8C7E4}">
  <sheetPr>
    <tabColor theme="5" tint="0.59999389629810485"/>
  </sheetPr>
  <dimension ref="A1:I59"/>
  <sheetViews>
    <sheetView zoomScaleNormal="100" workbookViewId="0">
      <selection activeCell="D6" sqref="D6"/>
    </sheetView>
  </sheetViews>
  <sheetFormatPr defaultRowHeight="15" x14ac:dyDescent="0.25"/>
  <cols>
    <col min="1" max="1" width="77.42578125" customWidth="1"/>
    <col min="2" max="2" width="42.140625" style="37" bestFit="1" customWidth="1"/>
    <col min="4" max="4" width="11.7109375" bestFit="1" customWidth="1"/>
    <col min="5" max="6" width="11.85546875" bestFit="1" customWidth="1"/>
    <col min="7" max="8" width="12.85546875" bestFit="1" customWidth="1"/>
  </cols>
  <sheetData>
    <row r="1" spans="1:8" x14ac:dyDescent="0.25">
      <c r="A1" t="s">
        <v>4</v>
      </c>
      <c r="D1">
        <v>2024</v>
      </c>
      <c r="E1">
        <f>D1+1</f>
        <v>2025</v>
      </c>
      <c r="F1">
        <f t="shared" ref="F1:H2" si="0">E1+1</f>
        <v>2026</v>
      </c>
      <c r="G1">
        <f>F1+1</f>
        <v>2027</v>
      </c>
      <c r="H1">
        <f t="shared" si="0"/>
        <v>2028</v>
      </c>
    </row>
    <row r="2" spans="1:8" x14ac:dyDescent="0.25">
      <c r="D2">
        <v>2025</v>
      </c>
      <c r="E2">
        <f>D2+1</f>
        <v>2026</v>
      </c>
      <c r="F2">
        <f t="shared" si="0"/>
        <v>2027</v>
      </c>
      <c r="G2">
        <f>F2+1</f>
        <v>2028</v>
      </c>
      <c r="H2">
        <f t="shared" si="0"/>
        <v>2029</v>
      </c>
    </row>
    <row r="3" spans="1:8" x14ac:dyDescent="0.25">
      <c r="A3" s="1" t="s">
        <v>0</v>
      </c>
      <c r="B3" s="38" t="s">
        <v>28</v>
      </c>
      <c r="C3" s="2"/>
      <c r="D3" s="2"/>
      <c r="E3" s="2"/>
      <c r="F3" s="2"/>
      <c r="G3" s="2"/>
      <c r="H3" s="2"/>
    </row>
    <row r="4" spans="1:8" x14ac:dyDescent="0.25">
      <c r="A4" s="3" t="s">
        <v>1</v>
      </c>
      <c r="B4" s="39"/>
      <c r="C4" s="4" t="s">
        <v>5</v>
      </c>
      <c r="D4" s="4">
        <f>'For user (EN)'!C4</f>
        <v>0</v>
      </c>
      <c r="E4" s="4">
        <f>'For user (EN)'!D4</f>
        <v>0</v>
      </c>
      <c r="F4" s="4">
        <f>'For user (EN)'!E4</f>
        <v>0</v>
      </c>
      <c r="G4" s="4">
        <f>'For user (EN)'!F4</f>
        <v>0</v>
      </c>
      <c r="H4" s="4">
        <f>'For user (EN)'!G4</f>
        <v>0</v>
      </c>
    </row>
    <row r="5" spans="1:8" x14ac:dyDescent="0.25">
      <c r="A5" s="3" t="s">
        <v>2</v>
      </c>
      <c r="B5" s="39"/>
      <c r="C5" s="4" t="s">
        <v>5</v>
      </c>
      <c r="D5" s="68">
        <f>'For user (EN)'!C5</f>
        <v>0</v>
      </c>
      <c r="E5" s="68">
        <f>'For user (EN)'!D5</f>
        <v>0</v>
      </c>
      <c r="F5" s="68">
        <f>'For user (EN)'!E5</f>
        <v>0</v>
      </c>
      <c r="G5" s="68">
        <f>'For user (EN)'!F5</f>
        <v>0</v>
      </c>
      <c r="H5" s="68">
        <f>'For user (EN)'!G5</f>
        <v>0</v>
      </c>
    </row>
    <row r="6" spans="1:8" x14ac:dyDescent="0.25">
      <c r="A6" s="3" t="s">
        <v>3</v>
      </c>
      <c r="B6" s="39"/>
      <c r="C6" s="4" t="s">
        <v>5</v>
      </c>
      <c r="D6" s="68">
        <f>'For user (EN)'!C6</f>
        <v>0</v>
      </c>
      <c r="E6" s="68">
        <f>'For user (EN)'!D6</f>
        <v>0</v>
      </c>
      <c r="F6" s="68">
        <f>'For user (EN)'!E6</f>
        <v>0</v>
      </c>
      <c r="G6" s="68">
        <f>'For user (EN)'!F6</f>
        <v>0</v>
      </c>
      <c r="H6" s="68">
        <f>'For user (EN)'!G6</f>
        <v>0</v>
      </c>
    </row>
    <row r="8" spans="1:8" x14ac:dyDescent="0.25">
      <c r="A8" s="5" t="s">
        <v>6</v>
      </c>
      <c r="B8" s="40"/>
      <c r="C8" s="6"/>
      <c r="D8" s="6"/>
      <c r="E8" s="6"/>
      <c r="F8" s="6"/>
      <c r="G8" s="6"/>
      <c r="H8" s="6"/>
    </row>
    <row r="9" spans="1:8" x14ac:dyDescent="0.25">
      <c r="A9" s="27" t="s">
        <v>161</v>
      </c>
      <c r="B9" s="41"/>
      <c r="C9" s="28"/>
      <c r="D9" s="28"/>
      <c r="E9" s="28"/>
      <c r="F9" s="28"/>
      <c r="G9" s="28"/>
      <c r="H9" s="28"/>
    </row>
    <row r="10" spans="1:8" x14ac:dyDescent="0.25">
      <c r="A10" s="33" t="s">
        <v>55</v>
      </c>
      <c r="B10" s="35" t="s">
        <v>34</v>
      </c>
      <c r="C10" s="50"/>
      <c r="D10" s="34">
        <f>'Fiscal Model Import'!F16</f>
        <v>3.7</v>
      </c>
      <c r="E10" s="34">
        <f>'Fiscal Model Import'!G16</f>
        <v>2.4500000000000002</v>
      </c>
      <c r="F10" s="34">
        <f>'Fiscal Model Import'!H16</f>
        <v>2.4500000000000002</v>
      </c>
      <c r="G10" s="34">
        <f>'Fiscal Model Import'!I16</f>
        <v>2.4500000000000002</v>
      </c>
      <c r="H10" s="34">
        <f>'Fiscal Model Import'!J16</f>
        <v>2.4500000000000002</v>
      </c>
    </row>
    <row r="11" spans="1:8" x14ac:dyDescent="0.25">
      <c r="A11" s="26" t="s">
        <v>57</v>
      </c>
      <c r="B11" s="36" t="s">
        <v>34</v>
      </c>
      <c r="C11" s="30"/>
      <c r="D11" s="32">
        <f>'Fiscal Model Import'!F17</f>
        <v>3.5107837499999999</v>
      </c>
      <c r="E11" s="32">
        <f>'Fiscal Model Import'!G17</f>
        <v>3.4899732500000002</v>
      </c>
      <c r="F11" s="32">
        <f>'Fiscal Model Import'!H17</f>
        <v>3.5</v>
      </c>
      <c r="G11" s="32">
        <f>'Fiscal Model Import'!I17</f>
        <v>3.5</v>
      </c>
      <c r="H11" s="32">
        <f>'Fiscal Model Import'!J17</f>
        <v>3.5</v>
      </c>
    </row>
    <row r="12" spans="1:8" x14ac:dyDescent="0.25">
      <c r="A12" s="26" t="s">
        <v>58</v>
      </c>
      <c r="B12" s="36" t="s">
        <v>34</v>
      </c>
      <c r="C12" s="30"/>
      <c r="D12" s="32">
        <f>'Fiscal Model Import'!F20</f>
        <v>3.4625135500000006</v>
      </c>
      <c r="E12" s="32">
        <f>'Fiscal Model Import'!G20</f>
        <v>2.9296644499999998</v>
      </c>
      <c r="F12" s="32">
        <f>'Fiscal Model Import'!H20</f>
        <v>2.93</v>
      </c>
      <c r="G12" s="32">
        <f>'Fiscal Model Import'!I20</f>
        <v>2.93</v>
      </c>
      <c r="H12" s="32">
        <f>'Fiscal Model Import'!J20</f>
        <v>2.93</v>
      </c>
    </row>
    <row r="13" spans="1:8" x14ac:dyDescent="0.25">
      <c r="A13" s="7" t="s">
        <v>65</v>
      </c>
      <c r="B13" s="36" t="s">
        <v>35</v>
      </c>
      <c r="C13" s="30"/>
      <c r="D13" s="8">
        <f>'Fiscal Model Import'!F21</f>
        <v>3.5989958673128895</v>
      </c>
      <c r="E13" s="8">
        <f>'Fiscal Model Import'!G21</f>
        <v>2.7184333160234875</v>
      </c>
      <c r="F13" s="8">
        <f>'Fiscal Model Import'!H21</f>
        <v>2.7195319297720051</v>
      </c>
      <c r="G13" s="8">
        <f>'Fiscal Model Import'!I21</f>
        <v>2.7195319297720051</v>
      </c>
      <c r="H13" s="8">
        <f>'Fiscal Model Import'!J21</f>
        <v>2.7195319297720051</v>
      </c>
    </row>
    <row r="14" spans="1:8" x14ac:dyDescent="0.25">
      <c r="A14" s="7"/>
      <c r="B14" s="36"/>
      <c r="C14" s="30"/>
      <c r="D14" s="8"/>
      <c r="E14" s="8"/>
      <c r="F14" s="8"/>
      <c r="G14" s="8"/>
      <c r="H14" s="8"/>
    </row>
    <row r="15" spans="1:8" x14ac:dyDescent="0.25">
      <c r="A15" s="29" t="s">
        <v>27</v>
      </c>
      <c r="B15" s="30"/>
      <c r="C15" s="30"/>
      <c r="D15" s="30"/>
      <c r="E15" s="30"/>
      <c r="F15" s="30"/>
      <c r="G15" s="30"/>
      <c r="H15" s="30"/>
    </row>
    <row r="16" spans="1:8" x14ac:dyDescent="0.25">
      <c r="A16" s="7" t="s">
        <v>10</v>
      </c>
      <c r="B16" s="36" t="s">
        <v>30</v>
      </c>
      <c r="C16" s="30"/>
      <c r="D16" s="9">
        <f>(D13/100)*D6</f>
        <v>0</v>
      </c>
      <c r="E16" s="9">
        <f>(E13/100)*E6</f>
        <v>0</v>
      </c>
      <c r="F16" s="9">
        <f t="shared" ref="F16:H16" si="1">(F13/100)*F6</f>
        <v>0</v>
      </c>
      <c r="G16" s="9">
        <f t="shared" si="1"/>
        <v>0</v>
      </c>
      <c r="H16" s="9">
        <f t="shared" si="1"/>
        <v>0</v>
      </c>
    </row>
    <row r="17" spans="1:8" x14ac:dyDescent="0.25">
      <c r="A17" s="7" t="s">
        <v>29</v>
      </c>
      <c r="B17" s="36" t="s">
        <v>31</v>
      </c>
      <c r="C17" s="30"/>
      <c r="D17" s="9">
        <f>(C50/100)*C54</f>
        <v>0</v>
      </c>
      <c r="E17" s="9">
        <f>(D50/100)*D54</f>
        <v>0</v>
      </c>
      <c r="F17" s="9">
        <f>(E50/100)*E54</f>
        <v>0</v>
      </c>
      <c r="G17" s="9">
        <f>(F50/100)*F54</f>
        <v>0</v>
      </c>
      <c r="H17" s="9">
        <f t="shared" ref="H17" si="2">(G50/100)*G54</f>
        <v>0</v>
      </c>
    </row>
    <row r="18" spans="1:8" ht="26.25" x14ac:dyDescent="0.25">
      <c r="A18" s="7" t="s">
        <v>145</v>
      </c>
      <c r="B18" s="36" t="s">
        <v>32</v>
      </c>
      <c r="C18" s="30"/>
      <c r="D18" s="9">
        <f>-(D6+D16+D17)</f>
        <v>0</v>
      </c>
      <c r="E18" s="9">
        <f>-(E6+E16+E17)</f>
        <v>0</v>
      </c>
      <c r="F18" s="9">
        <f>-(F6+F16+F17)</f>
        <v>0</v>
      </c>
      <c r="G18" s="9">
        <f>-(G6+G16+G17)</f>
        <v>0</v>
      </c>
      <c r="H18" s="9">
        <f t="shared" ref="H18" si="3">-(H6+H16+H17)</f>
        <v>0</v>
      </c>
    </row>
    <row r="19" spans="1:8" x14ac:dyDescent="0.25">
      <c r="A19" s="7" t="s">
        <v>56</v>
      </c>
      <c r="B19" s="36" t="s">
        <v>33</v>
      </c>
      <c r="C19" s="30"/>
      <c r="D19" s="9">
        <f>SUM($D18:D18)</f>
        <v>0</v>
      </c>
      <c r="E19" s="9">
        <f>SUM($D18:E18)</f>
        <v>0</v>
      </c>
      <c r="F19" s="9">
        <f>SUM($D18:F18)</f>
        <v>0</v>
      </c>
      <c r="G19" s="9">
        <f>SUM($D18:G18)</f>
        <v>0</v>
      </c>
      <c r="H19" s="9">
        <f>SUM($D18:H18)</f>
        <v>0</v>
      </c>
    </row>
    <row r="20" spans="1:8" x14ac:dyDescent="0.25">
      <c r="A20" s="7"/>
      <c r="B20" s="36"/>
      <c r="C20" s="30"/>
      <c r="D20" s="9"/>
      <c r="E20" s="9"/>
      <c r="F20" s="9"/>
      <c r="G20" s="9"/>
      <c r="H20" s="9"/>
    </row>
    <row r="21" spans="1:8" x14ac:dyDescent="0.25">
      <c r="A21" s="29" t="s">
        <v>157</v>
      </c>
      <c r="B21" s="42"/>
      <c r="C21" s="30"/>
      <c r="D21" s="31"/>
      <c r="E21" s="31"/>
      <c r="F21" s="31"/>
      <c r="G21" s="31"/>
      <c r="H21" s="31"/>
    </row>
    <row r="22" spans="1:8" ht="26.25" x14ac:dyDescent="0.25">
      <c r="A22" s="26" t="s">
        <v>147</v>
      </c>
      <c r="B22" s="36" t="s">
        <v>149</v>
      </c>
      <c r="C22" s="30"/>
      <c r="D22" s="9">
        <f>SUM(D18,D35,D39)*'Fiscal Model Import'!E2</f>
        <v>0</v>
      </c>
      <c r="E22" s="9">
        <f>SUM(E18,E35,E39)*'Fiscal Model Import'!F2</f>
        <v>0</v>
      </c>
      <c r="F22" s="9">
        <f>SUM(F18,F35,F39)*'Fiscal Model Import'!G2</f>
        <v>0</v>
      </c>
      <c r="G22" s="9">
        <f>SUM(G18,G35,G39)*'Fiscal Model Import'!H2</f>
        <v>0</v>
      </c>
      <c r="H22" s="9">
        <f>SUM(H18,H35,H39)*'Fiscal Model Import'!I2</f>
        <v>0</v>
      </c>
    </row>
    <row r="23" spans="1:8" ht="26.25" x14ac:dyDescent="0.25">
      <c r="A23" s="7" t="s">
        <v>146</v>
      </c>
      <c r="B23" s="36" t="s">
        <v>150</v>
      </c>
      <c r="C23" s="30"/>
      <c r="D23" s="69">
        <f>SUM(D18,D35,D39)*'Fiscal Model Import'!E4</f>
        <v>0</v>
      </c>
      <c r="E23" s="69">
        <f>SUM(E18,E35,E39)*'Fiscal Model Import'!F4</f>
        <v>0</v>
      </c>
      <c r="F23" s="69">
        <f>SUM(F18,F35,F39)*'Fiscal Model Import'!G4</f>
        <v>0</v>
      </c>
      <c r="G23" s="69">
        <f>SUM(G18,G35,G39)*'Fiscal Model Import'!H4</f>
        <v>0</v>
      </c>
      <c r="H23" s="69">
        <f>SUM(H18,H35,H39)*'Fiscal Model Import'!I4</f>
        <v>0</v>
      </c>
    </row>
    <row r="24" spans="1:8" ht="26.25" x14ac:dyDescent="0.25">
      <c r="A24" s="7" t="s">
        <v>148</v>
      </c>
      <c r="B24" s="36" t="s">
        <v>151</v>
      </c>
      <c r="C24" s="30"/>
      <c r="D24" s="69">
        <f>SUM(D18,D35,D39)*'Fiscal Model Import'!E3</f>
        <v>0</v>
      </c>
      <c r="E24" s="69">
        <f>SUM(E18,E35,E39)*'Fiscal Model Import'!F3</f>
        <v>0</v>
      </c>
      <c r="F24" s="69">
        <f>SUM(F18,F35,F39)*'Fiscal Model Import'!G3</f>
        <v>0</v>
      </c>
      <c r="G24" s="69">
        <f>SUM(G18,G35,G39)*'Fiscal Model Import'!H3</f>
        <v>0</v>
      </c>
      <c r="H24" s="69">
        <f>SUM(H18,H35,H39)*'Fiscal Model Import'!I3</f>
        <v>0</v>
      </c>
    </row>
    <row r="25" spans="1:8" x14ac:dyDescent="0.25">
      <c r="A25" s="7" t="s">
        <v>173</v>
      </c>
      <c r="B25" s="36" t="s">
        <v>175</v>
      </c>
      <c r="C25" s="30"/>
      <c r="D25" s="69">
        <f>SUMIF($D23:D23,"&gt;0",$D23:D23)</f>
        <v>0</v>
      </c>
      <c r="E25" s="69">
        <f>SUMIF($D23:E23,"&gt;0",$D23:E23)</f>
        <v>0</v>
      </c>
      <c r="F25" s="69">
        <f>SUMIF($D23:F23,"&gt;0",$D23:F23)</f>
        <v>0</v>
      </c>
      <c r="G25" s="69">
        <f>SUMIF($D23:G23,"&gt;0",$D23:G23)</f>
        <v>0</v>
      </c>
      <c r="H25" s="69">
        <f>SUMIF($D23:H23,"&gt;0",$D23:H23)</f>
        <v>0</v>
      </c>
    </row>
    <row r="26" spans="1:8" x14ac:dyDescent="0.25">
      <c r="A26" s="7" t="s">
        <v>174</v>
      </c>
      <c r="B26" s="36" t="s">
        <v>176</v>
      </c>
      <c r="C26" s="30"/>
      <c r="D26" s="69">
        <f>SUMIF($D24:D24,"&gt;0",$D24:D24)</f>
        <v>0</v>
      </c>
      <c r="E26" s="69">
        <f>SUMIF($D24:E24,"&gt;0",$D24:E24)</f>
        <v>0</v>
      </c>
      <c r="F26" s="69">
        <f>SUMIF($D24:F24,"&gt;0",$D24:F24)</f>
        <v>0</v>
      </c>
      <c r="G26" s="69">
        <f>SUMIF($D24:G24,"&gt;0",$D24:G24)</f>
        <v>0</v>
      </c>
      <c r="H26" s="69">
        <f>SUMIF($D24:H24,"&gt;0",$D24:H24)</f>
        <v>0</v>
      </c>
    </row>
    <row r="27" spans="1:8" x14ac:dyDescent="0.25">
      <c r="A27" s="26" t="s">
        <v>133</v>
      </c>
      <c r="B27" s="36" t="s">
        <v>152</v>
      </c>
      <c r="C27" s="30"/>
      <c r="D27" s="9">
        <f>D22</f>
        <v>0</v>
      </c>
      <c r="E27" s="69">
        <f>IF(AND(SUM(E$18,E$35,E$39)&gt;0,E19&gt;0),D27+E22-E35,E$19*D30)</f>
        <v>0</v>
      </c>
      <c r="F27" s="69">
        <f>IF(AND(SUM(F$18,F$35,F$39)&gt;0,F19&gt;0),E27+F22-F35,F$19*E30)</f>
        <v>0</v>
      </c>
      <c r="G27" s="69">
        <f t="shared" ref="G27:H27" si="4">IF(AND(SUM(G$18,G$35,G$39)&gt;0,G19&gt;0),F27+G22-G35,G$19*F30)</f>
        <v>0</v>
      </c>
      <c r="H27" s="69">
        <f t="shared" si="4"/>
        <v>0</v>
      </c>
    </row>
    <row r="28" spans="1:8" ht="26.25" x14ac:dyDescent="0.25">
      <c r="A28" s="7" t="s">
        <v>63</v>
      </c>
      <c r="B28" s="36" t="s">
        <v>153</v>
      </c>
      <c r="C28" s="30"/>
      <c r="D28" s="69">
        <f>D23</f>
        <v>0</v>
      </c>
      <c r="E28" s="69">
        <f>IF(AND(SUM(E$18,E$35,E$39)&gt;0,E19&gt;0),D28+E23-E39,E$19*D31)</f>
        <v>0</v>
      </c>
      <c r="F28" s="69">
        <f t="shared" ref="F28:H28" si="5">IF(AND(SUM(F$18,F$35,F$39)&gt;0,F19&gt;0),E28+F23-F39,F$19*E31)</f>
        <v>0</v>
      </c>
      <c r="G28" s="69">
        <f t="shared" si="5"/>
        <v>0</v>
      </c>
      <c r="H28" s="69">
        <f t="shared" si="5"/>
        <v>0</v>
      </c>
    </row>
    <row r="29" spans="1:8" ht="26.25" x14ac:dyDescent="0.25">
      <c r="A29" s="7" t="s">
        <v>64</v>
      </c>
      <c r="B29" s="36" t="s">
        <v>153</v>
      </c>
      <c r="C29" s="30"/>
      <c r="D29" s="69">
        <f>D24</f>
        <v>0</v>
      </c>
      <c r="E29" s="69">
        <f>IF(AND(SUM(E$18,E$35,E$39)&gt;0,E19&gt;0),D29+E24,E$19*D32)</f>
        <v>0</v>
      </c>
      <c r="F29" s="69">
        <f t="shared" ref="F29:H29" si="6">IF(AND(SUM(F$18,F$35,F$39)&gt;0,F19&gt;0),E29+F24,F$19*E32)</f>
        <v>0</v>
      </c>
      <c r="G29" s="69">
        <f t="shared" si="6"/>
        <v>0</v>
      </c>
      <c r="H29" s="69">
        <f t="shared" si="6"/>
        <v>0</v>
      </c>
    </row>
    <row r="30" spans="1:8" x14ac:dyDescent="0.25">
      <c r="A30" s="7" t="s">
        <v>165</v>
      </c>
      <c r="B30" s="36" t="s">
        <v>168</v>
      </c>
      <c r="C30" s="30"/>
      <c r="D30" s="67">
        <f>IF(D19=0,0,D27/D19)</f>
        <v>0</v>
      </c>
      <c r="E30" s="67">
        <f t="shared" ref="E30:H30" si="7">IF(E19=0,0,E27/E19)</f>
        <v>0</v>
      </c>
      <c r="F30" s="67">
        <f>IF(F19=0,0,F27/F19)</f>
        <v>0</v>
      </c>
      <c r="G30" s="67">
        <f t="shared" si="7"/>
        <v>0</v>
      </c>
      <c r="H30" s="67">
        <f t="shared" si="7"/>
        <v>0</v>
      </c>
    </row>
    <row r="31" spans="1:8" x14ac:dyDescent="0.25">
      <c r="A31" s="7" t="s">
        <v>166</v>
      </c>
      <c r="B31" s="36" t="s">
        <v>169</v>
      </c>
      <c r="C31" s="30"/>
      <c r="D31" s="67">
        <f>IF(D19=0,0,D28/D19)</f>
        <v>0</v>
      </c>
      <c r="E31" s="67">
        <f t="shared" ref="E31:H31" si="8">IF(E19=0,0,E28/E19)</f>
        <v>0</v>
      </c>
      <c r="F31" s="67">
        <f t="shared" si="8"/>
        <v>0</v>
      </c>
      <c r="G31" s="67">
        <f t="shared" si="8"/>
        <v>0</v>
      </c>
      <c r="H31" s="67">
        <f t="shared" si="8"/>
        <v>0</v>
      </c>
    </row>
    <row r="32" spans="1:8" x14ac:dyDescent="0.25">
      <c r="A32" s="7" t="s">
        <v>167</v>
      </c>
      <c r="B32" s="36" t="s">
        <v>170</v>
      </c>
      <c r="C32" s="30"/>
      <c r="D32" s="67">
        <f>IF(D19=0,0,D29/D19)</f>
        <v>0</v>
      </c>
      <c r="E32" s="67">
        <f t="shared" ref="E32:H32" si="9">IF(E19=0,0,E29/E19)</f>
        <v>0</v>
      </c>
      <c r="F32" s="67">
        <f t="shared" si="9"/>
        <v>0</v>
      </c>
      <c r="G32" s="67">
        <f t="shared" si="9"/>
        <v>0</v>
      </c>
      <c r="H32" s="67">
        <f t="shared" si="9"/>
        <v>0</v>
      </c>
    </row>
    <row r="33" spans="1:9" x14ac:dyDescent="0.25">
      <c r="A33" s="7"/>
      <c r="B33" s="36"/>
      <c r="C33" s="30"/>
      <c r="D33" s="8"/>
      <c r="E33" s="8"/>
      <c r="F33" s="72"/>
      <c r="G33" s="72"/>
      <c r="H33" s="72"/>
    </row>
    <row r="34" spans="1:9" x14ac:dyDescent="0.25">
      <c r="A34" s="29" t="s">
        <v>177</v>
      </c>
      <c r="B34" s="42"/>
      <c r="C34" s="30"/>
      <c r="D34" s="30"/>
      <c r="E34" s="31"/>
      <c r="F34" s="31"/>
      <c r="G34" s="31"/>
      <c r="H34" s="30"/>
    </row>
    <row r="35" spans="1:9" x14ac:dyDescent="0.25">
      <c r="A35" s="26" t="s">
        <v>139</v>
      </c>
      <c r="B35" s="36" t="s">
        <v>140</v>
      </c>
      <c r="C35" s="30"/>
      <c r="D35" s="46"/>
      <c r="E35" s="9">
        <f>IF(D27&lt;0,0,MAX(D22,0,D27))</f>
        <v>0</v>
      </c>
      <c r="F35" s="9">
        <f>IF(E27&lt;0,0,MIN(MAX(E22,0),E27))</f>
        <v>0</v>
      </c>
      <c r="G35" s="9">
        <f>IF(F27&lt;0,0,MIN(MAX(F22,0),F27))</f>
        <v>0</v>
      </c>
      <c r="H35" s="9">
        <f t="shared" ref="H35" si="10">IF(G27&lt;0,0,MIN(MAX(G22,0),G27))</f>
        <v>0</v>
      </c>
    </row>
    <row r="36" spans="1:9" x14ac:dyDescent="0.25">
      <c r="A36" s="26" t="s">
        <v>141</v>
      </c>
      <c r="B36" s="36" t="s">
        <v>142</v>
      </c>
      <c r="C36" s="30"/>
      <c r="D36" s="46"/>
      <c r="E36" s="31"/>
      <c r="F36" s="9">
        <f>IF(OR(E25=0,D19&lt;0),0,IF(SUMIF($D18:E18,"&gt;0",$D18:E18)=E19,MAX(D$23*'Fiscal Model Import'!E7,0),MAX(0,E28)*MAX(0,D$23/E$25)*'Fiscal Model Import'!E7))</f>
        <v>0</v>
      </c>
      <c r="G36" s="9">
        <f>IF(OR(F25=0,E19&lt;0),0,IF(SUMIF($D18:F18,"&gt;0",$D18:F18)=F19,MAX(E$23*'Fiscal Model Import'!F7,0),MAX(0,F28)*MAX(0,E$23/F$25)*'Fiscal Model Import'!F7))</f>
        <v>0</v>
      </c>
      <c r="H36" s="9">
        <f>IF(OR(G25=0,F19&lt;0),0,IF(SUMIF($D18:G18,"&gt;0",$D18:G18)=G19,MAX(F$23*'Fiscal Model Import'!G7,0),MAX(0,G28)*MAX(0,F$23/G$25)*'Fiscal Model Import'!G7))</f>
        <v>0</v>
      </c>
    </row>
    <row r="37" spans="1:9" x14ac:dyDescent="0.25">
      <c r="A37" s="7" t="s">
        <v>143</v>
      </c>
      <c r="B37" s="36" t="s">
        <v>154</v>
      </c>
      <c r="C37" s="30"/>
      <c r="D37" s="46"/>
      <c r="E37" s="31"/>
      <c r="F37" s="31"/>
      <c r="G37" s="9">
        <f>IF(OR(F25=0,D19&lt;0),0,IF(SUMIF($D18:G18,"&gt;0",$D18:G18)=G19,MAX(D$23*'Fiscal Model Import'!E8,0),MAX(0,F28)*MAX(0,D$23/F$25)*'Fiscal Model Import'!E8))</f>
        <v>0</v>
      </c>
      <c r="H37" s="9">
        <f>IF(OR(G25=0,E19&lt;0),0,IF(SUMIF($D18:H18,"&gt;0",$D18:H18)=H19,MAX(E$23*'Fiscal Model Import'!F8,0),MAX(0,G28)*MAX(0,E$23/G$25)*'Fiscal Model Import'!F8))</f>
        <v>0</v>
      </c>
    </row>
    <row r="38" spans="1:9" x14ac:dyDescent="0.25">
      <c r="A38" s="7" t="s">
        <v>144</v>
      </c>
      <c r="B38" s="36" t="s">
        <v>155</v>
      </c>
      <c r="C38" s="30"/>
      <c r="D38" s="46"/>
      <c r="E38" s="31"/>
      <c r="F38" s="31"/>
      <c r="G38" s="31"/>
      <c r="H38" s="31"/>
    </row>
    <row r="39" spans="1:9" x14ac:dyDescent="0.25">
      <c r="A39" s="7" t="s">
        <v>138</v>
      </c>
      <c r="B39" s="36" t="s">
        <v>156</v>
      </c>
      <c r="C39" s="30"/>
      <c r="D39" s="46"/>
      <c r="E39" s="31"/>
      <c r="F39" s="9">
        <f t="shared" ref="F39:H39" si="11">SUM(F36:F38)</f>
        <v>0</v>
      </c>
      <c r="G39" s="9">
        <f t="shared" si="11"/>
        <v>0</v>
      </c>
      <c r="H39" s="9">
        <f t="shared" si="11"/>
        <v>0</v>
      </c>
    </row>
    <row r="40" spans="1:9" x14ac:dyDescent="0.25">
      <c r="A40" s="29" t="s">
        <v>178</v>
      </c>
      <c r="B40" s="45"/>
      <c r="C40" s="30"/>
      <c r="D40" s="66"/>
      <c r="E40" s="31"/>
      <c r="F40" s="31"/>
      <c r="G40" s="31"/>
      <c r="H40" s="31"/>
    </row>
    <row r="41" spans="1:9" x14ac:dyDescent="0.25">
      <c r="A41" s="7" t="s">
        <v>159</v>
      </c>
      <c r="B41" s="36" t="s">
        <v>164</v>
      </c>
      <c r="C41" s="30"/>
      <c r="D41" s="66"/>
      <c r="E41" s="66"/>
      <c r="F41" s="32">
        <f>IF(F39=0,0,D12)</f>
        <v>0</v>
      </c>
      <c r="G41" s="32">
        <f>IF(G39=0,0,E12*(G36/G39)+D12*(G37/G39))</f>
        <v>0</v>
      </c>
      <c r="H41" s="32">
        <f>IF(H39=0,0,F12*(H36/H39)+E12*(H37/H39))</f>
        <v>0</v>
      </c>
    </row>
    <row r="42" spans="1:9" ht="39" x14ac:dyDescent="0.25">
      <c r="A42" s="7" t="s">
        <v>162</v>
      </c>
      <c r="B42" s="36" t="s">
        <v>163</v>
      </c>
      <c r="C42" s="30"/>
      <c r="D42" s="46"/>
      <c r="E42" s="32">
        <f>IF(D19&lt;0,E12,D12)</f>
        <v>3.4625135500000006</v>
      </c>
      <c r="F42" s="32">
        <f>IF(OR(E19&lt;0,(E28-F39)=0),F12,(E47*E28-F41*F39)/(E28-F39))</f>
        <v>2.93</v>
      </c>
      <c r="G42" s="32">
        <f t="shared" ref="G42:H42" si="12">IF(OR(F19&lt;0,(F28-G39)=0),G12,(F47*F28-G41*G39)/(F28-G39))</f>
        <v>2.93</v>
      </c>
      <c r="H42" s="32">
        <f t="shared" si="12"/>
        <v>2.93</v>
      </c>
      <c r="I42" t="s">
        <v>183</v>
      </c>
    </row>
    <row r="43" spans="1:9" x14ac:dyDescent="0.25">
      <c r="A43" s="7"/>
      <c r="B43" s="36"/>
      <c r="C43" s="30"/>
      <c r="D43" s="46"/>
      <c r="E43" s="32"/>
      <c r="F43" s="32"/>
      <c r="G43" s="32"/>
      <c r="H43" s="32"/>
    </row>
    <row r="44" spans="1:9" x14ac:dyDescent="0.25">
      <c r="A44" s="29" t="s">
        <v>160</v>
      </c>
      <c r="B44" s="42"/>
      <c r="C44" s="30"/>
      <c r="D44" s="30"/>
      <c r="E44" s="30"/>
      <c r="F44" s="30"/>
      <c r="G44" s="30"/>
      <c r="H44" s="30"/>
    </row>
    <row r="45" spans="1:9" x14ac:dyDescent="0.25">
      <c r="A45" s="26" t="s">
        <v>180</v>
      </c>
      <c r="B45" s="36" t="s">
        <v>182</v>
      </c>
      <c r="C45" s="30"/>
      <c r="D45" s="70">
        <f>IF(AND(D23&gt;0,D28&gt;0),MIN(MAX(0,D23/D28),1),0)</f>
        <v>0</v>
      </c>
      <c r="E45" s="70">
        <f t="shared" ref="E45:H45" si="13">IF(AND(E23&gt;0,E28&gt;0),MIN(MAX(0,E23/E28),1),0)</f>
        <v>0</v>
      </c>
      <c r="F45" s="70">
        <f t="shared" si="13"/>
        <v>0</v>
      </c>
      <c r="G45" s="70">
        <f t="shared" si="13"/>
        <v>0</v>
      </c>
      <c r="H45" s="70">
        <f t="shared" si="13"/>
        <v>0</v>
      </c>
    </row>
    <row r="46" spans="1:9" x14ac:dyDescent="0.25">
      <c r="A46" s="26" t="s">
        <v>181</v>
      </c>
      <c r="B46" s="36" t="s">
        <v>182</v>
      </c>
      <c r="C46" s="30"/>
      <c r="D46" s="70">
        <f>IF(AND(D24&gt;0,D29&gt;0),MIN(MAX(0,D24/D29),1),0)</f>
        <v>0</v>
      </c>
      <c r="E46" s="70">
        <f t="shared" ref="E46:H46" si="14">IF(AND(E24&gt;0,E29&gt;0),MIN(MAX(0,E24/E29),1),0)</f>
        <v>0</v>
      </c>
      <c r="F46" s="70">
        <f t="shared" si="14"/>
        <v>0</v>
      </c>
      <c r="G46" s="70">
        <f t="shared" si="14"/>
        <v>0</v>
      </c>
      <c r="H46" s="70">
        <f t="shared" si="14"/>
        <v>0</v>
      </c>
    </row>
    <row r="47" spans="1:9" ht="26.25" x14ac:dyDescent="0.25">
      <c r="A47" s="26" t="s">
        <v>59</v>
      </c>
      <c r="B47" s="36" t="s">
        <v>179</v>
      </c>
      <c r="C47" s="30"/>
      <c r="D47" s="32">
        <f>IF(D28&gt;0,D45*D12+(1-D45)*D42,D12)</f>
        <v>3.4625135500000006</v>
      </c>
      <c r="E47" s="32">
        <f>IF(E28&gt;0,E45*E12+(1-E45)*E42,E12)</f>
        <v>2.9296644499999998</v>
      </c>
      <c r="F47" s="32">
        <f t="shared" ref="F47:H47" si="15">IF(F28&gt;0,F45*F12+(1-F45)*F42,F12)</f>
        <v>2.93</v>
      </c>
      <c r="G47" s="32">
        <f t="shared" si="15"/>
        <v>2.93</v>
      </c>
      <c r="H47" s="32">
        <f t="shared" si="15"/>
        <v>2.93</v>
      </c>
    </row>
    <row r="48" spans="1:9" ht="26.25" x14ac:dyDescent="0.25">
      <c r="A48" s="26" t="s">
        <v>60</v>
      </c>
      <c r="B48" s="36" t="s">
        <v>179</v>
      </c>
      <c r="C48" s="30"/>
      <c r="D48" s="32">
        <f>IF(D29&gt;0,D46*D11+(1-D46)*C48,D11)</f>
        <v>3.5107837499999999</v>
      </c>
      <c r="E48" s="32">
        <f>IF(E29&gt;0,E46*E11+(1-E46)*D48,E11)</f>
        <v>3.4899732500000002</v>
      </c>
      <c r="F48" s="32">
        <f t="shared" ref="F48:H48" si="16">IF(F29&gt;0,F46*F11+(1-F46)*E48,F11)</f>
        <v>3.5</v>
      </c>
      <c r="G48" s="32">
        <f t="shared" si="16"/>
        <v>3.5</v>
      </c>
      <c r="H48" s="32">
        <f t="shared" si="16"/>
        <v>3.5</v>
      </c>
    </row>
    <row r="49" spans="1:8" x14ac:dyDescent="0.25">
      <c r="A49" s="7"/>
      <c r="B49" s="36"/>
      <c r="C49" s="30"/>
      <c r="D49" s="32"/>
      <c r="E49" s="32"/>
      <c r="F49" s="32"/>
      <c r="G49" s="32"/>
      <c r="H49" s="32"/>
    </row>
    <row r="50" spans="1:8" ht="26.25" x14ac:dyDescent="0.25">
      <c r="A50" s="30" t="s">
        <v>61</v>
      </c>
      <c r="B50" s="45" t="s">
        <v>171</v>
      </c>
      <c r="C50" s="30"/>
      <c r="D50" s="46">
        <f>IF(D19&gt;0,D30*D10+D31*D47+D32*D48,D13)</f>
        <v>3.5989958673128895</v>
      </c>
      <c r="E50" s="46">
        <f>IF(E19&gt;0,E30*E10+E31*E47+E32*E48,E13)</f>
        <v>2.7184333160234875</v>
      </c>
      <c r="F50" s="46">
        <f>IF(F19&gt;0,F30*F10+F31*F47+F32*F48,F13)</f>
        <v>2.7195319297720051</v>
      </c>
      <c r="G50" s="46">
        <f t="shared" ref="G50:H50" si="17">IF(G19&gt;0,G30*G10+G31*G47+G32*G48,G13)</f>
        <v>2.7195319297720051</v>
      </c>
      <c r="H50" s="46">
        <f t="shared" si="17"/>
        <v>2.7195319297720051</v>
      </c>
    </row>
    <row r="52" spans="1:8" x14ac:dyDescent="0.25">
      <c r="A52" s="10" t="s">
        <v>7</v>
      </c>
      <c r="B52" s="43"/>
      <c r="C52" s="10"/>
      <c r="D52" s="11"/>
      <c r="E52" s="11"/>
      <c r="F52" s="11"/>
      <c r="G52" s="11"/>
      <c r="H52" s="11"/>
    </row>
    <row r="53" spans="1:8" x14ac:dyDescent="0.25">
      <c r="A53" s="12" t="s">
        <v>62</v>
      </c>
      <c r="B53" s="44"/>
      <c r="C53" s="12"/>
      <c r="D53" s="13">
        <f>D16+D17</f>
        <v>0</v>
      </c>
      <c r="E53" s="13">
        <f>E16+E17</f>
        <v>0</v>
      </c>
      <c r="F53" s="13">
        <f>F16+F17</f>
        <v>0</v>
      </c>
      <c r="G53" s="13">
        <f t="shared" ref="G53:H53" si="18">G16+G17</f>
        <v>0</v>
      </c>
      <c r="H53" s="13">
        <f t="shared" si="18"/>
        <v>0</v>
      </c>
    </row>
    <row r="54" spans="1:8" x14ac:dyDescent="0.25">
      <c r="A54" s="12" t="s">
        <v>54</v>
      </c>
      <c r="B54" s="44"/>
      <c r="C54" s="12"/>
      <c r="D54" s="13">
        <f t="shared" ref="D54:H54" si="19">-D19</f>
        <v>0</v>
      </c>
      <c r="E54" s="13">
        <f t="shared" si="19"/>
        <v>0</v>
      </c>
      <c r="F54" s="13">
        <f t="shared" si="19"/>
        <v>0</v>
      </c>
      <c r="G54" s="13">
        <f t="shared" si="19"/>
        <v>0</v>
      </c>
      <c r="H54" s="13">
        <f t="shared" si="19"/>
        <v>0</v>
      </c>
    </row>
    <row r="55" spans="1:8" x14ac:dyDescent="0.25">
      <c r="A55" s="12" t="s">
        <v>48</v>
      </c>
      <c r="B55" s="44"/>
      <c r="C55" s="12"/>
      <c r="D55" s="13">
        <f>SUM($D53:D53)</f>
        <v>0</v>
      </c>
      <c r="E55" s="13">
        <f>SUM($D53:E53)</f>
        <v>0</v>
      </c>
      <c r="F55" s="13">
        <f>SUM($D53:F53)</f>
        <v>0</v>
      </c>
      <c r="G55" s="13">
        <f>SUM($D53:G53)</f>
        <v>0</v>
      </c>
      <c r="H55" s="13">
        <f>SUM($D53:H53)</f>
        <v>0</v>
      </c>
    </row>
    <row r="57" spans="1:8" x14ac:dyDescent="0.25">
      <c r="D57" s="16"/>
      <c r="E57" s="16"/>
      <c r="F57" s="16"/>
      <c r="G57" s="16"/>
      <c r="H57" s="16"/>
    </row>
    <row r="58" spans="1:8" x14ac:dyDescent="0.25">
      <c r="D58" s="18"/>
      <c r="E58" s="18"/>
      <c r="F58" s="18"/>
      <c r="G58" s="18"/>
      <c r="H58" s="18"/>
    </row>
    <row r="59" spans="1:8" x14ac:dyDescent="0.25">
      <c r="D59" s="17"/>
    </row>
  </sheetData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7545-787E-47D5-A81D-527FE013B894}">
  <sheetPr>
    <tabColor theme="5"/>
  </sheetPr>
  <dimension ref="A1:G17"/>
  <sheetViews>
    <sheetView tabSelected="1" zoomScale="130" zoomScaleNormal="130" workbookViewId="0">
      <selection activeCell="D6" sqref="D6"/>
    </sheetView>
  </sheetViews>
  <sheetFormatPr defaultRowHeight="15" x14ac:dyDescent="0.25"/>
  <cols>
    <col min="1" max="1" width="34.5703125" customWidth="1"/>
    <col min="3" max="7" width="9.140625" bestFit="1" customWidth="1"/>
  </cols>
  <sheetData>
    <row r="1" spans="1:7" x14ac:dyDescent="0.25">
      <c r="A1" t="s">
        <v>4</v>
      </c>
      <c r="C1">
        <v>2024</v>
      </c>
      <c r="D1">
        <f>C1+1</f>
        <v>2025</v>
      </c>
      <c r="E1">
        <f t="shared" ref="E1:G1" si="0">D1+1</f>
        <v>2026</v>
      </c>
      <c r="F1">
        <f t="shared" si="0"/>
        <v>2027</v>
      </c>
      <c r="G1">
        <f t="shared" si="0"/>
        <v>2028</v>
      </c>
    </row>
    <row r="2" spans="1:7" x14ac:dyDescent="0.25">
      <c r="C2">
        <v>2025</v>
      </c>
      <c r="D2">
        <f>C2+1</f>
        <v>2026</v>
      </c>
      <c r="E2">
        <f t="shared" ref="E2:G2" si="1">D2+1</f>
        <v>2027</v>
      </c>
      <c r="F2">
        <f t="shared" si="1"/>
        <v>2028</v>
      </c>
      <c r="G2">
        <f t="shared" si="1"/>
        <v>2029</v>
      </c>
    </row>
    <row r="3" spans="1:7" x14ac:dyDescent="0.25">
      <c r="A3" s="1" t="s">
        <v>0</v>
      </c>
      <c r="B3" s="2"/>
      <c r="C3" s="2"/>
      <c r="D3" s="2"/>
      <c r="E3" s="2"/>
      <c r="F3" s="2"/>
      <c r="G3" s="2"/>
    </row>
    <row r="4" spans="1:7" x14ac:dyDescent="0.25">
      <c r="A4" s="3" t="s">
        <v>1</v>
      </c>
      <c r="B4" s="4" t="s">
        <v>5</v>
      </c>
      <c r="C4" s="4">
        <f>machine_readable!M2</f>
        <v>0</v>
      </c>
      <c r="D4" s="4">
        <f>machine_readable!N2</f>
        <v>0</v>
      </c>
      <c r="E4" s="4">
        <f>machine_readable!O2</f>
        <v>0</v>
      </c>
      <c r="F4" s="4">
        <f>machine_readable!P2</f>
        <v>0</v>
      </c>
      <c r="G4" s="4">
        <f>machine_readable!Q2</f>
        <v>0</v>
      </c>
    </row>
    <row r="5" spans="1:7" x14ac:dyDescent="0.25">
      <c r="A5" s="3" t="s">
        <v>2</v>
      </c>
      <c r="B5" s="4" t="s">
        <v>5</v>
      </c>
      <c r="C5" s="4">
        <f>machine_readable!M3</f>
        <v>0</v>
      </c>
      <c r="D5" s="4">
        <f>machine_readable!N3</f>
        <v>0</v>
      </c>
      <c r="E5" s="4">
        <f>machine_readable!O3</f>
        <v>0</v>
      </c>
      <c r="F5" s="4">
        <f>machine_readable!P3</f>
        <v>0</v>
      </c>
      <c r="G5" s="4">
        <f>machine_readable!Q3</f>
        <v>0</v>
      </c>
    </row>
    <row r="6" spans="1:7" x14ac:dyDescent="0.25">
      <c r="A6" s="3" t="s">
        <v>3</v>
      </c>
      <c r="B6" s="4" t="s">
        <v>5</v>
      </c>
      <c r="C6" s="68">
        <f t="shared" ref="C6:G6" si="2">C4-C5</f>
        <v>0</v>
      </c>
      <c r="D6" s="68">
        <f t="shared" si="2"/>
        <v>0</v>
      </c>
      <c r="E6" s="68">
        <f t="shared" si="2"/>
        <v>0</v>
      </c>
      <c r="F6" s="68">
        <f t="shared" si="2"/>
        <v>0</v>
      </c>
      <c r="G6" s="68">
        <f t="shared" si="2"/>
        <v>0</v>
      </c>
    </row>
    <row r="9" spans="1:7" x14ac:dyDescent="0.25">
      <c r="A9" s="10" t="s">
        <v>7</v>
      </c>
      <c r="B9" s="10"/>
      <c r="C9" s="11"/>
      <c r="D9" s="11"/>
      <c r="E9" s="11"/>
      <c r="F9" s="11"/>
      <c r="G9" s="11"/>
    </row>
    <row r="10" spans="1:7" x14ac:dyDescent="0.25">
      <c r="A10" s="12" t="s">
        <v>67</v>
      </c>
      <c r="B10" s="12" t="s">
        <v>5</v>
      </c>
      <c r="C10" s="13">
        <f>Model!D53</f>
        <v>0</v>
      </c>
      <c r="D10" s="13">
        <f>Model!E53</f>
        <v>0</v>
      </c>
      <c r="E10" s="13">
        <f>Model!F53</f>
        <v>0</v>
      </c>
      <c r="F10" s="13">
        <f>Model!G53</f>
        <v>0</v>
      </c>
      <c r="G10" s="13">
        <f>Model!H53</f>
        <v>0</v>
      </c>
    </row>
    <row r="11" spans="1:7" x14ac:dyDescent="0.25">
      <c r="A11" s="12" t="s">
        <v>8</v>
      </c>
      <c r="B11" s="12" t="s">
        <v>5</v>
      </c>
      <c r="C11" s="13">
        <f>Model!D54</f>
        <v>0</v>
      </c>
      <c r="D11" s="13">
        <f>Model!E54</f>
        <v>0</v>
      </c>
      <c r="E11" s="13">
        <f>Model!F54</f>
        <v>0</v>
      </c>
      <c r="F11" s="13">
        <f>Model!G54</f>
        <v>0</v>
      </c>
      <c r="G11" s="13">
        <f>Model!H54</f>
        <v>0</v>
      </c>
    </row>
    <row r="12" spans="1:7" x14ac:dyDescent="0.25">
      <c r="A12" s="12" t="s">
        <v>9</v>
      </c>
      <c r="B12" s="12" t="s">
        <v>5</v>
      </c>
      <c r="C12" s="13">
        <f>Model!D53+Model!D6</f>
        <v>0</v>
      </c>
      <c r="D12" s="13">
        <f>Model!E53+Model!E6</f>
        <v>0</v>
      </c>
      <c r="E12" s="13">
        <f>Model!F53+Model!F6</f>
        <v>0</v>
      </c>
      <c r="F12" s="13">
        <f>Model!G53+Model!G6</f>
        <v>0</v>
      </c>
      <c r="G12" s="13">
        <f>Model!H53+Model!H6</f>
        <v>0</v>
      </c>
    </row>
    <row r="13" spans="1:7" x14ac:dyDescent="0.25">
      <c r="A13" s="12" t="s">
        <v>66</v>
      </c>
      <c r="B13" s="12" t="s">
        <v>5</v>
      </c>
      <c r="C13" s="51">
        <f>SUM($C10:C10)</f>
        <v>0</v>
      </c>
      <c r="D13" s="51">
        <f>SUM($C10:D10)</f>
        <v>0</v>
      </c>
      <c r="E13" s="51">
        <f>SUM($C10:E10)</f>
        <v>0</v>
      </c>
      <c r="F13" s="51">
        <f>SUM($C10:F10)</f>
        <v>0</v>
      </c>
      <c r="G13" s="51">
        <f>SUM($C10:G10)</f>
        <v>0</v>
      </c>
    </row>
    <row r="15" spans="1:7" ht="90" x14ac:dyDescent="0.25">
      <c r="A15" s="14" t="s">
        <v>172</v>
      </c>
      <c r="B15" s="15"/>
    </row>
    <row r="16" spans="1:7" x14ac:dyDescent="0.25">
      <c r="A16" s="15"/>
      <c r="B16" s="15"/>
    </row>
    <row r="17" spans="1:2" x14ac:dyDescent="0.25">
      <c r="A17" s="15"/>
      <c r="B17" s="1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A8114-85A4-4459-AF2E-EB80FAA87B37}">
  <sheetPr>
    <tabColor theme="2" tint="-9.9978637043366805E-2"/>
  </sheetPr>
  <dimension ref="A1:CD100"/>
  <sheetViews>
    <sheetView workbookViewId="0">
      <pane xSplit="1" topLeftCell="B1" activePane="topRight" state="frozen"/>
      <selection activeCell="L8" sqref="L8"/>
      <selection pane="topRight" activeCell="E2" sqref="E2"/>
    </sheetView>
  </sheetViews>
  <sheetFormatPr defaultRowHeight="15" x14ac:dyDescent="0.25"/>
  <cols>
    <col min="1" max="1" width="43.85546875" customWidth="1"/>
    <col min="2" max="2" width="15.85546875" customWidth="1"/>
    <col min="3" max="11" width="12.140625" bestFit="1" customWidth="1"/>
    <col min="12" max="15" width="11.5703125" bestFit="1" customWidth="1"/>
    <col min="16" max="22" width="12.140625" bestFit="1" customWidth="1"/>
    <col min="23" max="32" width="11.5703125" bestFit="1" customWidth="1"/>
    <col min="33" max="33" width="12.85546875" bestFit="1" customWidth="1"/>
    <col min="34" max="39" width="11.5703125" bestFit="1" customWidth="1"/>
    <col min="40" max="47" width="12.85546875" bestFit="1" customWidth="1"/>
    <col min="48" max="49" width="11.5703125" bestFit="1" customWidth="1"/>
    <col min="50" max="82" width="13.28515625" bestFit="1" customWidth="1"/>
  </cols>
  <sheetData>
    <row r="1" spans="1:15" x14ac:dyDescent="0.25">
      <c r="A1" s="21" t="s">
        <v>41</v>
      </c>
      <c r="B1" t="s">
        <v>25</v>
      </c>
      <c r="C1" t="s">
        <v>26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103</v>
      </c>
      <c r="J1" t="s">
        <v>104</v>
      </c>
      <c r="K1" t="s">
        <v>105</v>
      </c>
      <c r="L1" t="s">
        <v>130</v>
      </c>
      <c r="M1" t="s">
        <v>131</v>
      </c>
      <c r="N1" t="s">
        <v>132</v>
      </c>
    </row>
    <row r="2" spans="1:15" x14ac:dyDescent="0.25">
      <c r="A2" s="23" t="s">
        <v>42</v>
      </c>
      <c r="B2" s="47">
        <f>Decomposition!F2</f>
        <v>0.42117117117117114</v>
      </c>
      <c r="C2" s="47">
        <f>Decomposition!G2</f>
        <v>0.52196382428940569</v>
      </c>
      <c r="D2" s="47">
        <f>Decomposition!H2</f>
        <v>0.57938144329896912</v>
      </c>
      <c r="E2" s="47">
        <f>Decomposition!I2</f>
        <v>0.55478703374297189</v>
      </c>
      <c r="F2" s="47">
        <f>$E2</f>
        <v>0.55478703374297189</v>
      </c>
      <c r="G2" s="47">
        <f t="shared" ref="G2:N2" si="0">$E2</f>
        <v>0.55478703374297189</v>
      </c>
      <c r="H2" s="47">
        <f t="shared" si="0"/>
        <v>0.55478703374297189</v>
      </c>
      <c r="I2" s="47">
        <f t="shared" si="0"/>
        <v>0.55478703374297189</v>
      </c>
      <c r="J2" s="47">
        <f t="shared" si="0"/>
        <v>0.55478703374297189</v>
      </c>
      <c r="K2" s="47">
        <f t="shared" si="0"/>
        <v>0.55478703374297189</v>
      </c>
      <c r="L2" s="47">
        <f t="shared" si="0"/>
        <v>0.55478703374297189</v>
      </c>
      <c r="M2" s="47">
        <f t="shared" si="0"/>
        <v>0.55478703374297189</v>
      </c>
      <c r="N2" s="47">
        <f t="shared" si="0"/>
        <v>0.55478703374297189</v>
      </c>
    </row>
    <row r="3" spans="1:15" x14ac:dyDescent="0.25">
      <c r="A3" s="23" t="s">
        <v>43</v>
      </c>
      <c r="B3" s="48">
        <f>Decomposition!F4</f>
        <v>0.26351351351351349</v>
      </c>
      <c r="C3" s="48">
        <f>Decomposition!G4</f>
        <v>0.17054263565891473</v>
      </c>
      <c r="D3" s="48">
        <f>Decomposition!H4</f>
        <v>0.13402061855670103</v>
      </c>
      <c r="E3" s="48">
        <f>Decomposition!I4</f>
        <v>9.7946852576546187E-2</v>
      </c>
      <c r="F3" s="47">
        <f t="shared" ref="F3:N4" si="1">$E3</f>
        <v>9.7946852576546187E-2</v>
      </c>
      <c r="G3" s="47">
        <f t="shared" si="1"/>
        <v>9.7946852576546187E-2</v>
      </c>
      <c r="H3" s="47">
        <f t="shared" si="1"/>
        <v>9.7946852576546187E-2</v>
      </c>
      <c r="I3" s="47">
        <f t="shared" si="1"/>
        <v>9.7946852576546187E-2</v>
      </c>
      <c r="J3" s="47">
        <f t="shared" si="1"/>
        <v>9.7946852576546187E-2</v>
      </c>
      <c r="K3" s="47">
        <f t="shared" si="1"/>
        <v>9.7946852576546187E-2</v>
      </c>
      <c r="L3" s="47">
        <f t="shared" si="1"/>
        <v>9.7946852576546187E-2</v>
      </c>
      <c r="M3" s="47">
        <f t="shared" si="1"/>
        <v>9.7946852576546187E-2</v>
      </c>
      <c r="N3" s="47">
        <f t="shared" si="1"/>
        <v>9.7946852576546187E-2</v>
      </c>
    </row>
    <row r="4" spans="1:15" x14ac:dyDescent="0.25">
      <c r="A4" s="23" t="s">
        <v>44</v>
      </c>
      <c r="B4" s="47">
        <f>Decomposition!F3</f>
        <v>0.31531531531531531</v>
      </c>
      <c r="C4" s="47">
        <f>Decomposition!G3</f>
        <v>0.30490956072351422</v>
      </c>
      <c r="D4" s="47">
        <f>Decomposition!H3</f>
        <v>0.28659793814432988</v>
      </c>
      <c r="E4" s="47">
        <f>Decomposition!I3</f>
        <v>0.34726611368048194</v>
      </c>
      <c r="F4" s="47">
        <f t="shared" si="1"/>
        <v>0.34726611368048194</v>
      </c>
      <c r="G4" s="47">
        <f t="shared" si="1"/>
        <v>0.34726611368048194</v>
      </c>
      <c r="H4" s="47">
        <f t="shared" si="1"/>
        <v>0.34726611368048194</v>
      </c>
      <c r="I4" s="47">
        <f t="shared" si="1"/>
        <v>0.34726611368048194</v>
      </c>
      <c r="J4" s="47">
        <f t="shared" si="1"/>
        <v>0.34726611368048194</v>
      </c>
      <c r="K4" s="47">
        <f t="shared" si="1"/>
        <v>0.34726611368048194</v>
      </c>
      <c r="L4" s="47">
        <f t="shared" si="1"/>
        <v>0.34726611368048194</v>
      </c>
      <c r="M4" s="47">
        <f t="shared" si="1"/>
        <v>0.34726611368048194</v>
      </c>
      <c r="N4" s="47">
        <f t="shared" si="1"/>
        <v>0.34726611368048194</v>
      </c>
    </row>
    <row r="5" spans="1:15" x14ac:dyDescent="0.25">
      <c r="A5" s="23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</row>
    <row r="6" spans="1:15" x14ac:dyDescent="0.25">
      <c r="A6" s="21" t="s">
        <v>136</v>
      </c>
      <c r="B6" t="s">
        <v>25</v>
      </c>
      <c r="C6" t="s">
        <v>26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 t="s">
        <v>103</v>
      </c>
      <c r="J6" t="s">
        <v>104</v>
      </c>
      <c r="K6" t="s">
        <v>105</v>
      </c>
      <c r="L6" t="s">
        <v>130</v>
      </c>
      <c r="M6" t="s">
        <v>131</v>
      </c>
      <c r="N6" t="s">
        <v>132</v>
      </c>
    </row>
    <row r="7" spans="1:15" x14ac:dyDescent="0.25">
      <c r="A7" s="23" t="s">
        <v>111</v>
      </c>
      <c r="B7" s="47">
        <f>Decomposition!E11</f>
        <v>0.47857142857142859</v>
      </c>
      <c r="C7" s="47">
        <f>Decomposition!F11</f>
        <v>0.56779661016949157</v>
      </c>
      <c r="D7" s="47">
        <f>Decomposition!G11</f>
        <v>0.61870503597122306</v>
      </c>
      <c r="E7" s="47">
        <f>Decomposition!H11</f>
        <v>0.64028776978417268</v>
      </c>
      <c r="F7" s="47">
        <f>E7</f>
        <v>0.64028776978417268</v>
      </c>
      <c r="G7" s="47">
        <f t="shared" ref="G7:N7" si="2">F7</f>
        <v>0.64028776978417268</v>
      </c>
      <c r="H7" s="47">
        <f t="shared" si="2"/>
        <v>0.64028776978417268</v>
      </c>
      <c r="I7" s="47">
        <f t="shared" si="2"/>
        <v>0.64028776978417268</v>
      </c>
      <c r="J7" s="47">
        <f t="shared" si="2"/>
        <v>0.64028776978417268</v>
      </c>
      <c r="K7" s="47">
        <f t="shared" si="2"/>
        <v>0.64028776978417268</v>
      </c>
      <c r="L7" s="47">
        <f t="shared" si="2"/>
        <v>0.64028776978417268</v>
      </c>
      <c r="M7" s="47">
        <f t="shared" si="2"/>
        <v>0.64028776978417268</v>
      </c>
      <c r="N7" s="47">
        <f t="shared" si="2"/>
        <v>0.64028776978417268</v>
      </c>
    </row>
    <row r="8" spans="1:15" x14ac:dyDescent="0.25">
      <c r="A8" s="23" t="s">
        <v>112</v>
      </c>
      <c r="B8" s="47">
        <f>Decomposition!E12</f>
        <v>0.20714285714285716</v>
      </c>
      <c r="C8" s="47">
        <f>Decomposition!F12</f>
        <v>0.16949152542372881</v>
      </c>
      <c r="D8" s="47">
        <f>Decomposition!G12</f>
        <v>4.3165467625899283E-2</v>
      </c>
      <c r="E8" s="47">
        <f>Decomposition!H12</f>
        <v>0</v>
      </c>
      <c r="F8" s="47">
        <f t="shared" ref="F8:N9" si="3">E8</f>
        <v>0</v>
      </c>
      <c r="G8" s="47">
        <f t="shared" si="3"/>
        <v>0</v>
      </c>
      <c r="H8" s="47">
        <f t="shared" si="3"/>
        <v>0</v>
      </c>
      <c r="I8" s="47">
        <f t="shared" si="3"/>
        <v>0</v>
      </c>
      <c r="J8" s="47">
        <f t="shared" si="3"/>
        <v>0</v>
      </c>
      <c r="K8" s="47">
        <f t="shared" si="3"/>
        <v>0</v>
      </c>
      <c r="L8" s="47">
        <f t="shared" si="3"/>
        <v>0</v>
      </c>
      <c r="M8" s="47">
        <f t="shared" si="3"/>
        <v>0</v>
      </c>
      <c r="N8" s="47">
        <f t="shared" si="3"/>
        <v>0</v>
      </c>
    </row>
    <row r="9" spans="1:15" x14ac:dyDescent="0.25">
      <c r="A9" s="23" t="s">
        <v>113</v>
      </c>
      <c r="B9" s="47">
        <f>Decomposition!E13</f>
        <v>0.31428571428571428</v>
      </c>
      <c r="C9" s="47">
        <f>Decomposition!F13</f>
        <v>0.26271186440677968</v>
      </c>
      <c r="D9" s="47">
        <f>Decomposition!G13</f>
        <v>0.33812949640287771</v>
      </c>
      <c r="E9" s="47">
        <f>Decomposition!H13</f>
        <v>0.35971223021582732</v>
      </c>
      <c r="F9" s="47">
        <f t="shared" si="3"/>
        <v>0.35971223021582732</v>
      </c>
      <c r="G9" s="47">
        <f t="shared" si="3"/>
        <v>0.35971223021582732</v>
      </c>
      <c r="H9" s="47">
        <f t="shared" si="3"/>
        <v>0.35971223021582732</v>
      </c>
      <c r="I9" s="47">
        <f t="shared" si="3"/>
        <v>0.35971223021582732</v>
      </c>
      <c r="J9" s="47">
        <f t="shared" si="3"/>
        <v>0.35971223021582732</v>
      </c>
      <c r="K9" s="47">
        <f t="shared" si="3"/>
        <v>0.35971223021582732</v>
      </c>
      <c r="L9" s="47">
        <f t="shared" si="3"/>
        <v>0.35971223021582732</v>
      </c>
      <c r="M9" s="47">
        <f t="shared" si="3"/>
        <v>0.35971223021582732</v>
      </c>
      <c r="N9" s="47">
        <f t="shared" si="3"/>
        <v>0.35971223021582732</v>
      </c>
    </row>
    <row r="10" spans="1:15" x14ac:dyDescent="0.25">
      <c r="A10" s="23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</row>
    <row r="11" spans="1:15" x14ac:dyDescent="0.25">
      <c r="A11" s="21" t="s">
        <v>158</v>
      </c>
      <c r="B11" t="s">
        <v>25</v>
      </c>
      <c r="C11" t="s">
        <v>26</v>
      </c>
      <c r="D11" t="s">
        <v>36</v>
      </c>
      <c r="E11" t="s">
        <v>37</v>
      </c>
      <c r="F11" t="s">
        <v>38</v>
      </c>
      <c r="G11" t="s">
        <v>39</v>
      </c>
      <c r="H11" t="s">
        <v>40</v>
      </c>
      <c r="I11" t="s">
        <v>103</v>
      </c>
      <c r="J11" t="s">
        <v>104</v>
      </c>
      <c r="K11" t="s">
        <v>105</v>
      </c>
      <c r="L11" t="s">
        <v>130</v>
      </c>
      <c r="M11" t="s">
        <v>131</v>
      </c>
      <c r="N11" t="s">
        <v>132</v>
      </c>
    </row>
    <row r="12" spans="1:15" x14ac:dyDescent="0.25">
      <c r="A12" s="23" t="s">
        <v>114</v>
      </c>
      <c r="B12" s="47">
        <f>Decomposition!B32</f>
        <v>0.73831775700934577</v>
      </c>
      <c r="C12" s="47">
        <f>Decomposition!C32</f>
        <v>0.78787878787878785</v>
      </c>
      <c r="D12" s="47">
        <f>Decomposition!D32</f>
        <v>0.77049180327868849</v>
      </c>
      <c r="E12" s="47">
        <f>D12</f>
        <v>0.77049180327868849</v>
      </c>
      <c r="F12" s="47">
        <f t="shared" ref="F12:N12" si="4">E12</f>
        <v>0.77049180327868849</v>
      </c>
      <c r="G12" s="47">
        <f t="shared" si="4"/>
        <v>0.77049180327868849</v>
      </c>
      <c r="H12" s="47">
        <f t="shared" si="4"/>
        <v>0.77049180327868849</v>
      </c>
      <c r="I12" s="47">
        <f t="shared" si="4"/>
        <v>0.77049180327868849</v>
      </c>
      <c r="J12" s="47">
        <f t="shared" si="4"/>
        <v>0.77049180327868849</v>
      </c>
      <c r="K12" s="47">
        <f t="shared" si="4"/>
        <v>0.77049180327868849</v>
      </c>
      <c r="L12" s="47">
        <f t="shared" si="4"/>
        <v>0.77049180327868849</v>
      </c>
      <c r="M12" s="47">
        <f t="shared" si="4"/>
        <v>0.77049180327868849</v>
      </c>
      <c r="N12" s="47">
        <f t="shared" si="4"/>
        <v>0.77049180327868849</v>
      </c>
    </row>
    <row r="13" spans="1:15" x14ac:dyDescent="0.25">
      <c r="A13" s="23" t="s">
        <v>115</v>
      </c>
      <c r="B13" s="47">
        <f>1-B12</f>
        <v>0.26168224299065423</v>
      </c>
      <c r="C13" s="47">
        <f t="shared" ref="C13:D13" si="5">1-C12</f>
        <v>0.21212121212121215</v>
      </c>
      <c r="D13" s="47">
        <f t="shared" si="5"/>
        <v>0.22950819672131151</v>
      </c>
      <c r="E13" s="47">
        <f>D13</f>
        <v>0.22950819672131151</v>
      </c>
      <c r="F13" s="47">
        <f t="shared" ref="F13:N13" si="6">E13</f>
        <v>0.22950819672131151</v>
      </c>
      <c r="G13" s="47">
        <f t="shared" si="6"/>
        <v>0.22950819672131151</v>
      </c>
      <c r="H13" s="47">
        <f t="shared" si="6"/>
        <v>0.22950819672131151</v>
      </c>
      <c r="I13" s="47">
        <f t="shared" si="6"/>
        <v>0.22950819672131151</v>
      </c>
      <c r="J13" s="47">
        <f t="shared" si="6"/>
        <v>0.22950819672131151</v>
      </c>
      <c r="K13" s="47">
        <f t="shared" si="6"/>
        <v>0.22950819672131151</v>
      </c>
      <c r="L13" s="47">
        <f t="shared" si="6"/>
        <v>0.22950819672131151</v>
      </c>
      <c r="M13" s="47">
        <f t="shared" si="6"/>
        <v>0.22950819672131151</v>
      </c>
      <c r="N13" s="47">
        <f t="shared" si="6"/>
        <v>0.22950819672131151</v>
      </c>
    </row>
    <row r="14" spans="1:15" x14ac:dyDescent="0.25">
      <c r="A14" s="23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</row>
    <row r="15" spans="1:15" x14ac:dyDescent="0.25">
      <c r="A15" s="21" t="s">
        <v>45</v>
      </c>
      <c r="C15" t="s">
        <v>25</v>
      </c>
      <c r="D15" t="s">
        <v>26</v>
      </c>
      <c r="E15" t="s">
        <v>36</v>
      </c>
      <c r="F15" t="s">
        <v>37</v>
      </c>
      <c r="G15" t="s">
        <v>38</v>
      </c>
      <c r="H15" t="s">
        <v>39</v>
      </c>
      <c r="I15" t="s">
        <v>40</v>
      </c>
      <c r="J15" t="s">
        <v>103</v>
      </c>
      <c r="K15" t="s">
        <v>104</v>
      </c>
      <c r="L15" t="s">
        <v>105</v>
      </c>
      <c r="M15" t="s">
        <v>130</v>
      </c>
      <c r="N15" t="s">
        <v>131</v>
      </c>
      <c r="O15" t="s">
        <v>132</v>
      </c>
    </row>
    <row r="16" spans="1:15" x14ac:dyDescent="0.25">
      <c r="A16" s="23" t="s">
        <v>12</v>
      </c>
      <c r="C16" s="24">
        <f>AVERAGE(C31:F31)</f>
        <v>0.26833333333333298</v>
      </c>
      <c r="D16" s="24">
        <f>AVERAGE(G31:J31)</f>
        <v>3.3891666666666627</v>
      </c>
      <c r="E16" s="24">
        <f>AVERAGE(K31:N31)</f>
        <v>4.9474999166666649</v>
      </c>
      <c r="F16" s="24">
        <f>AVERAGE(O31:R31)</f>
        <v>3.7</v>
      </c>
      <c r="G16" s="24">
        <f>AVERAGE(S31:V31)</f>
        <v>2.4500000000000002</v>
      </c>
      <c r="H16" s="24">
        <f>AVERAGE(W31:Z31)</f>
        <v>2.4500000000000002</v>
      </c>
      <c r="I16" s="24">
        <f>AVERAGE(AA31:AD31)</f>
        <v>2.4500000000000002</v>
      </c>
      <c r="J16" s="24">
        <f>AVERAGE(AE31:AH31)</f>
        <v>2.4500000000000002</v>
      </c>
      <c r="K16" s="24">
        <f>AVERAGE(AI31:AL31)</f>
        <v>2.4500000000000002</v>
      </c>
      <c r="L16" s="24">
        <f>AVERAGE(AM31:AP31)</f>
        <v>2.4500000000000002</v>
      </c>
      <c r="M16" s="24">
        <f>L16</f>
        <v>2.4500000000000002</v>
      </c>
      <c r="N16" s="24">
        <f t="shared" ref="N16:O16" si="7">M16</f>
        <v>2.4500000000000002</v>
      </c>
      <c r="O16" s="24">
        <f t="shared" si="7"/>
        <v>2.4500000000000002</v>
      </c>
    </row>
    <row r="17" spans="1:82" x14ac:dyDescent="0.25">
      <c r="A17" s="23" t="s">
        <v>13</v>
      </c>
      <c r="C17" s="24">
        <f>AVERAGE(C29:F29)</f>
        <v>1.994999999999995</v>
      </c>
      <c r="D17" s="24">
        <f>AVERAGE(G29:J29)</f>
        <v>3.0449999999999977</v>
      </c>
      <c r="E17" s="24">
        <f>AVERAGE(K29:N29)</f>
        <v>3.6431943333333328</v>
      </c>
      <c r="F17" s="24">
        <f>AVERAGE(O29:R29)</f>
        <v>3.5107837499999999</v>
      </c>
      <c r="G17" s="24">
        <f>AVERAGE(S29:V29)</f>
        <v>3.4899732500000002</v>
      </c>
      <c r="H17" s="24">
        <f>AVERAGE(W29:Z29)</f>
        <v>3.5</v>
      </c>
      <c r="I17" s="24">
        <f>AVERAGE(AA29:AD29)</f>
        <v>3.5</v>
      </c>
      <c r="J17" s="24">
        <f>AVERAGE(AE29:AH29)</f>
        <v>3.5</v>
      </c>
      <c r="K17" s="24">
        <f>AVERAGE(AI29:AL29)</f>
        <v>3.5</v>
      </c>
      <c r="L17" s="24">
        <f>AVERAGE(AM29:AP29)</f>
        <v>3.5</v>
      </c>
      <c r="M17" s="24">
        <f t="shared" ref="M17:O18" si="8">L17</f>
        <v>3.5</v>
      </c>
      <c r="N17" s="24">
        <f t="shared" si="8"/>
        <v>3.5</v>
      </c>
      <c r="O17" s="24">
        <f t="shared" si="8"/>
        <v>3.5</v>
      </c>
    </row>
    <row r="18" spans="1:82" x14ac:dyDescent="0.25">
      <c r="A18" s="23" t="s">
        <v>14</v>
      </c>
      <c r="C18" s="24">
        <f>AVERAGE(C30:F30)</f>
        <v>1.6149999999999975</v>
      </c>
      <c r="D18" s="24">
        <f>AVERAGE(G30:J30)</f>
        <v>3.0358333333333301</v>
      </c>
      <c r="E18" s="24">
        <f>AVERAGE(K30:N30)</f>
        <v>3.4406943333333322</v>
      </c>
      <c r="F18" s="24">
        <f>AVERAGE(O30:R30)</f>
        <v>3.3041892500000003</v>
      </c>
      <c r="G18" s="24">
        <f>AVERAGE(S30:V30)</f>
        <v>3.2494407499999998</v>
      </c>
      <c r="H18" s="24">
        <f>AVERAGE(W30:Z30)</f>
        <v>3.25</v>
      </c>
      <c r="I18" s="24">
        <f>AVERAGE(AA30:AD30)</f>
        <v>3.25</v>
      </c>
      <c r="J18" s="24">
        <f>AVERAGE(AE30:AH30)</f>
        <v>3.25</v>
      </c>
      <c r="K18" s="24">
        <f>AVERAGE(AI30:AL30)</f>
        <v>3.25</v>
      </c>
      <c r="L18" s="24">
        <f>AVERAGE(AM30:AP30)</f>
        <v>3.25</v>
      </c>
      <c r="M18" s="24">
        <f t="shared" si="8"/>
        <v>3.25</v>
      </c>
      <c r="N18" s="24">
        <f t="shared" si="8"/>
        <v>3.25</v>
      </c>
      <c r="O18" s="24">
        <f t="shared" si="8"/>
        <v>3.25</v>
      </c>
    </row>
    <row r="19" spans="1:82" x14ac:dyDescent="0.25">
      <c r="A19" s="21"/>
    </row>
    <row r="20" spans="1:82" s="49" customFormat="1" x14ac:dyDescent="0.25">
      <c r="A20" s="49" t="s">
        <v>46</v>
      </c>
      <c r="C20" s="49">
        <f>0.6*C18+0.4*C16</f>
        <v>1.0763333333333318</v>
      </c>
      <c r="D20" s="49">
        <f>0.6*D18+0.4*D16</f>
        <v>3.1771666666666629</v>
      </c>
      <c r="E20" s="49">
        <f>0.6*E18+0.4*E16</f>
        <v>4.0434165666666653</v>
      </c>
      <c r="F20" s="49">
        <f>0.6*F18+0.4*F16</f>
        <v>3.4625135500000006</v>
      </c>
      <c r="G20" s="49">
        <f t="shared" ref="G20:O20" si="9">0.6*G18+0.4*G16</f>
        <v>2.9296644499999998</v>
      </c>
      <c r="H20" s="49">
        <f t="shared" si="9"/>
        <v>2.93</v>
      </c>
      <c r="I20" s="49">
        <f t="shared" si="9"/>
        <v>2.93</v>
      </c>
      <c r="J20" s="49">
        <f t="shared" si="9"/>
        <v>2.93</v>
      </c>
      <c r="K20" s="49">
        <f t="shared" si="9"/>
        <v>2.93</v>
      </c>
      <c r="L20" s="49">
        <f t="shared" si="9"/>
        <v>2.93</v>
      </c>
      <c r="M20" s="49">
        <f t="shared" si="9"/>
        <v>2.93</v>
      </c>
      <c r="N20" s="49">
        <f t="shared" si="9"/>
        <v>2.93</v>
      </c>
      <c r="O20" s="49">
        <f t="shared" si="9"/>
        <v>2.93</v>
      </c>
    </row>
    <row r="21" spans="1:82" s="23" customFormat="1" x14ac:dyDescent="0.25">
      <c r="A21" s="23" t="s">
        <v>47</v>
      </c>
      <c r="C21" s="49">
        <f>B$2*C16+B$3*C17+B$4*C20</f>
        <v>0.97810810810810611</v>
      </c>
      <c r="D21" s="49">
        <f>C$2*D16+C$3*D17+C$4*D20</f>
        <v>3.2570732127476281</v>
      </c>
      <c r="E21" s="49">
        <f>D$2*E16+D$3*E17+D$4*E20</f>
        <v>4.5135876515807549</v>
      </c>
      <c r="F21" s="49">
        <f>$E$2*F16+$E$3*F17+$E$4*F20</f>
        <v>3.5989958673128895</v>
      </c>
      <c r="G21" s="49">
        <f t="shared" ref="G21:N21" si="10">$E$2*G16+$E$3*G17+$E$4*G20</f>
        <v>2.7184333160234875</v>
      </c>
      <c r="H21" s="49">
        <f t="shared" si="10"/>
        <v>2.7195319297720051</v>
      </c>
      <c r="I21" s="49">
        <f t="shared" si="10"/>
        <v>2.7195319297720051</v>
      </c>
      <c r="J21" s="49">
        <f t="shared" si="10"/>
        <v>2.7195319297720051</v>
      </c>
      <c r="K21" s="49">
        <f t="shared" si="10"/>
        <v>2.7195319297720051</v>
      </c>
      <c r="L21" s="49">
        <f t="shared" si="10"/>
        <v>2.7195319297720051</v>
      </c>
      <c r="M21" s="49">
        <f t="shared" si="10"/>
        <v>2.7195319297720051</v>
      </c>
      <c r="N21" s="49">
        <f t="shared" si="10"/>
        <v>2.7195319297720051</v>
      </c>
      <c r="O21" s="49">
        <f>$E$2*O16+$E$3*O17+$E$4*O20</f>
        <v>2.7195319297720051</v>
      </c>
    </row>
    <row r="22" spans="1:82" x14ac:dyDescent="0.25">
      <c r="A22" s="21"/>
    </row>
    <row r="25" spans="1:82" x14ac:dyDescent="0.25">
      <c r="A25" s="21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  <c r="CC25" s="52"/>
      <c r="CD25" s="52"/>
    </row>
    <row r="26" spans="1:82" x14ac:dyDescent="0.25">
      <c r="A26" s="21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  <c r="BR26" s="52"/>
      <c r="BS26" s="52"/>
      <c r="BT26" s="52"/>
      <c r="BU26" s="52"/>
      <c r="BV26" s="52"/>
      <c r="BW26" s="52"/>
      <c r="BX26" s="52"/>
      <c r="BY26" s="52"/>
      <c r="BZ26" s="52"/>
      <c r="CA26" s="52"/>
      <c r="CB26" s="52"/>
      <c r="CC26" s="52"/>
      <c r="CD26" s="52"/>
    </row>
    <row r="27" spans="1:82" x14ac:dyDescent="0.25">
      <c r="A27" s="21" t="s">
        <v>15</v>
      </c>
    </row>
    <row r="28" spans="1:82" s="19" customFormat="1" x14ac:dyDescent="0.25">
      <c r="A28" s="22"/>
      <c r="B28" s="19" t="s">
        <v>11</v>
      </c>
      <c r="C28" s="19">
        <v>44287</v>
      </c>
      <c r="D28" s="19">
        <v>44378</v>
      </c>
      <c r="E28" s="19">
        <v>44470</v>
      </c>
      <c r="F28" s="19">
        <v>44562</v>
      </c>
      <c r="G28" s="19">
        <v>44652</v>
      </c>
      <c r="H28" s="19">
        <v>44743</v>
      </c>
      <c r="I28" s="19">
        <v>44835</v>
      </c>
      <c r="J28" s="19">
        <v>44927</v>
      </c>
      <c r="K28" s="19">
        <v>45017</v>
      </c>
      <c r="L28" s="19">
        <v>45108</v>
      </c>
      <c r="M28" s="19">
        <v>45200</v>
      </c>
      <c r="N28" s="19">
        <v>45292</v>
      </c>
      <c r="O28" s="19">
        <v>45383</v>
      </c>
      <c r="P28" s="19">
        <v>45474</v>
      </c>
      <c r="Q28" s="19">
        <v>45566</v>
      </c>
      <c r="R28" s="19">
        <v>45658</v>
      </c>
      <c r="S28" s="19">
        <v>45748</v>
      </c>
      <c r="T28" s="19">
        <v>45839</v>
      </c>
      <c r="U28" s="19">
        <v>45931</v>
      </c>
      <c r="V28" s="19">
        <v>46023</v>
      </c>
      <c r="W28" s="19">
        <v>46113</v>
      </c>
      <c r="X28" s="19">
        <v>46204</v>
      </c>
      <c r="Y28" s="19">
        <v>46296</v>
      </c>
      <c r="Z28" s="19">
        <v>46388</v>
      </c>
      <c r="AA28" s="19">
        <v>46478</v>
      </c>
      <c r="AB28" s="19">
        <v>46569</v>
      </c>
      <c r="AC28" s="19">
        <v>46661</v>
      </c>
      <c r="AD28" s="19">
        <v>46753</v>
      </c>
      <c r="AE28" s="19">
        <v>46844</v>
      </c>
      <c r="AF28" s="19">
        <v>46935</v>
      </c>
      <c r="AG28" s="19">
        <v>47027</v>
      </c>
      <c r="AH28" s="19">
        <v>47119</v>
      </c>
      <c r="AI28" s="19">
        <v>47209</v>
      </c>
      <c r="AJ28" s="19">
        <v>47300</v>
      </c>
      <c r="AK28" s="19">
        <v>47392</v>
      </c>
      <c r="AL28" s="19">
        <v>47484</v>
      </c>
      <c r="AM28" s="19">
        <v>47574</v>
      </c>
      <c r="AN28" s="19">
        <v>47665</v>
      </c>
      <c r="AO28" s="19">
        <v>47757</v>
      </c>
      <c r="AP28" s="19">
        <v>47849</v>
      </c>
      <c r="AQ28" s="19">
        <v>47939</v>
      </c>
      <c r="AR28" s="19">
        <v>48030</v>
      </c>
      <c r="AS28" s="19">
        <v>48122</v>
      </c>
    </row>
    <row r="29" spans="1:82" s="24" customFormat="1" x14ac:dyDescent="0.25">
      <c r="A29" s="25" t="s">
        <v>13</v>
      </c>
      <c r="B29" s="24" t="s">
        <v>16</v>
      </c>
      <c r="C29">
        <v>1.9833333333333301</v>
      </c>
      <c r="D29">
        <v>1.8433333333333299</v>
      </c>
      <c r="E29">
        <v>1.9166666666666601</v>
      </c>
      <c r="F29">
        <v>2.2366666666666601</v>
      </c>
      <c r="G29">
        <v>2.92</v>
      </c>
      <c r="H29">
        <v>2.94</v>
      </c>
      <c r="I29">
        <v>3.2366666666666601</v>
      </c>
      <c r="J29">
        <v>3.0833333333333299</v>
      </c>
      <c r="K29">
        <v>3.0733333333333301</v>
      </c>
      <c r="L29">
        <v>3.523333</v>
      </c>
      <c r="M29">
        <v>4.0599999999999996</v>
      </c>
      <c r="N29">
        <v>3.9161109999999999</v>
      </c>
      <c r="O29">
        <v>3.8627280000000002</v>
      </c>
      <c r="P29">
        <v>3.3643749999999999</v>
      </c>
      <c r="Q29">
        <v>3.3921000000000001</v>
      </c>
      <c r="R29">
        <v>3.4239320000000002</v>
      </c>
      <c r="S29">
        <v>3.4598930000000001</v>
      </c>
      <c r="T29">
        <v>3.5</v>
      </c>
      <c r="U29">
        <v>3.5</v>
      </c>
      <c r="V29">
        <v>3.5</v>
      </c>
      <c r="W29">
        <v>3.5</v>
      </c>
      <c r="X29">
        <v>3.5</v>
      </c>
      <c r="Y29">
        <v>3.5</v>
      </c>
      <c r="Z29">
        <v>3.5</v>
      </c>
      <c r="AA29">
        <v>3.5</v>
      </c>
      <c r="AB29">
        <v>3.5</v>
      </c>
      <c r="AC29">
        <v>3.5</v>
      </c>
      <c r="AD29">
        <v>3.5</v>
      </c>
      <c r="AE29">
        <v>3.5</v>
      </c>
      <c r="AF29">
        <v>3.5</v>
      </c>
      <c r="AG29">
        <v>3.5</v>
      </c>
      <c r="AH29">
        <v>3.5</v>
      </c>
      <c r="AI29">
        <v>3.5</v>
      </c>
      <c r="AJ29">
        <v>3.5</v>
      </c>
      <c r="AK29">
        <v>3.5</v>
      </c>
      <c r="AL29">
        <v>3.5</v>
      </c>
      <c r="AM29">
        <v>3.5</v>
      </c>
      <c r="AN29">
        <v>3.5</v>
      </c>
      <c r="AO29">
        <v>3.5</v>
      </c>
      <c r="AP29">
        <v>3.5</v>
      </c>
      <c r="AQ29">
        <v>3.5</v>
      </c>
      <c r="AR29">
        <v>3.5</v>
      </c>
      <c r="AS29">
        <v>3.5</v>
      </c>
    </row>
    <row r="30" spans="1:82" s="24" customFormat="1" x14ac:dyDescent="0.25">
      <c r="A30" s="25" t="s">
        <v>14</v>
      </c>
      <c r="B30" s="24" t="s">
        <v>17</v>
      </c>
      <c r="C30">
        <v>1.4566666666666599</v>
      </c>
      <c r="D30">
        <v>1.31</v>
      </c>
      <c r="E30">
        <v>1.61333333333333</v>
      </c>
      <c r="F30">
        <v>2.08</v>
      </c>
      <c r="G30">
        <v>2.95</v>
      </c>
      <c r="H30">
        <v>2.9866666666666601</v>
      </c>
      <c r="I30">
        <v>3.1766666666666601</v>
      </c>
      <c r="J30">
        <v>3.03</v>
      </c>
      <c r="K30">
        <v>3.0833333333333299</v>
      </c>
      <c r="L30">
        <v>3.7033330000000002</v>
      </c>
      <c r="M30">
        <v>3.56</v>
      </c>
      <c r="N30">
        <v>3.4161109999999999</v>
      </c>
      <c r="O30">
        <v>3.3627280000000002</v>
      </c>
      <c r="P30">
        <v>3.3154970000000001</v>
      </c>
      <c r="Q30">
        <v>3.2805629999999999</v>
      </c>
      <c r="R30">
        <v>3.2579690000000001</v>
      </c>
      <c r="S30">
        <v>3.247763</v>
      </c>
      <c r="T30">
        <v>3.25</v>
      </c>
      <c r="U30">
        <v>3.25</v>
      </c>
      <c r="V30">
        <v>3.25</v>
      </c>
      <c r="W30">
        <v>3.25</v>
      </c>
      <c r="X30">
        <v>3.25</v>
      </c>
      <c r="Y30">
        <v>3.25</v>
      </c>
      <c r="Z30">
        <v>3.25</v>
      </c>
      <c r="AA30">
        <v>3.25</v>
      </c>
      <c r="AB30">
        <v>3.25</v>
      </c>
      <c r="AC30">
        <v>3.25</v>
      </c>
      <c r="AD30">
        <v>3.25</v>
      </c>
      <c r="AE30">
        <v>3.25</v>
      </c>
      <c r="AF30">
        <v>3.25</v>
      </c>
      <c r="AG30">
        <v>3.25</v>
      </c>
      <c r="AH30">
        <v>3.25</v>
      </c>
      <c r="AI30">
        <v>3.25</v>
      </c>
      <c r="AJ30">
        <v>3.25</v>
      </c>
      <c r="AK30">
        <v>3.25</v>
      </c>
      <c r="AL30">
        <v>3.25</v>
      </c>
      <c r="AM30">
        <v>3.25</v>
      </c>
      <c r="AN30">
        <v>3.25</v>
      </c>
      <c r="AO30">
        <v>3.25</v>
      </c>
      <c r="AP30">
        <v>3.25</v>
      </c>
      <c r="AQ30">
        <v>3.25</v>
      </c>
      <c r="AR30">
        <v>3.25</v>
      </c>
      <c r="AS30">
        <v>3.25</v>
      </c>
    </row>
    <row r="31" spans="1:82" s="24" customFormat="1" x14ac:dyDescent="0.25">
      <c r="A31" s="25" t="s">
        <v>12</v>
      </c>
      <c r="B31" s="24" t="s">
        <v>18</v>
      </c>
      <c r="C31">
        <v>0.116666666666666</v>
      </c>
      <c r="D31">
        <v>0.17</v>
      </c>
      <c r="E31">
        <v>0.15</v>
      </c>
      <c r="F31">
        <v>0.63666666666666605</v>
      </c>
      <c r="G31">
        <v>1.6566666666666601</v>
      </c>
      <c r="H31">
        <v>3.2233333333333301</v>
      </c>
      <c r="I31">
        <v>4.2</v>
      </c>
      <c r="J31">
        <v>4.4766666666666604</v>
      </c>
      <c r="K31">
        <v>4.6466666666666603</v>
      </c>
      <c r="L31">
        <v>5.1133329999999999</v>
      </c>
      <c r="M31">
        <v>5.08</v>
      </c>
      <c r="N31">
        <v>4.95</v>
      </c>
      <c r="O31">
        <v>4.45</v>
      </c>
      <c r="P31">
        <v>3.95</v>
      </c>
      <c r="Q31">
        <v>3.45</v>
      </c>
      <c r="R31">
        <v>2.95</v>
      </c>
      <c r="S31">
        <v>2.4500000000000002</v>
      </c>
      <c r="T31">
        <v>2.4500000000000002</v>
      </c>
      <c r="U31">
        <v>2.4500000000000002</v>
      </c>
      <c r="V31">
        <v>2.4500000000000002</v>
      </c>
      <c r="W31">
        <v>2.4500000000000002</v>
      </c>
      <c r="X31">
        <v>2.4500000000000002</v>
      </c>
      <c r="Y31">
        <v>2.4500000000000002</v>
      </c>
      <c r="Z31">
        <v>2.4500000000000002</v>
      </c>
      <c r="AA31">
        <v>2.4500000000000002</v>
      </c>
      <c r="AB31">
        <v>2.4500000000000002</v>
      </c>
      <c r="AC31">
        <v>2.4500000000000002</v>
      </c>
      <c r="AD31">
        <v>2.4500000000000002</v>
      </c>
      <c r="AE31">
        <v>2.4500000000000002</v>
      </c>
      <c r="AF31">
        <v>2.4500000000000002</v>
      </c>
      <c r="AG31">
        <v>2.4500000000000002</v>
      </c>
      <c r="AH31">
        <v>2.4500000000000002</v>
      </c>
      <c r="AI31">
        <v>2.4500000000000002</v>
      </c>
      <c r="AJ31">
        <v>2.4500000000000002</v>
      </c>
      <c r="AK31">
        <v>2.4500000000000002</v>
      </c>
      <c r="AL31">
        <v>2.4500000000000002</v>
      </c>
      <c r="AM31">
        <v>2.4500000000000002</v>
      </c>
      <c r="AN31">
        <v>2.4500000000000002</v>
      </c>
      <c r="AO31">
        <v>2.4500000000000002</v>
      </c>
      <c r="AP31">
        <v>2.4500000000000002</v>
      </c>
      <c r="AQ31">
        <v>2.4500000000000002</v>
      </c>
      <c r="AR31">
        <v>2.4500000000000002</v>
      </c>
      <c r="AS31">
        <v>2.4500000000000002</v>
      </c>
    </row>
    <row r="34" spans="1:82" x14ac:dyDescent="0.25">
      <c r="E34" t="s">
        <v>49</v>
      </c>
    </row>
    <row r="35" spans="1:82" x14ac:dyDescent="0.25">
      <c r="F35" t="s">
        <v>26</v>
      </c>
      <c r="G35" t="s">
        <v>36</v>
      </c>
      <c r="H35" t="s">
        <v>37</v>
      </c>
      <c r="I35" t="s">
        <v>38</v>
      </c>
      <c r="J35" t="s">
        <v>39</v>
      </c>
      <c r="K35" t="s">
        <v>40</v>
      </c>
    </row>
    <row r="36" spans="1:82" x14ac:dyDescent="0.25">
      <c r="E36" t="s">
        <v>42</v>
      </c>
      <c r="F36" s="24">
        <v>0.82499999999999996</v>
      </c>
      <c r="G36" s="24">
        <v>1.7833332499999999</v>
      </c>
      <c r="H36" s="24">
        <v>2.2000000000000002</v>
      </c>
      <c r="I36" s="24">
        <v>2.2000000000000002</v>
      </c>
      <c r="J36" s="24">
        <v>2.2000000000000002</v>
      </c>
      <c r="K36" s="24">
        <v>2.2000000000000002</v>
      </c>
    </row>
    <row r="37" spans="1:82" s="20" customFormat="1" x14ac:dyDescent="0.25">
      <c r="E37" s="20" t="s">
        <v>50</v>
      </c>
      <c r="F37" s="24">
        <v>2.3331702500000002</v>
      </c>
      <c r="G37" s="24">
        <v>2.8973732500000002</v>
      </c>
      <c r="H37" s="24">
        <v>3.25</v>
      </c>
      <c r="I37" s="24">
        <v>3.25</v>
      </c>
      <c r="J37" s="24">
        <v>3.25</v>
      </c>
      <c r="K37" s="24">
        <v>3.25</v>
      </c>
    </row>
    <row r="38" spans="1:82" s="20" customFormat="1" x14ac:dyDescent="0.25">
      <c r="E38" s="20" t="s">
        <v>51</v>
      </c>
      <c r="F38" s="24">
        <v>2.1525924999999999</v>
      </c>
      <c r="G38" s="24">
        <v>2.6740742500000003</v>
      </c>
      <c r="H38" s="24">
        <v>3</v>
      </c>
      <c r="I38" s="24">
        <v>3</v>
      </c>
      <c r="J38" s="24">
        <v>3</v>
      </c>
      <c r="K38" s="24">
        <v>3</v>
      </c>
    </row>
    <row r="39" spans="1:82" s="20" customFormat="1" x14ac:dyDescent="0.25"/>
    <row r="40" spans="1:82" x14ac:dyDescent="0.25">
      <c r="A40" s="20"/>
      <c r="C40" s="20"/>
      <c r="D40" s="20"/>
      <c r="E40" s="24" t="s">
        <v>52</v>
      </c>
      <c r="F40" s="24">
        <f>0.6*F38+0.4*F36</f>
        <v>1.6215554999999999</v>
      </c>
      <c r="G40" s="24">
        <f t="shared" ref="G40:K40" si="11">0.6*G38+0.4*G36</f>
        <v>2.3177778500000001</v>
      </c>
      <c r="H40" s="24">
        <f t="shared" si="11"/>
        <v>2.6799999999999997</v>
      </c>
      <c r="I40" s="24">
        <f t="shared" si="11"/>
        <v>2.6799999999999997</v>
      </c>
      <c r="J40" s="24">
        <f t="shared" si="11"/>
        <v>2.6799999999999997</v>
      </c>
      <c r="K40" s="24">
        <f t="shared" si="11"/>
        <v>2.6799999999999997</v>
      </c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</row>
    <row r="41" spans="1:82" x14ac:dyDescent="0.25">
      <c r="A41" s="20"/>
      <c r="E41" s="24" t="s">
        <v>53</v>
      </c>
      <c r="F41" s="24">
        <f t="shared" ref="F41:K41" si="12">$B$2*F36+$B$3*F37+$B$4*F40</f>
        <v>1.4735893902027026</v>
      </c>
      <c r="G41" s="24">
        <f t="shared" si="12"/>
        <v>2.2454164121621618</v>
      </c>
      <c r="H41" s="24">
        <f t="shared" si="12"/>
        <v>2.6280405405405403</v>
      </c>
      <c r="I41" s="24">
        <f t="shared" si="12"/>
        <v>2.6280405405405403</v>
      </c>
      <c r="J41" s="24">
        <f t="shared" si="12"/>
        <v>2.6280405405405403</v>
      </c>
      <c r="K41" s="24">
        <f t="shared" si="12"/>
        <v>2.6280405405405403</v>
      </c>
    </row>
    <row r="43" spans="1:82" x14ac:dyDescent="0.25">
      <c r="A43" s="20"/>
    </row>
    <row r="44" spans="1:82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</row>
    <row r="45" spans="1:82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</row>
    <row r="46" spans="1:82" x14ac:dyDescent="0.25">
      <c r="A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spans="1:82" x14ac:dyDescent="0.25">
      <c r="A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</row>
    <row r="48" spans="1:82" x14ac:dyDescent="0.25">
      <c r="A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</row>
    <row r="49" spans="1:14" x14ac:dyDescent="0.25">
      <c r="A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</row>
    <row r="54" spans="1:14" s="25" customFormat="1" x14ac:dyDescent="0.25"/>
    <row r="58" spans="1:14" x14ac:dyDescent="0.25">
      <c r="C58">
        <v>1.9833333333333301</v>
      </c>
      <c r="D58">
        <v>1.4566666666666599</v>
      </c>
      <c r="E58">
        <v>0.116666666666666</v>
      </c>
      <c r="K58" t="s">
        <v>16</v>
      </c>
      <c r="L58" t="s">
        <v>17</v>
      </c>
      <c r="M58" t="s">
        <v>18</v>
      </c>
    </row>
    <row r="59" spans="1:14" x14ac:dyDescent="0.25">
      <c r="C59">
        <v>1.8433333333333299</v>
      </c>
      <c r="D59">
        <v>1.31</v>
      </c>
      <c r="E59">
        <v>0.17</v>
      </c>
      <c r="J59" t="s">
        <v>72</v>
      </c>
      <c r="K59">
        <v>2.92</v>
      </c>
      <c r="L59">
        <v>2.95</v>
      </c>
      <c r="M59">
        <v>1.6566666666666601</v>
      </c>
    </row>
    <row r="60" spans="1:14" x14ac:dyDescent="0.25">
      <c r="C60">
        <v>1.9166666666666601</v>
      </c>
      <c r="D60">
        <v>1.61333333333333</v>
      </c>
      <c r="E60">
        <v>0.15</v>
      </c>
      <c r="J60" t="s">
        <v>73</v>
      </c>
      <c r="K60">
        <v>2.94</v>
      </c>
      <c r="L60">
        <v>2.9866666666666601</v>
      </c>
      <c r="M60">
        <v>3.2233333333333301</v>
      </c>
    </row>
    <row r="61" spans="1:14" x14ac:dyDescent="0.25">
      <c r="C61">
        <v>2.2366666666666601</v>
      </c>
      <c r="D61">
        <v>2.08</v>
      </c>
      <c r="E61">
        <v>0.63666666666666605</v>
      </c>
      <c r="J61" t="s">
        <v>74</v>
      </c>
      <c r="K61">
        <v>3.2366670000000002</v>
      </c>
      <c r="L61">
        <v>3.1766670000000001</v>
      </c>
      <c r="M61">
        <v>4.2</v>
      </c>
    </row>
    <row r="62" spans="1:14" x14ac:dyDescent="0.25">
      <c r="C62">
        <v>2.92</v>
      </c>
      <c r="D62">
        <v>2.95</v>
      </c>
      <c r="E62">
        <v>1.6566666666666601</v>
      </c>
      <c r="J62" t="s">
        <v>75</v>
      </c>
      <c r="K62">
        <v>3.3639489999999999</v>
      </c>
      <c r="L62">
        <v>3.1856810000000002</v>
      </c>
      <c r="M62">
        <v>4.4085710000000002</v>
      </c>
    </row>
    <row r="63" spans="1:14" x14ac:dyDescent="0.25">
      <c r="C63">
        <v>2.94</v>
      </c>
      <c r="D63">
        <v>2.9866666666666601</v>
      </c>
      <c r="E63">
        <v>3.2233333333333301</v>
      </c>
      <c r="J63" t="s">
        <v>76</v>
      </c>
      <c r="K63">
        <v>3.5744039999999999</v>
      </c>
      <c r="L63">
        <v>3.4733740000000002</v>
      </c>
      <c r="M63">
        <v>4.45</v>
      </c>
    </row>
    <row r="64" spans="1:14" x14ac:dyDescent="0.25">
      <c r="C64">
        <v>3.2366666666666601</v>
      </c>
      <c r="D64">
        <v>3.1766666666666601</v>
      </c>
      <c r="E64">
        <v>4.2</v>
      </c>
      <c r="J64" t="s">
        <v>77</v>
      </c>
      <c r="K64">
        <v>3.557887</v>
      </c>
      <c r="L64">
        <v>3.4237600000000001</v>
      </c>
      <c r="M64">
        <v>4.45</v>
      </c>
    </row>
    <row r="65" spans="3:13" x14ac:dyDescent="0.25">
      <c r="C65">
        <v>3.0833333333333299</v>
      </c>
      <c r="D65">
        <v>3.03</v>
      </c>
      <c r="E65">
        <v>4.4766666666666604</v>
      </c>
      <c r="J65" t="s">
        <v>78</v>
      </c>
      <c r="K65">
        <v>3.5413730000000001</v>
      </c>
      <c r="L65">
        <v>3.3741699999999999</v>
      </c>
      <c r="M65">
        <v>4.45</v>
      </c>
    </row>
    <row r="66" spans="3:13" x14ac:dyDescent="0.25">
      <c r="C66">
        <v>3.0733333333333301</v>
      </c>
      <c r="D66">
        <v>3.0833333333333299</v>
      </c>
      <c r="E66">
        <v>4.6466666666666603</v>
      </c>
      <c r="J66" t="s">
        <v>79</v>
      </c>
      <c r="K66">
        <v>3.5248620000000002</v>
      </c>
      <c r="L66">
        <v>3.3246039999999999</v>
      </c>
      <c r="M66">
        <v>3.95</v>
      </c>
    </row>
    <row r="67" spans="3:13" x14ac:dyDescent="0.25">
      <c r="C67">
        <v>3.523333</v>
      </c>
      <c r="D67">
        <v>3.7033330000000002</v>
      </c>
      <c r="E67">
        <v>5.1133329999999999</v>
      </c>
      <c r="J67" t="s">
        <v>80</v>
      </c>
      <c r="K67">
        <v>3.5124499999999999</v>
      </c>
      <c r="L67">
        <v>3.2873549999999998</v>
      </c>
      <c r="M67">
        <v>3.45</v>
      </c>
    </row>
    <row r="68" spans="3:13" x14ac:dyDescent="0.25">
      <c r="C68">
        <v>3.5825650000000002</v>
      </c>
      <c r="D68">
        <v>3.7313529999999999</v>
      </c>
      <c r="E68">
        <v>4.95</v>
      </c>
      <c r="J68" t="s">
        <v>81</v>
      </c>
      <c r="K68">
        <v>3.5041570000000002</v>
      </c>
      <c r="L68">
        <v>3.26247</v>
      </c>
      <c r="M68">
        <v>2.95</v>
      </c>
    </row>
    <row r="69" spans="3:13" x14ac:dyDescent="0.25">
      <c r="C69">
        <v>3.5619670000000001</v>
      </c>
      <c r="D69">
        <v>3.552743</v>
      </c>
      <c r="E69">
        <v>4.95</v>
      </c>
      <c r="J69" t="s">
        <v>82</v>
      </c>
      <c r="K69">
        <v>3.5</v>
      </c>
      <c r="L69">
        <v>3.25</v>
      </c>
      <c r="M69">
        <v>2.4500000000000002</v>
      </c>
    </row>
    <row r="70" spans="3:13" x14ac:dyDescent="0.25">
      <c r="C70">
        <v>3.5413730000000001</v>
      </c>
      <c r="D70">
        <v>3.3741699999999999</v>
      </c>
      <c r="E70">
        <v>4.45</v>
      </c>
      <c r="J70" t="s">
        <v>83</v>
      </c>
      <c r="K70">
        <v>3.5</v>
      </c>
      <c r="L70">
        <v>3.25</v>
      </c>
      <c r="M70">
        <v>2.4500000000000002</v>
      </c>
    </row>
    <row r="71" spans="3:13" x14ac:dyDescent="0.25">
      <c r="C71">
        <v>3.5248620000000002</v>
      </c>
      <c r="D71">
        <v>3.3246039999999999</v>
      </c>
      <c r="E71">
        <v>3.95</v>
      </c>
      <c r="J71" t="s">
        <v>84</v>
      </c>
      <c r="K71">
        <v>3.5</v>
      </c>
      <c r="L71">
        <v>3.25</v>
      </c>
      <c r="M71">
        <v>2.4500000000000002</v>
      </c>
    </row>
    <row r="72" spans="3:13" x14ac:dyDescent="0.25">
      <c r="C72">
        <v>3.5124499999999999</v>
      </c>
      <c r="D72">
        <v>3.2873549999999998</v>
      </c>
      <c r="E72">
        <v>3.45</v>
      </c>
      <c r="J72" t="s">
        <v>85</v>
      </c>
      <c r="K72">
        <v>3.5</v>
      </c>
      <c r="L72">
        <v>3.25</v>
      </c>
      <c r="M72">
        <v>2.4500000000000002</v>
      </c>
    </row>
    <row r="73" spans="3:13" x14ac:dyDescent="0.25">
      <c r="C73">
        <v>3.5041570000000002</v>
      </c>
      <c r="D73">
        <v>3.26247</v>
      </c>
      <c r="E73">
        <v>2.95</v>
      </c>
      <c r="J73" t="s">
        <v>86</v>
      </c>
      <c r="K73">
        <v>3.5</v>
      </c>
      <c r="L73">
        <v>3.25</v>
      </c>
      <c r="M73">
        <v>2.4500000000000002</v>
      </c>
    </row>
    <row r="74" spans="3:13" x14ac:dyDescent="0.25">
      <c r="C74">
        <v>3.5</v>
      </c>
      <c r="D74">
        <v>3.25</v>
      </c>
      <c r="E74">
        <v>2.4500000000000002</v>
      </c>
      <c r="J74" t="s">
        <v>87</v>
      </c>
      <c r="K74">
        <v>3.5</v>
      </c>
      <c r="L74">
        <v>3.25</v>
      </c>
      <c r="M74">
        <v>2.4500000000000002</v>
      </c>
    </row>
    <row r="75" spans="3:13" x14ac:dyDescent="0.25">
      <c r="C75">
        <v>3.5</v>
      </c>
      <c r="D75">
        <v>3.25</v>
      </c>
      <c r="E75">
        <v>2.4500000000000002</v>
      </c>
      <c r="J75" t="s">
        <v>88</v>
      </c>
      <c r="K75">
        <v>3.5</v>
      </c>
      <c r="L75">
        <v>3.25</v>
      </c>
      <c r="M75">
        <v>2.4500000000000002</v>
      </c>
    </row>
    <row r="76" spans="3:13" x14ac:dyDescent="0.25">
      <c r="C76">
        <v>3.5</v>
      </c>
      <c r="D76">
        <v>3.25</v>
      </c>
      <c r="E76">
        <v>2.4500000000000002</v>
      </c>
      <c r="J76" t="s">
        <v>89</v>
      </c>
      <c r="K76">
        <v>3.5</v>
      </c>
      <c r="L76">
        <v>3.25</v>
      </c>
      <c r="M76">
        <v>2.4500000000000002</v>
      </c>
    </row>
    <row r="77" spans="3:13" x14ac:dyDescent="0.25">
      <c r="C77">
        <v>3.5</v>
      </c>
      <c r="D77">
        <v>3.25</v>
      </c>
      <c r="E77">
        <v>2.4500000000000002</v>
      </c>
      <c r="J77" t="s">
        <v>90</v>
      </c>
      <c r="K77">
        <v>3.5</v>
      </c>
      <c r="L77">
        <v>3.25</v>
      </c>
      <c r="M77">
        <v>2.4500000000000002</v>
      </c>
    </row>
    <row r="78" spans="3:13" x14ac:dyDescent="0.25">
      <c r="C78">
        <v>3.5</v>
      </c>
      <c r="D78">
        <v>3.25</v>
      </c>
      <c r="E78">
        <v>2.4500000000000002</v>
      </c>
      <c r="J78" t="s">
        <v>91</v>
      </c>
      <c r="K78">
        <v>3.5</v>
      </c>
      <c r="L78">
        <v>3.25</v>
      </c>
      <c r="M78">
        <v>2.4500000000000002</v>
      </c>
    </row>
    <row r="79" spans="3:13" x14ac:dyDescent="0.25">
      <c r="C79">
        <v>3.5</v>
      </c>
      <c r="D79">
        <v>3.25</v>
      </c>
      <c r="E79">
        <v>2.4500000000000002</v>
      </c>
      <c r="J79" t="s">
        <v>92</v>
      </c>
      <c r="K79">
        <v>3.5</v>
      </c>
      <c r="L79">
        <v>3.25</v>
      </c>
      <c r="M79">
        <v>2.4500000000000002</v>
      </c>
    </row>
    <row r="80" spans="3:13" x14ac:dyDescent="0.25">
      <c r="C80">
        <v>3.5</v>
      </c>
      <c r="D80">
        <v>3.25</v>
      </c>
      <c r="E80">
        <v>2.4500000000000002</v>
      </c>
      <c r="J80" t="s">
        <v>93</v>
      </c>
      <c r="K80">
        <v>3.5</v>
      </c>
      <c r="L80">
        <v>3.25</v>
      </c>
      <c r="M80">
        <v>2.4500000000000002</v>
      </c>
    </row>
    <row r="81" spans="3:13" x14ac:dyDescent="0.25">
      <c r="C81">
        <v>3.5</v>
      </c>
      <c r="D81">
        <v>3.25</v>
      </c>
      <c r="E81">
        <v>2.4500000000000002</v>
      </c>
      <c r="J81" t="s">
        <v>94</v>
      </c>
      <c r="K81">
        <v>3.5</v>
      </c>
      <c r="L81">
        <v>3.25</v>
      </c>
      <c r="M81">
        <v>2.4500000000000002</v>
      </c>
    </row>
    <row r="82" spans="3:13" x14ac:dyDescent="0.25">
      <c r="C82">
        <v>3.5</v>
      </c>
      <c r="D82">
        <v>3.25</v>
      </c>
      <c r="E82">
        <v>2.4500000000000002</v>
      </c>
      <c r="J82" t="s">
        <v>95</v>
      </c>
      <c r="K82">
        <v>3.5</v>
      </c>
      <c r="L82">
        <v>3.25</v>
      </c>
      <c r="M82">
        <v>2.4500000000000002</v>
      </c>
    </row>
    <row r="83" spans="3:13" x14ac:dyDescent="0.25">
      <c r="C83">
        <v>3.5</v>
      </c>
      <c r="D83">
        <v>3.25</v>
      </c>
      <c r="E83">
        <v>2.4500000000000002</v>
      </c>
      <c r="J83" t="s">
        <v>96</v>
      </c>
      <c r="K83">
        <v>3.5</v>
      </c>
      <c r="L83">
        <v>3.25</v>
      </c>
      <c r="M83">
        <v>2.4500000000000002</v>
      </c>
    </row>
    <row r="84" spans="3:13" x14ac:dyDescent="0.25">
      <c r="C84">
        <v>3.5</v>
      </c>
      <c r="D84">
        <v>3.25</v>
      </c>
      <c r="E84">
        <v>2.4500000000000002</v>
      </c>
      <c r="J84" t="s">
        <v>97</v>
      </c>
      <c r="K84">
        <v>3.5</v>
      </c>
      <c r="L84">
        <v>3.25</v>
      </c>
      <c r="M84">
        <v>2.4500000000000002</v>
      </c>
    </row>
    <row r="85" spans="3:13" x14ac:dyDescent="0.25">
      <c r="C85">
        <v>3.5</v>
      </c>
      <c r="D85">
        <v>3.25</v>
      </c>
      <c r="E85">
        <v>2.4500000000000002</v>
      </c>
      <c r="J85" t="s">
        <v>98</v>
      </c>
      <c r="K85">
        <v>3.5</v>
      </c>
      <c r="L85">
        <v>3.25</v>
      </c>
      <c r="M85">
        <v>2.4500000000000002</v>
      </c>
    </row>
    <row r="86" spans="3:13" x14ac:dyDescent="0.25">
      <c r="C86">
        <v>3.5</v>
      </c>
      <c r="D86">
        <v>3.25</v>
      </c>
      <c r="E86">
        <v>2.4500000000000002</v>
      </c>
      <c r="J86" t="s">
        <v>99</v>
      </c>
      <c r="K86">
        <v>3.5</v>
      </c>
      <c r="L86">
        <v>3.25</v>
      </c>
      <c r="M86">
        <v>2.4500000000000002</v>
      </c>
    </row>
    <row r="87" spans="3:13" x14ac:dyDescent="0.25">
      <c r="C87">
        <v>3.5</v>
      </c>
      <c r="D87">
        <v>3.25</v>
      </c>
      <c r="E87">
        <v>2.4500000000000002</v>
      </c>
      <c r="J87" t="s">
        <v>100</v>
      </c>
      <c r="K87">
        <v>3.5</v>
      </c>
      <c r="L87">
        <v>3.25</v>
      </c>
      <c r="M87">
        <v>2.4500000000000002</v>
      </c>
    </row>
    <row r="88" spans="3:13" x14ac:dyDescent="0.25">
      <c r="C88">
        <v>3.5</v>
      </c>
      <c r="D88">
        <v>3.25</v>
      </c>
      <c r="E88">
        <v>2.4500000000000002</v>
      </c>
      <c r="J88" t="s">
        <v>101</v>
      </c>
      <c r="K88">
        <v>3.5</v>
      </c>
      <c r="L88">
        <v>3.25</v>
      </c>
      <c r="M88">
        <v>2.4500000000000002</v>
      </c>
    </row>
    <row r="89" spans="3:13" x14ac:dyDescent="0.25">
      <c r="C89">
        <v>3.5</v>
      </c>
      <c r="D89">
        <v>3.25</v>
      </c>
      <c r="E89">
        <v>2.4500000000000002</v>
      </c>
      <c r="J89" t="s">
        <v>102</v>
      </c>
      <c r="K89">
        <v>3.5</v>
      </c>
      <c r="L89">
        <v>3.25</v>
      </c>
      <c r="M89">
        <v>2.4500000000000002</v>
      </c>
    </row>
    <row r="90" spans="3:13" x14ac:dyDescent="0.25">
      <c r="C90">
        <v>3.5</v>
      </c>
      <c r="D90">
        <v>3.25</v>
      </c>
      <c r="E90">
        <v>2.4500000000000002</v>
      </c>
    </row>
    <row r="91" spans="3:13" x14ac:dyDescent="0.25">
      <c r="C91">
        <v>3.5</v>
      </c>
      <c r="D91">
        <v>3.25</v>
      </c>
      <c r="E91">
        <v>2.4500000000000002</v>
      </c>
    </row>
    <row r="92" spans="3:13" x14ac:dyDescent="0.25">
      <c r="C92">
        <v>3.5</v>
      </c>
      <c r="D92">
        <v>3.25</v>
      </c>
      <c r="E92">
        <v>2.4500000000000002</v>
      </c>
    </row>
    <row r="93" spans="3:13" x14ac:dyDescent="0.25">
      <c r="C93">
        <v>3.5</v>
      </c>
      <c r="D93">
        <v>3.25</v>
      </c>
      <c r="E93">
        <v>2.4500000000000002</v>
      </c>
    </row>
    <row r="94" spans="3:13" x14ac:dyDescent="0.25">
      <c r="C94">
        <v>3.5</v>
      </c>
      <c r="D94">
        <v>3.25</v>
      </c>
      <c r="E94">
        <v>2.4500000000000002</v>
      </c>
    </row>
    <row r="95" spans="3:13" x14ac:dyDescent="0.25">
      <c r="C95">
        <v>3.5</v>
      </c>
      <c r="D95">
        <v>3.25</v>
      </c>
      <c r="E95">
        <v>2.4500000000000002</v>
      </c>
    </row>
    <row r="96" spans="3:13" x14ac:dyDescent="0.25">
      <c r="C96">
        <v>3.5</v>
      </c>
      <c r="D96">
        <v>3.25</v>
      </c>
      <c r="E96">
        <v>2.4500000000000002</v>
      </c>
    </row>
    <row r="97" spans="3:5" x14ac:dyDescent="0.25">
      <c r="C97">
        <v>3.5</v>
      </c>
      <c r="D97">
        <v>3.25</v>
      </c>
      <c r="E97">
        <v>2.4500000000000002</v>
      </c>
    </row>
    <row r="98" spans="3:5" x14ac:dyDescent="0.25">
      <c r="C98">
        <v>3.5</v>
      </c>
      <c r="D98">
        <v>3.25</v>
      </c>
      <c r="E98">
        <v>2.4500000000000002</v>
      </c>
    </row>
    <row r="99" spans="3:5" x14ac:dyDescent="0.25">
      <c r="C99">
        <v>3.5</v>
      </c>
      <c r="D99">
        <v>3.25</v>
      </c>
      <c r="E99">
        <v>2.4500000000000002</v>
      </c>
    </row>
    <row r="100" spans="3:5" x14ac:dyDescent="0.25">
      <c r="C100">
        <v>3.5</v>
      </c>
      <c r="D100">
        <v>3.25</v>
      </c>
      <c r="E100">
        <v>2.4500000000000002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5BD51-C573-4F48-97F2-040C756B17DC}">
  <sheetPr>
    <tabColor theme="2" tint="-9.9978637043366805E-2"/>
  </sheetPr>
  <dimension ref="A1:N48"/>
  <sheetViews>
    <sheetView workbookViewId="0">
      <selection activeCell="E17" sqref="E17"/>
    </sheetView>
  </sheetViews>
  <sheetFormatPr defaultRowHeight="15" x14ac:dyDescent="0.25"/>
  <cols>
    <col min="1" max="1" width="31.7109375" bestFit="1" customWidth="1"/>
    <col min="4" max="4" width="9.5703125" customWidth="1"/>
    <col min="5" max="5" width="25.140625" customWidth="1"/>
    <col min="6" max="6" width="15.28515625" customWidth="1"/>
    <col min="7" max="7" width="11" bestFit="1" customWidth="1"/>
    <col min="8" max="8" width="11.42578125" customWidth="1"/>
    <col min="9" max="9" width="14.85546875" customWidth="1"/>
    <col min="10" max="10" width="14.42578125" customWidth="1"/>
  </cols>
  <sheetData>
    <row r="1" spans="1:11" x14ac:dyDescent="0.25">
      <c r="A1" t="s">
        <v>68</v>
      </c>
      <c r="B1" t="s">
        <v>25</v>
      </c>
      <c r="C1" t="s">
        <v>26</v>
      </c>
      <c r="D1" t="s">
        <v>36</v>
      </c>
      <c r="E1" t="s">
        <v>120</v>
      </c>
      <c r="F1" t="s">
        <v>25</v>
      </c>
      <c r="G1" t="s">
        <v>26</v>
      </c>
      <c r="H1" t="s">
        <v>36</v>
      </c>
      <c r="I1" t="s">
        <v>106</v>
      </c>
    </row>
    <row r="2" spans="1:11" x14ac:dyDescent="0.25">
      <c r="A2" t="s">
        <v>69</v>
      </c>
      <c r="B2">
        <f>B22</f>
        <v>187</v>
      </c>
      <c r="C2">
        <f t="shared" ref="C2" si="0">C22</f>
        <v>202</v>
      </c>
      <c r="D2">
        <v>281</v>
      </c>
      <c r="E2" s="62" t="s">
        <v>69</v>
      </c>
      <c r="F2" s="64">
        <f>B2/B30</f>
        <v>0.42117117117117114</v>
      </c>
      <c r="G2" s="64">
        <f>C2/C30</f>
        <v>0.52196382428940569</v>
      </c>
      <c r="H2" s="64">
        <f>D2/SUM(D$2:D$4)</f>
        <v>0.57938144329896912</v>
      </c>
      <c r="I2" s="65">
        <f>AVERAGE(G23,G24,G27,G28)</f>
        <v>0.55478703374297189</v>
      </c>
    </row>
    <row r="3" spans="1:11" x14ac:dyDescent="0.25">
      <c r="A3" t="s">
        <v>44</v>
      </c>
      <c r="B3">
        <f>SUM(B23:B25)</f>
        <v>140</v>
      </c>
      <c r="C3">
        <f t="shared" ref="C3" si="1">SUM(C23:C25)</f>
        <v>118</v>
      </c>
      <c r="D3">
        <f>SUM(D23:D25)</f>
        <v>139</v>
      </c>
      <c r="E3" s="62" t="s">
        <v>44</v>
      </c>
      <c r="F3" s="64">
        <f>B3/B30</f>
        <v>0.31531531531531531</v>
      </c>
      <c r="G3" s="64">
        <f>C3/C30</f>
        <v>0.30490956072351422</v>
      </c>
      <c r="H3" s="64">
        <f>D3/SUM(D$2:D$4)</f>
        <v>0.28659793814432988</v>
      </c>
      <c r="I3" s="65">
        <f>SUM(E37:E39)*I$6</f>
        <v>0.34726611368048194</v>
      </c>
      <c r="K3" s="20"/>
    </row>
    <row r="4" spans="1:11" x14ac:dyDescent="0.25">
      <c r="A4" t="s">
        <v>43</v>
      </c>
      <c r="B4">
        <f>SUM(B26:B28)</f>
        <v>112</v>
      </c>
      <c r="C4">
        <f t="shared" ref="C4" si="2">SUM(C26:C28)</f>
        <v>66</v>
      </c>
      <c r="D4">
        <f>SUM(D26:D28)</f>
        <v>65</v>
      </c>
      <c r="E4" s="62" t="s">
        <v>43</v>
      </c>
      <c r="F4" s="64">
        <f>1-F2-F3</f>
        <v>0.26351351351351349</v>
      </c>
      <c r="G4" s="64">
        <f>C4/C30</f>
        <v>0.17054263565891473</v>
      </c>
      <c r="H4" s="64">
        <f>D4/SUM(D$2:D$4)</f>
        <v>0.13402061855670103</v>
      </c>
      <c r="I4" s="65">
        <f>E40*I$6</f>
        <v>9.7946852576546187E-2</v>
      </c>
      <c r="K4" s="20"/>
    </row>
    <row r="5" spans="1:11" x14ac:dyDescent="0.25">
      <c r="I5" s="20"/>
    </row>
    <row r="6" spans="1:11" x14ac:dyDescent="0.25">
      <c r="E6" s="62" t="s">
        <v>129</v>
      </c>
      <c r="F6" s="65">
        <f>1-F2</f>
        <v>0.5788288288288288</v>
      </c>
      <c r="G6" s="65">
        <f>1-G2</f>
        <v>0.47803617571059431</v>
      </c>
      <c r="H6" s="65">
        <f t="shared" ref="H6:I6" si="3">1-H2</f>
        <v>0.42061855670103088</v>
      </c>
      <c r="I6" s="65">
        <f t="shared" si="3"/>
        <v>0.44521296625702811</v>
      </c>
    </row>
    <row r="8" spans="1:11" x14ac:dyDescent="0.25">
      <c r="B8" s="20"/>
      <c r="C8" s="20"/>
      <c r="D8" s="20"/>
      <c r="E8" s="20"/>
      <c r="I8" s="65">
        <f>SUM(I2:I4)</f>
        <v>1</v>
      </c>
    </row>
    <row r="9" spans="1:11" x14ac:dyDescent="0.25">
      <c r="A9" t="s">
        <v>70</v>
      </c>
    </row>
    <row r="10" spans="1:11" x14ac:dyDescent="0.25">
      <c r="A10" t="s">
        <v>19</v>
      </c>
      <c r="B10" t="s">
        <v>25</v>
      </c>
      <c r="C10" t="s">
        <v>26</v>
      </c>
      <c r="D10" t="s">
        <v>36</v>
      </c>
      <c r="E10" t="s">
        <v>137</v>
      </c>
      <c r="F10" t="s">
        <v>71</v>
      </c>
      <c r="G10" t="s">
        <v>134</v>
      </c>
      <c r="H10" t="s">
        <v>135</v>
      </c>
    </row>
    <row r="11" spans="1:11" x14ac:dyDescent="0.25">
      <c r="A11" t="s">
        <v>20</v>
      </c>
      <c r="B11">
        <f>B23</f>
        <v>67</v>
      </c>
      <c r="C11">
        <f t="shared" ref="C11" si="4">C23</f>
        <v>67</v>
      </c>
      <c r="D11">
        <f>D23</f>
        <v>86</v>
      </c>
      <c r="E11" s="64">
        <f>B11/SUM(B$11:B$13)</f>
        <v>0.47857142857142859</v>
      </c>
      <c r="F11" s="64">
        <f>C11/SUM(C$11:C$13)</f>
        <v>0.56779661016949157</v>
      </c>
      <c r="G11" s="64">
        <f>D11/SUM(D$11:D$13)</f>
        <v>0.61870503597122306</v>
      </c>
      <c r="H11" s="64">
        <f>G11+G12/2</f>
        <v>0.64028776978417268</v>
      </c>
    </row>
    <row r="12" spans="1:11" x14ac:dyDescent="0.25">
      <c r="A12" t="s">
        <v>21</v>
      </c>
      <c r="B12">
        <f t="shared" ref="B12:D13" si="5">B24</f>
        <v>29</v>
      </c>
      <c r="C12">
        <f t="shared" si="5"/>
        <v>20</v>
      </c>
      <c r="D12">
        <f t="shared" si="5"/>
        <v>6</v>
      </c>
      <c r="E12" s="64">
        <f t="shared" ref="E12:E13" si="6">B12/SUM(B$11:B$13)</f>
        <v>0.20714285714285716</v>
      </c>
      <c r="F12" s="64">
        <f>C12/SUM(C$11:C$13)</f>
        <v>0.16949152542372881</v>
      </c>
      <c r="G12" s="64">
        <f>D12/SUM(D$11:D$13)</f>
        <v>4.3165467625899283E-2</v>
      </c>
      <c r="H12">
        <v>0</v>
      </c>
    </row>
    <row r="13" spans="1:11" x14ac:dyDescent="0.25">
      <c r="A13" t="s">
        <v>22</v>
      </c>
      <c r="B13">
        <f t="shared" si="5"/>
        <v>44</v>
      </c>
      <c r="C13">
        <f t="shared" si="5"/>
        <v>31</v>
      </c>
      <c r="D13">
        <f>D25</f>
        <v>47</v>
      </c>
      <c r="E13" s="64">
        <f t="shared" si="6"/>
        <v>0.31428571428571428</v>
      </c>
      <c r="F13" s="64">
        <f>C13/SUM(C$11:C$13)</f>
        <v>0.26271186440677968</v>
      </c>
      <c r="G13" s="64">
        <f>D13/SUM(D$11:D$13)</f>
        <v>0.33812949640287771</v>
      </c>
      <c r="H13" s="64">
        <f>G13+G12/2</f>
        <v>0.35971223021582732</v>
      </c>
    </row>
    <row r="16" spans="1:11" x14ac:dyDescent="0.25">
      <c r="F16" t="s">
        <v>190</v>
      </c>
      <c r="G16" s="62"/>
      <c r="H16" s="62"/>
      <c r="I16" t="s">
        <v>192</v>
      </c>
    </row>
    <row r="17" spans="1:14" x14ac:dyDescent="0.25">
      <c r="F17" t="s">
        <v>189</v>
      </c>
      <c r="G17" s="71">
        <f>159/260</f>
        <v>0.61153846153846159</v>
      </c>
      <c r="I17" t="s">
        <v>189</v>
      </c>
      <c r="J17" s="71">
        <v>0.27050898203592799</v>
      </c>
    </row>
    <row r="18" spans="1:14" x14ac:dyDescent="0.25">
      <c r="F18" t="s">
        <v>188</v>
      </c>
      <c r="G18" s="71">
        <f>149/238</f>
        <v>0.62605042016806722</v>
      </c>
      <c r="I18" t="s">
        <v>188</v>
      </c>
      <c r="J18" s="71">
        <v>0.23585632804069601</v>
      </c>
    </row>
    <row r="19" spans="1:14" x14ac:dyDescent="0.25">
      <c r="A19" s="53"/>
      <c r="B19" s="54" t="s">
        <v>25</v>
      </c>
      <c r="C19" s="54" t="s">
        <v>26</v>
      </c>
      <c r="D19" s="54" t="s">
        <v>36</v>
      </c>
      <c r="F19" t="s">
        <v>187</v>
      </c>
      <c r="G19" s="71">
        <f>130/226</f>
        <v>0.5752212389380531</v>
      </c>
      <c r="I19" t="s">
        <v>187</v>
      </c>
      <c r="J19" s="71">
        <v>0.20892994611239399</v>
      </c>
    </row>
    <row r="20" spans="1:14" x14ac:dyDescent="0.25">
      <c r="A20" s="54"/>
      <c r="B20" s="61" t="s">
        <v>107</v>
      </c>
      <c r="C20" s="54" t="s">
        <v>108</v>
      </c>
      <c r="D20" s="54" t="s">
        <v>109</v>
      </c>
      <c r="F20" t="s">
        <v>186</v>
      </c>
      <c r="G20" s="71">
        <f>129/221</f>
        <v>0.58371040723981904</v>
      </c>
      <c r="I20" t="s">
        <v>186</v>
      </c>
      <c r="J20" s="71">
        <v>0.20620373107808199</v>
      </c>
    </row>
    <row r="21" spans="1:14" ht="15.75" thickBot="1" x14ac:dyDescent="0.3">
      <c r="A21" s="55"/>
      <c r="B21" s="55"/>
      <c r="C21" s="55"/>
      <c r="D21" s="55"/>
      <c r="F21" t="s">
        <v>185</v>
      </c>
      <c r="G21" s="71">
        <f>134/268</f>
        <v>0.5</v>
      </c>
      <c r="I21" t="s">
        <v>185</v>
      </c>
      <c r="J21" s="71">
        <v>0.19665612655044701</v>
      </c>
    </row>
    <row r="22" spans="1:14" x14ac:dyDescent="0.25">
      <c r="A22" s="56" t="s">
        <v>110</v>
      </c>
      <c r="B22" s="57">
        <v>187</v>
      </c>
      <c r="C22" s="57">
        <v>202</v>
      </c>
      <c r="D22" s="57">
        <v>281</v>
      </c>
      <c r="F22" t="s">
        <v>184</v>
      </c>
      <c r="G22" s="71">
        <f>131/274</f>
        <v>0.47810218978102192</v>
      </c>
      <c r="I22" t="s">
        <v>184</v>
      </c>
      <c r="J22" s="71">
        <v>0.15717666970039801</v>
      </c>
    </row>
    <row r="23" spans="1:14" x14ac:dyDescent="0.25">
      <c r="A23" s="58" t="s">
        <v>111</v>
      </c>
      <c r="B23" s="59">
        <v>67</v>
      </c>
      <c r="C23" s="59">
        <v>67</v>
      </c>
      <c r="D23" s="59">
        <v>86</v>
      </c>
      <c r="F23" t="s">
        <v>125</v>
      </c>
      <c r="G23" s="20">
        <v>0.57299999999999995</v>
      </c>
      <c r="I23" t="s">
        <v>125</v>
      </c>
      <c r="J23" s="71">
        <v>0.18624995492834301</v>
      </c>
    </row>
    <row r="24" spans="1:14" x14ac:dyDescent="0.25">
      <c r="A24" s="58" t="s">
        <v>112</v>
      </c>
      <c r="B24" s="59">
        <v>29</v>
      </c>
      <c r="C24" s="59">
        <v>20</v>
      </c>
      <c r="D24" s="59">
        <v>6</v>
      </c>
      <c r="F24" t="s">
        <v>23</v>
      </c>
      <c r="G24" s="20">
        <f>152/279</f>
        <v>0.54480286738351258</v>
      </c>
      <c r="I24" t="s">
        <v>23</v>
      </c>
      <c r="J24" s="71">
        <v>0.19847510811337099</v>
      </c>
    </row>
    <row r="25" spans="1:14" x14ac:dyDescent="0.25">
      <c r="A25" s="58" t="s">
        <v>113</v>
      </c>
      <c r="B25" s="59">
        <v>44</v>
      </c>
      <c r="C25" s="59">
        <v>31</v>
      </c>
      <c r="D25" s="59">
        <v>47</v>
      </c>
      <c r="F25" t="s">
        <v>24</v>
      </c>
      <c r="G25" s="20">
        <f>219/593</f>
        <v>0.36930860033726814</v>
      </c>
      <c r="I25" t="s">
        <v>24</v>
      </c>
      <c r="J25" s="71">
        <v>0.19715139659418199</v>
      </c>
    </row>
    <row r="26" spans="1:14" x14ac:dyDescent="0.25">
      <c r="A26" s="58" t="s">
        <v>114</v>
      </c>
      <c r="B26" s="59">
        <v>79</v>
      </c>
      <c r="C26" s="59">
        <v>52</v>
      </c>
      <c r="D26" s="59">
        <v>47</v>
      </c>
      <c r="F26" t="s">
        <v>25</v>
      </c>
      <c r="G26" s="20">
        <f>187/444</f>
        <v>0.42117117117117114</v>
      </c>
      <c r="H26" s="71"/>
      <c r="I26" t="s">
        <v>25</v>
      </c>
      <c r="J26" s="71">
        <v>0.15202055927990599</v>
      </c>
    </row>
    <row r="27" spans="1:14" x14ac:dyDescent="0.25">
      <c r="A27" s="58" t="s">
        <v>115</v>
      </c>
      <c r="B27" s="59">
        <v>28</v>
      </c>
      <c r="C27" s="59">
        <v>14</v>
      </c>
      <c r="D27" s="59">
        <v>14</v>
      </c>
      <c r="F27" t="s">
        <v>26</v>
      </c>
      <c r="G27" s="20">
        <f>202/387</f>
        <v>0.52196382428940569</v>
      </c>
      <c r="H27" s="71"/>
      <c r="I27" t="s">
        <v>26</v>
      </c>
      <c r="J27" s="71">
        <v>0.16064934816805601</v>
      </c>
    </row>
    <row r="28" spans="1:14" x14ac:dyDescent="0.25">
      <c r="A28" s="58" t="s">
        <v>116</v>
      </c>
      <c r="B28" s="59">
        <v>5</v>
      </c>
      <c r="C28" s="59" t="s">
        <v>117</v>
      </c>
      <c r="D28" s="59">
        <v>4</v>
      </c>
      <c r="F28" t="s">
        <v>191</v>
      </c>
      <c r="G28" s="20">
        <f>D22/D30</f>
        <v>0.57938144329896912</v>
      </c>
      <c r="H28" s="71"/>
    </row>
    <row r="29" spans="1:14" x14ac:dyDescent="0.25">
      <c r="A29" s="60" t="s">
        <v>118</v>
      </c>
      <c r="B29" s="57">
        <v>258</v>
      </c>
      <c r="C29" s="57">
        <v>185</v>
      </c>
      <c r="D29" s="57">
        <v>204</v>
      </c>
    </row>
    <row r="30" spans="1:14" x14ac:dyDescent="0.25">
      <c r="A30" s="56" t="s">
        <v>119</v>
      </c>
      <c r="B30" s="57">
        <v>444</v>
      </c>
      <c r="C30" s="57">
        <v>387</v>
      </c>
      <c r="D30" s="57">
        <v>485</v>
      </c>
      <c r="G30" s="20">
        <f>AVERAGE(G17:G24,G27:G28)</f>
        <v>0.55937708526373098</v>
      </c>
      <c r="H30" s="20"/>
    </row>
    <row r="32" spans="1:14" x14ac:dyDescent="0.25">
      <c r="B32">
        <f>B26/SUM(B26:B27)</f>
        <v>0.73831775700934577</v>
      </c>
      <c r="C32">
        <f>C26/SUM(C26:C27)</f>
        <v>0.78787878787878785</v>
      </c>
      <c r="D32">
        <f>D26/SUM(D26:D27)</f>
        <v>0.77049180327868849</v>
      </c>
      <c r="N32">
        <f>213/435</f>
        <v>0.48965517241379308</v>
      </c>
    </row>
    <row r="33" spans="4:14" x14ac:dyDescent="0.25">
      <c r="N33">
        <f>213/425</f>
        <v>0.50117647058823533</v>
      </c>
    </row>
    <row r="34" spans="4:14" x14ac:dyDescent="0.25">
      <c r="N34">
        <f>213/425</f>
        <v>0.50117647058823533</v>
      </c>
    </row>
    <row r="35" spans="4:14" x14ac:dyDescent="0.25">
      <c r="N35">
        <f>219/593</f>
        <v>0.36930860033726814</v>
      </c>
    </row>
    <row r="36" spans="4:14" x14ac:dyDescent="0.25">
      <c r="D36" t="s">
        <v>120</v>
      </c>
      <c r="E36" t="s">
        <v>121</v>
      </c>
      <c r="F36" t="s">
        <v>122</v>
      </c>
      <c r="G36" t="s">
        <v>123</v>
      </c>
      <c r="H36" t="s">
        <v>124</v>
      </c>
      <c r="I36" t="s">
        <v>24</v>
      </c>
      <c r="J36" t="s">
        <v>23</v>
      </c>
      <c r="K36" t="s">
        <v>125</v>
      </c>
    </row>
    <row r="37" spans="4:14" x14ac:dyDescent="0.25">
      <c r="D37" t="s">
        <v>111</v>
      </c>
      <c r="E37" s="63">
        <v>0.48499999999999999</v>
      </c>
      <c r="F37" s="63">
        <f>D23/D29</f>
        <v>0.42156862745098039</v>
      </c>
      <c r="G37" s="63">
        <v>0.3641304347826087</v>
      </c>
      <c r="H37" s="63">
        <v>0.2627450980392157</v>
      </c>
      <c r="I37" s="63">
        <v>0.34491978609625668</v>
      </c>
      <c r="J37" s="63">
        <v>0.42741935483870969</v>
      </c>
      <c r="K37" s="63">
        <v>0.48144433299899697</v>
      </c>
    </row>
    <row r="38" spans="4:14" x14ac:dyDescent="0.25">
      <c r="D38" t="s">
        <v>112</v>
      </c>
      <c r="E38" s="63">
        <v>0</v>
      </c>
      <c r="F38" s="63">
        <f>D24/D29</f>
        <v>2.9411764705882353E-2</v>
      </c>
      <c r="G38" s="63">
        <v>0.10869565217391304</v>
      </c>
      <c r="H38" s="63">
        <v>0.11372549019607843</v>
      </c>
      <c r="I38" s="63">
        <v>0.1497326203208556</v>
      </c>
      <c r="J38" s="63">
        <v>0.15322580645161291</v>
      </c>
      <c r="K38" s="63">
        <v>8.2246740220661974E-2</v>
      </c>
    </row>
    <row r="39" spans="4:14" x14ac:dyDescent="0.25">
      <c r="D39" t="s">
        <v>113</v>
      </c>
      <c r="E39" s="63">
        <v>0.29499999999999998</v>
      </c>
      <c r="F39" s="63">
        <f>D25/D29</f>
        <v>0.23039215686274508</v>
      </c>
      <c r="G39" s="63">
        <v>0.16847826086956522</v>
      </c>
      <c r="H39" s="63">
        <v>0.15686274509803921</v>
      </c>
      <c r="I39" s="63">
        <v>0.21925133689839571</v>
      </c>
      <c r="J39" s="63">
        <v>0.2661290322580645</v>
      </c>
      <c r="K39" s="63">
        <v>0.24072216649949849</v>
      </c>
    </row>
    <row r="40" spans="4:14" x14ac:dyDescent="0.25">
      <c r="D40" t="s">
        <v>126</v>
      </c>
      <c r="E40" s="63">
        <v>0.22</v>
      </c>
      <c r="F40" s="63">
        <f>SUM(D26:D28)/D29</f>
        <v>0.31862745098039214</v>
      </c>
      <c r="G40" s="63">
        <v>0.35869565217391303</v>
      </c>
      <c r="H40" s="63">
        <v>0.46666666666666667</v>
      </c>
      <c r="I40" s="63">
        <v>0.28609625668449196</v>
      </c>
      <c r="J40" s="63">
        <v>0.15322580645161288</v>
      </c>
      <c r="K40" s="63">
        <v>0.19558676028084251</v>
      </c>
    </row>
    <row r="41" spans="4:14" x14ac:dyDescent="0.25">
      <c r="E41" s="77">
        <f>SUM(E37:E40)</f>
        <v>1</v>
      </c>
      <c r="F41" s="77">
        <f>SUM(F37:F40)</f>
        <v>1</v>
      </c>
    </row>
    <row r="42" spans="4:14" x14ac:dyDescent="0.25">
      <c r="E42" t="s">
        <v>127</v>
      </c>
    </row>
    <row r="43" spans="4:14" x14ac:dyDescent="0.25">
      <c r="E43" t="s">
        <v>128</v>
      </c>
    </row>
    <row r="44" spans="4:14" x14ac:dyDescent="0.25">
      <c r="I44" t="s">
        <v>125</v>
      </c>
      <c r="J44" t="s">
        <v>24</v>
      </c>
      <c r="K44" t="s">
        <v>25</v>
      </c>
      <c r="L44" t="s">
        <v>26</v>
      </c>
      <c r="M44" t="s">
        <v>36</v>
      </c>
    </row>
    <row r="45" spans="4:14" x14ac:dyDescent="0.25">
      <c r="H45" t="s">
        <v>111</v>
      </c>
      <c r="I45">
        <v>48</v>
      </c>
      <c r="J45">
        <v>129</v>
      </c>
      <c r="K45">
        <v>67</v>
      </c>
      <c r="L45">
        <v>67</v>
      </c>
      <c r="M45">
        <v>76</v>
      </c>
    </row>
    <row r="46" spans="4:14" x14ac:dyDescent="0.25">
      <c r="H46" t="s">
        <v>112</v>
      </c>
      <c r="I46">
        <v>8.1999999999999993</v>
      </c>
      <c r="J46">
        <v>56</v>
      </c>
      <c r="K46">
        <v>29</v>
      </c>
      <c r="L46">
        <v>20</v>
      </c>
      <c r="M46">
        <v>6</v>
      </c>
    </row>
    <row r="47" spans="4:14" x14ac:dyDescent="0.25">
      <c r="H47" t="s">
        <v>113</v>
      </c>
      <c r="I47">
        <v>24</v>
      </c>
      <c r="J47">
        <v>82</v>
      </c>
      <c r="K47">
        <v>44</v>
      </c>
      <c r="L47">
        <v>31</v>
      </c>
      <c r="M47">
        <v>40</v>
      </c>
    </row>
    <row r="48" spans="4:14" x14ac:dyDescent="0.25">
      <c r="H48" t="s">
        <v>126</v>
      </c>
      <c r="I48">
        <v>19.5</v>
      </c>
      <c r="J48">
        <v>107</v>
      </c>
      <c r="K48">
        <v>112</v>
      </c>
      <c r="L48">
        <v>66</v>
      </c>
      <c r="M48"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How to interface with Web tool</vt:lpstr>
      <vt:lpstr>machine_readable</vt:lpstr>
      <vt:lpstr>Model</vt:lpstr>
      <vt:lpstr>For user (EN)</vt:lpstr>
      <vt:lpstr>Fiscal Model Import</vt:lpstr>
      <vt:lpstr>Decomposition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Bergeron, Étienne</dc:creator>
  <cp:lastModifiedBy>Vanherweghem, Rémy : PBO-DPB</cp:lastModifiedBy>
  <dcterms:created xsi:type="dcterms:W3CDTF">2019-03-06T17:58:40Z</dcterms:created>
  <dcterms:modified xsi:type="dcterms:W3CDTF">2024-03-14T13:10:46Z</dcterms:modified>
</cp:coreProperties>
</file>