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c-cdc.ca\AdminPrivate\FS06U\VanheR\Downloads\WORKDIR\"/>
    </mc:Choice>
  </mc:AlternateContent>
  <xr:revisionPtr revIDLastSave="0" documentId="8_{8E9E4E5C-2E67-4DD4-B094-C8CD722F4D69}" xr6:coauthVersionLast="47" xr6:coauthVersionMax="47" xr10:uidLastSave="{00000000-0000-0000-0000-000000000000}"/>
  <bookViews>
    <workbookView xWindow="28680" yWindow="-120" windowWidth="29040" windowHeight="15840" activeTab="1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For user (EN)" sheetId="2" r:id="rId4"/>
    <sheet name="Fiscal Model Import" sheetId="5" r:id="rId5"/>
    <sheet name="Decomposi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N10" i="7"/>
  <c r="O10" i="7"/>
  <c r="P10" i="7"/>
  <c r="Q10" i="7"/>
  <c r="M10" i="7"/>
  <c r="G4" i="2"/>
  <c r="F4" i="2"/>
  <c r="E4" i="2"/>
  <c r="D4" i="2"/>
  <c r="C4" i="2"/>
  <c r="D4" i="1" s="1"/>
  <c r="C6" i="2" l="1"/>
  <c r="M4" i="7" s="1"/>
  <c r="I2" i="6"/>
  <c r="F20" i="5" l="1"/>
  <c r="E1" i="2"/>
  <c r="F1" i="2"/>
  <c r="G1" i="2" s="1"/>
  <c r="E2" i="2"/>
  <c r="F2" i="2" s="1"/>
  <c r="G2" i="2" s="1"/>
  <c r="D2" i="2"/>
  <c r="D1" i="2"/>
  <c r="E10" i="1"/>
  <c r="N9" i="7" s="1"/>
  <c r="F10" i="1"/>
  <c r="O9" i="7" s="1"/>
  <c r="G10" i="1"/>
  <c r="P9" i="7" s="1"/>
  <c r="H10" i="1"/>
  <c r="Q9" i="7" s="1"/>
  <c r="E11" i="1"/>
  <c r="N11" i="7" s="1"/>
  <c r="F11" i="1"/>
  <c r="O11" i="7" s="1"/>
  <c r="G11" i="1"/>
  <c r="P11" i="7" s="1"/>
  <c r="H11" i="1"/>
  <c r="Q11" i="7" s="1"/>
  <c r="E12" i="1"/>
  <c r="F12" i="1"/>
  <c r="G12" i="1"/>
  <c r="H12" i="1"/>
  <c r="D17" i="1"/>
  <c r="M14" i="7" s="1"/>
  <c r="D12" i="1"/>
  <c r="D11" i="1"/>
  <c r="M11" i="7" s="1"/>
  <c r="D10" i="1"/>
  <c r="M9" i="7" s="1"/>
  <c r="D5" i="1" l="1"/>
  <c r="G30" i="6"/>
  <c r="G6" i="6"/>
  <c r="G4" i="6"/>
  <c r="G3" i="6"/>
  <c r="G2" i="6"/>
  <c r="F4" i="6"/>
  <c r="F3" i="6"/>
  <c r="F2" i="6"/>
  <c r="G28" i="6"/>
  <c r="G27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20" i="5" l="1"/>
  <c r="H20" i="5"/>
  <c r="I20" i="5"/>
  <c r="J20" i="5"/>
  <c r="K20" i="5"/>
  <c r="L20" i="5"/>
  <c r="M20" i="5"/>
  <c r="N20" i="5"/>
  <c r="O20" i="5"/>
  <c r="G16" i="5"/>
  <c r="H16" i="5"/>
  <c r="I16" i="5"/>
  <c r="J16" i="5"/>
  <c r="K16" i="5"/>
  <c r="L16" i="5"/>
  <c r="M16" i="5" s="1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 s="1"/>
  <c r="N16" i="5" l="1"/>
  <c r="O16" i="5" l="1"/>
  <c r="D6" i="1" l="1"/>
  <c r="D6" i="2"/>
  <c r="N4" i="7" s="1"/>
  <c r="E6" i="2"/>
  <c r="O4" i="7" s="1"/>
  <c r="F6" i="2"/>
  <c r="P4" i="7" s="1"/>
  <c r="G6" i="2"/>
  <c r="Q4" i="7" s="1"/>
  <c r="C12" i="5" l="1"/>
  <c r="C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B12" i="5"/>
  <c r="B13" i="5" s="1"/>
  <c r="B32" i="6"/>
  <c r="D32" i="6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B8" i="5"/>
  <c r="B9" i="5"/>
  <c r="B7" i="5"/>
  <c r="E12" i="6"/>
  <c r="E13" i="6"/>
  <c r="E11" i="6"/>
  <c r="H13" i="6"/>
  <c r="H11" i="6"/>
  <c r="G11" i="6"/>
  <c r="G12" i="6"/>
  <c r="G13" i="6"/>
  <c r="F11" i="6"/>
  <c r="B2" i="5" l="1"/>
  <c r="B3" i="5"/>
  <c r="B4" i="5"/>
  <c r="C16" i="5"/>
  <c r="C17" i="5"/>
  <c r="C18" i="5"/>
  <c r="C20" i="5" s="1"/>
  <c r="F18" i="5"/>
  <c r="C2" i="5"/>
  <c r="D2" i="5"/>
  <c r="E2" i="5"/>
  <c r="C3" i="5"/>
  <c r="D3" i="5"/>
  <c r="C4" i="5"/>
  <c r="D4" i="5"/>
  <c r="I6" i="6"/>
  <c r="I4" i="6" s="1"/>
  <c r="E3" i="5" s="1"/>
  <c r="G3" i="5" s="1"/>
  <c r="H6" i="6"/>
  <c r="F6" i="6"/>
  <c r="C21" i="5" l="1"/>
  <c r="G2" i="5"/>
  <c r="N2" i="5"/>
  <c r="N3" i="5"/>
  <c r="L3" i="5"/>
  <c r="M3" i="5"/>
  <c r="M2" i="5"/>
  <c r="K3" i="5"/>
  <c r="K2" i="5"/>
  <c r="J3" i="5"/>
  <c r="J2" i="5"/>
  <c r="L2" i="5"/>
  <c r="F2" i="5"/>
  <c r="I3" i="5"/>
  <c r="I2" i="5"/>
  <c r="H3" i="5"/>
  <c r="H2" i="5"/>
  <c r="F3" i="5"/>
  <c r="I3" i="6"/>
  <c r="I8" i="6" l="1"/>
  <c r="E4" i="5"/>
  <c r="F21" i="5" s="1"/>
  <c r="D13" i="1" s="1"/>
  <c r="C11" i="6"/>
  <c r="D11" i="6"/>
  <c r="C12" i="6"/>
  <c r="D12" i="6"/>
  <c r="C13" i="6"/>
  <c r="D13" i="6"/>
  <c r="B12" i="6"/>
  <c r="B13" i="6"/>
  <c r="B11" i="6"/>
  <c r="D16" i="1" l="1"/>
  <c r="D18" i="1" s="1"/>
  <c r="M12" i="7"/>
  <c r="G4" i="5"/>
  <c r="G21" i="5"/>
  <c r="E13" i="1" s="1"/>
  <c r="N12" i="7" s="1"/>
  <c r="I21" i="5"/>
  <c r="G13" i="1" s="1"/>
  <c r="P12" i="7" s="1"/>
  <c r="I4" i="5"/>
  <c r="J4" i="5"/>
  <c r="F4" i="5"/>
  <c r="J21" i="5"/>
  <c r="H13" i="1" s="1"/>
  <c r="Q12" i="7" s="1"/>
  <c r="M21" i="5"/>
  <c r="H21" i="5"/>
  <c r="F13" i="1" s="1"/>
  <c r="O12" i="7" s="1"/>
  <c r="K21" i="5"/>
  <c r="L21" i="5"/>
  <c r="K4" i="5"/>
  <c r="N21" i="5"/>
  <c r="N4" i="5"/>
  <c r="L4" i="5"/>
  <c r="O21" i="5"/>
  <c r="H4" i="5"/>
  <c r="M4" i="5"/>
  <c r="H4" i="6"/>
  <c r="C4" i="6"/>
  <c r="D4" i="6"/>
  <c r="H2" i="6" s="1"/>
  <c r="B4" i="6"/>
  <c r="C3" i="6"/>
  <c r="D3" i="6"/>
  <c r="B3" i="6"/>
  <c r="C2" i="6"/>
  <c r="D2" i="6"/>
  <c r="B2" i="6"/>
  <c r="D53" i="1" l="1"/>
  <c r="D55" i="1" s="1"/>
  <c r="D24" i="1"/>
  <c r="D19" i="1"/>
  <c r="M16" i="7" s="1"/>
  <c r="D23" i="1"/>
  <c r="M13" i="7"/>
  <c r="D25" i="1"/>
  <c r="D22" i="1"/>
  <c r="M15" i="7"/>
  <c r="H3" i="6"/>
  <c r="E42" i="1" l="1"/>
  <c r="D27" i="1"/>
  <c r="M17" i="7" s="1"/>
  <c r="D29" i="1"/>
  <c r="M19" i="7" s="1"/>
  <c r="D26" i="1"/>
  <c r="D28" i="1"/>
  <c r="M18" i="7" s="1"/>
  <c r="D54" i="1"/>
  <c r="E18" i="5"/>
  <c r="E35" i="1" l="1"/>
  <c r="D30" i="1"/>
  <c r="D45" i="1"/>
  <c r="D31" i="1"/>
  <c r="D46" i="1"/>
  <c r="D32" i="1"/>
  <c r="F13" i="6"/>
  <c r="F12" i="6"/>
  <c r="D47" i="1" l="1"/>
  <c r="D48" i="1"/>
  <c r="E6" i="1"/>
  <c r="E16" i="1" s="1"/>
  <c r="N13" i="7" s="1"/>
  <c r="F6" i="1"/>
  <c r="D50" i="1" l="1"/>
  <c r="G40" i="5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E17" i="5"/>
  <c r="D17" i="5"/>
  <c r="D20" i="5" l="1"/>
  <c r="E20" i="5"/>
  <c r="D21" i="5" l="1"/>
  <c r="F16" i="1"/>
  <c r="O13" i="7" s="1"/>
  <c r="E21" i="5"/>
  <c r="G4" i="1" l="1"/>
  <c r="H4" i="1"/>
  <c r="H2" i="1"/>
  <c r="H1" i="1"/>
  <c r="G16" i="1" l="1"/>
  <c r="P13" i="7" s="1"/>
  <c r="H16" i="1"/>
  <c r="Q13" i="7" s="1"/>
  <c r="C12" i="2" l="1"/>
  <c r="M6" i="7" s="1"/>
  <c r="C10" i="2"/>
  <c r="C13" i="2" l="1"/>
  <c r="M8" i="7" s="1"/>
  <c r="M5" i="7"/>
  <c r="C11" i="2"/>
  <c r="M7" i="7" s="1"/>
  <c r="E17" i="1" l="1"/>
  <c r="E53" i="1" l="1"/>
  <c r="E55" i="1" s="1"/>
  <c r="N14" i="7"/>
  <c r="E18" i="1"/>
  <c r="N15" i="7" s="1"/>
  <c r="E19" i="1" l="1"/>
  <c r="N16" i="7" s="1"/>
  <c r="E22" i="1"/>
  <c r="E24" i="1"/>
  <c r="E23" i="1"/>
  <c r="D12" i="2"/>
  <c r="N6" i="7" s="1"/>
  <c r="D10" i="2"/>
  <c r="E25" i="1" l="1"/>
  <c r="D13" i="2"/>
  <c r="N8" i="7" s="1"/>
  <c r="N5" i="7"/>
  <c r="E29" i="1"/>
  <c r="E27" i="1"/>
  <c r="E28" i="1"/>
  <c r="N18" i="7" s="1"/>
  <c r="E26" i="1"/>
  <c r="E32" i="1" l="1"/>
  <c r="N19" i="7"/>
  <c r="F35" i="1"/>
  <c r="N17" i="7"/>
  <c r="F36" i="1"/>
  <c r="E30" i="1"/>
  <c r="E31" i="1"/>
  <c r="E45" i="1"/>
  <c r="E46" i="1"/>
  <c r="E54" i="1"/>
  <c r="D11" i="2" s="1"/>
  <c r="N7" i="7" s="1"/>
  <c r="E48" i="1" l="1"/>
  <c r="E47" i="1"/>
  <c r="F39" i="1"/>
  <c r="E50" i="1" l="1"/>
  <c r="F17" i="1" s="1"/>
  <c r="F41" i="1"/>
  <c r="O14" i="7" l="1"/>
  <c r="F18" i="1"/>
  <c r="O15" i="7" s="1"/>
  <c r="F42" i="1"/>
  <c r="F53" i="1"/>
  <c r="F55" i="1" s="1"/>
  <c r="F22" i="1" l="1"/>
  <c r="F23" i="1"/>
  <c r="F19" i="1"/>
  <c r="O16" i="7" s="1"/>
  <c r="F24" i="1"/>
  <c r="F26" i="1"/>
  <c r="F25" i="1"/>
  <c r="E12" i="2"/>
  <c r="O6" i="7" s="1"/>
  <c r="E10" i="2"/>
  <c r="F28" i="1" l="1"/>
  <c r="O18" i="7" s="1"/>
  <c r="F27" i="1"/>
  <c r="F29" i="1"/>
  <c r="O19" i="7" s="1"/>
  <c r="G36" i="1"/>
  <c r="G35" i="1"/>
  <c r="O17" i="7"/>
  <c r="E13" i="2"/>
  <c r="O8" i="7" s="1"/>
  <c r="O5" i="7"/>
  <c r="F31" i="1"/>
  <c r="F30" i="1"/>
  <c r="F45" i="1"/>
  <c r="F54" i="1"/>
  <c r="E11" i="2" s="1"/>
  <c r="O7" i="7" s="1"/>
  <c r="F46" i="1" l="1"/>
  <c r="F32" i="1"/>
  <c r="G37" i="1"/>
  <c r="F48" i="1"/>
  <c r="F47" i="1"/>
  <c r="F50" i="1" l="1"/>
  <c r="G17" i="1" s="1"/>
  <c r="G39" i="1"/>
  <c r="G41" i="1" l="1"/>
  <c r="G18" i="1"/>
  <c r="G22" i="1" s="1"/>
  <c r="P14" i="7"/>
  <c r="G53" i="1"/>
  <c r="G55" i="1" s="1"/>
  <c r="G42" i="1"/>
  <c r="G24" i="1"/>
  <c r="G23" i="1"/>
  <c r="F10" i="2" l="1"/>
  <c r="F13" i="2" s="1"/>
  <c r="P8" i="7" s="1"/>
  <c r="F12" i="2"/>
  <c r="P6" i="7" s="1"/>
  <c r="P15" i="7"/>
  <c r="G19" i="1"/>
  <c r="P16" i="7" s="1"/>
  <c r="G25" i="1"/>
  <c r="G26" i="1"/>
  <c r="G27" i="1" l="1"/>
  <c r="H35" i="1" s="1"/>
  <c r="P5" i="7"/>
  <c r="G28" i="1"/>
  <c r="P18" i="7" s="1"/>
  <c r="G29" i="1"/>
  <c r="P19" i="7" s="1"/>
  <c r="H36" i="1"/>
  <c r="G31" i="1"/>
  <c r="G30" i="1" l="1"/>
  <c r="P17" i="7"/>
  <c r="G32" i="1"/>
  <c r="G45" i="1"/>
  <c r="G47" i="1" s="1"/>
  <c r="G46" i="1"/>
  <c r="G48" i="1" s="1"/>
  <c r="H37" i="1"/>
  <c r="G54" i="1"/>
  <c r="F11" i="2" s="1"/>
  <c r="P7" i="7" s="1"/>
  <c r="G50" i="1" l="1"/>
  <c r="H39" i="1"/>
  <c r="H17" i="1"/>
  <c r="H41" i="1" l="1"/>
  <c r="H42" i="1"/>
  <c r="H18" i="1"/>
  <c r="H22" i="1" s="1"/>
  <c r="Q14" i="7"/>
  <c r="H23" i="1"/>
  <c r="H19" i="1"/>
  <c r="Q16" i="7" s="1"/>
  <c r="H53" i="1"/>
  <c r="H55" i="1" s="1"/>
  <c r="H24" i="1" l="1"/>
  <c r="Q15" i="7"/>
  <c r="H28" i="1"/>
  <c r="Q18" i="7" s="1"/>
  <c r="H27" i="1"/>
  <c r="H25" i="1"/>
  <c r="H54" i="1"/>
  <c r="G11" i="2" s="1"/>
  <c r="Q7" i="7" s="1"/>
  <c r="G10" i="2"/>
  <c r="G12" i="2"/>
  <c r="Q6" i="7" s="1"/>
  <c r="H26" i="1" l="1"/>
  <c r="H29" i="1"/>
  <c r="Q19" i="7" s="1"/>
  <c r="H30" i="1"/>
  <c r="Q17" i="7"/>
  <c r="G13" i="2"/>
  <c r="Q8" i="7" s="1"/>
  <c r="Q5" i="7"/>
  <c r="H31" i="1"/>
  <c r="H45" i="1"/>
  <c r="H32" i="1" l="1"/>
  <c r="H46" i="1"/>
  <c r="H48" i="1" s="1"/>
  <c r="H47" i="1"/>
  <c r="H50" i="1" l="1"/>
</calcChain>
</file>

<file path=xl/sharedStrings.xml><?xml version="1.0" encoding="utf-8"?>
<sst xmlns="http://schemas.openxmlformats.org/spreadsheetml/2006/main" count="471" uniqueCount="269">
  <si>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</si>
  <si>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</si>
  <si>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</si>
  <si>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</si>
  <si>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</si>
  <si>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</si>
  <si>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</si>
  <si>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</si>
  <si>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</si>
  <si>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</si>
  <si>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</si>
  <si>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</si>
  <si>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</si>
  <si>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</si>
  <si>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</si>
  <si>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</si>
  <si>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</si>
  <si>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</si>
  <si>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</si>
  <si>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</si>
  <si>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</si>
  <si>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</si>
  <si>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</si>
  <si>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</si>
  <si>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</si>
  <si>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</si>
  <si>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</si>
  <si>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</si>
  <si>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</si>
  <si>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</si>
  <si>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</si>
  <si>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</si>
  <si>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</si>
  <si>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</si>
  <si>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</si>
  <si>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</si>
  <si>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</si>
  <si>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</si>
  <si>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</si>
  <si>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</si>
  <si>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</si>
  <si>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</si>
  <si>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</si>
  <si>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</si>
  <si>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</si>
  <si>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</si>
  <si>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</si>
  <si>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</si>
  <si>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</si>
  <si>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</si>
  <si>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</si>
  <si>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</si>
  <si>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</si>
  <si>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</si>
  <si>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</si>
  <si>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</si>
  <si>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</si>
  <si>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</si>
  <si>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</si>
  <si>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</si>
  <si>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</si>
  <si>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</si>
  <si>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</si>
  <si>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</si>
  <si>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</si>
  <si>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</si>
  <si>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</si>
  <si>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</si>
  <si>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</si>
  <si>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</si>
  <si>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</si>
  <si>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</si>
  <si>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</si>
  <si>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</si>
  <si>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</si>
  <si>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</si>
  <si>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</si>
  <si>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</si>
  <si>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</si>
  <si>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</si>
  <si>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</si>
  <si>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</si>
  <si>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</si>
  <si>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</si>
  <si>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</si>
  <si>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</si>
  <si>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</si>
  <si>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</si>
  <si>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</si>
  <si>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</si>
  <si>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</si>
  <si>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</si>
  <si>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</si>
  <si>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</si>
  <si>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</si>
  <si>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</si>
  <si>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</si>
  <si>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</si>
  <si>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</si>
  <si>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</si>
  <si>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</si>
  <si>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</si>
  <si>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</si>
  <si>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</si>
  <si>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</si>
  <si>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</si>
  <si>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</si>
  <si>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</si>
  <si>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</si>
  <si>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</si>
  <si>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</si>
  <si>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</si>
  <si>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</si>
  <si>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</si>
  <si>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</si>
  <si>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</si>
  <si>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</si>
  <si>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</si>
  <si>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</si>
  <si>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</si>
  <si>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</si>
  <si>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</si>
  <si>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</si>
  <si>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</si>
  <si>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</si>
  <si>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</si>
  <si>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</si>
  <si>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</si>
  <si>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</si>
  <si>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</si>
  <si>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</si>
  <si>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</si>
  <si>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</si>
  <si>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</si>
  <si>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</si>
  <si>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</si>
  <si>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</si>
  <si>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</si>
  <si>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</si>
  <si>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</si>
  <si>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</si>
  <si>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</si>
  <si>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</si>
  <si>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</si>
  <si>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</si>
  <si>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</si>
  <si>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</si>
  <si>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</si>
  <si>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</si>
  <si>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</si>
  <si>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</si>
  <si>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</si>
  <si>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</si>
  <si>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</si>
  <si>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</si>
  <si>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</si>
  <si>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</si>
  <si>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</si>
  <si>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</si>
  <si>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</si>
  <si>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</si>
  <si>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</si>
  <si>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</si>
  <si>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</si>
  <si>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</si>
  <si>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</si>
  <si>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</si>
  <si>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</si>
  <si>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</si>
  <si>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</si>
  <si>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</si>
  <si>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</si>
  <si>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</si>
  <si>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</si>
  <si>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</si>
  <si>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</si>
  <si>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</si>
  <si>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</si>
  <si>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</si>
  <si>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</si>
  <si>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</si>
  <si>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</si>
  <si>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</si>
  <si>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</si>
  <si>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</si>
  <si>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</si>
  <si>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</si>
  <si>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</si>
  <si>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</si>
  <si>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</si>
  <si>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</si>
  <si>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</si>
  <si>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</si>
  <si>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</si>
  <si>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</si>
  <si>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</si>
  <si>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</si>
  <si>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</si>
  <si>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</si>
  <si>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</si>
  <si>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</si>
  <si>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</si>
  <si>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</si>
  <si>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</si>
  <si>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</si>
  <si>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</si>
  <si>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</si>
  <si>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</si>
  <si>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</si>
  <si>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</si>
  <si>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</si>
  <si>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</si>
  <si>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</si>
  <si>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</si>
  <si>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</si>
  <si>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</si>
  <si>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</si>
  <si>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</si>
  <si>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</si>
  <si>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</si>
  <si>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</si>
  <si>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</si>
  <si>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</si>
  <si>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</si>
  <si>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</si>
  <si>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</si>
  <si>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</si>
  <si>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</si>
  <si>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</si>
  <si>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</si>
  <si>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</si>
  <si>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</si>
  <si>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</si>
  <si>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Frais de la dette sur les soldes primaires</t>
  </si>
  <si>
    <t>Nouvelle dette globale</t>
  </si>
  <si>
    <t>Overall new debt</t>
  </si>
  <si>
    <t>Charges de la dette sur le stock de la dette existante</t>
  </si>
  <si>
    <t>Nouveau besoin d'emprunt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</si>
  <si>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</si>
  <si>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</si>
  <si>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</si>
  <si>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</si>
  <si>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</si>
  <si>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</si>
  <si>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</si>
  <si>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</si>
  <si>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</si>
  <si>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</si>
  <si>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</si>
  <si>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</si>
  <si>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</si>
  <si>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</si>
  <si>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</si>
  <si>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</si>
  <si>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</si>
  <si>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</si>
  <si>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</si>
  <si>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</si>
  <si>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</si>
  <si>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</si>
  <si>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</si>
  <si>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</si>
  <si>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</si>
  <si>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</si>
  <si>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Treasury bills stock</t>
  </si>
  <si>
    <t>Encours des bons du Trésor</t>
  </si>
  <si>
    <t>Long-term bonds stock</t>
  </si>
  <si>
    <t>Encours des obligations à moyen terme</t>
  </si>
  <si>
    <t>Encours des obligations à long 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</si>
</sst>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241</v>
      </c>
      <c r="B1" s="74" t="s">
        <v>243</v>
      </c>
      <c r="C1" s="74" t="s">
        <v>242</v>
      </c>
    </row>
    <row r="2" spans="1:3" ht="30" x14ac:dyDescent="0.25">
      <c r="A2" s="74" t="s">
        <v>205</v>
      </c>
      <c r="B2" s="76" t="b">
        <v>1</v>
      </c>
      <c r="C2" s="15" t="s">
        <v>245</v>
      </c>
    </row>
    <row r="3" spans="1:3" x14ac:dyDescent="0.25">
      <c r="A3" s="74" t="s">
        <v>193</v>
      </c>
      <c r="B3" s="76" t="b">
        <v>1</v>
      </c>
      <c r="C3" s="15" t="s">
        <v>239</v>
      </c>
    </row>
    <row r="4" spans="1:3" x14ac:dyDescent="0.25">
      <c r="A4" s="74" t="s">
        <v>196</v>
      </c>
      <c r="B4" s="76" t="b">
        <v>1</v>
      </c>
      <c r="C4" s="15" t="s">
        <v>240</v>
      </c>
    </row>
    <row r="5" spans="1:3" x14ac:dyDescent="0.25">
      <c r="A5" s="74" t="s">
        <v>197</v>
      </c>
      <c r="B5" s="76" t="b">
        <v>1</v>
      </c>
      <c r="C5" s="15" t="s">
        <v>244</v>
      </c>
    </row>
    <row r="6" spans="1:3" x14ac:dyDescent="0.25">
      <c r="A6" s="74" t="s">
        <v>194</v>
      </c>
      <c r="B6" s="76" t="s">
        <v>246</v>
      </c>
      <c r="C6" s="15" t="s">
        <v>247</v>
      </c>
    </row>
    <row r="7" spans="1:3" x14ac:dyDescent="0.25">
      <c r="A7" s="74" t="s">
        <v>195</v>
      </c>
      <c r="B7" s="76"/>
      <c r="C7" s="15" t="s">
        <v>247</v>
      </c>
    </row>
    <row r="8" spans="1:3" x14ac:dyDescent="0.25">
      <c r="A8" s="74" t="s">
        <v>198</v>
      </c>
      <c r="B8" s="76"/>
      <c r="C8" s="15" t="s">
        <v>248</v>
      </c>
    </row>
    <row r="9" spans="1:3" x14ac:dyDescent="0.25">
      <c r="A9" s="74" t="s">
        <v>199</v>
      </c>
      <c r="B9" s="76"/>
      <c r="C9" s="15" t="s">
        <v>248</v>
      </c>
    </row>
    <row r="10" spans="1:3" x14ac:dyDescent="0.25">
      <c r="A10" s="74" t="s">
        <v>200</v>
      </c>
      <c r="B10" s="76"/>
      <c r="C10" s="15" t="s">
        <v>249</v>
      </c>
    </row>
    <row r="11" spans="1:3" x14ac:dyDescent="0.25">
      <c r="A11" s="74" t="s">
        <v>201</v>
      </c>
      <c r="B11" s="76"/>
      <c r="C11" s="15" t="s">
        <v>249</v>
      </c>
    </row>
    <row r="12" spans="1:3" x14ac:dyDescent="0.25">
      <c r="A12" s="74" t="s">
        <v>219</v>
      </c>
      <c r="B12" s="76"/>
      <c r="C12" s="15" t="s">
        <v>250</v>
      </c>
    </row>
    <row r="13" spans="1:3" x14ac:dyDescent="0.25">
      <c r="A13" s="74" t="s">
        <v>207</v>
      </c>
      <c r="B13" s="76"/>
      <c r="C13" s="15" t="s">
        <v>251</v>
      </c>
    </row>
    <row r="14" spans="1:3" x14ac:dyDescent="0.25">
      <c r="A14" s="74" t="s">
        <v>252</v>
      </c>
      <c r="B14" s="76"/>
      <c r="C14" s="15" t="s">
        <v>253</v>
      </c>
    </row>
    <row r="17" spans="3:3" x14ac:dyDescent="0.25">
      <c r="C17" t="s">
        <v>258</v>
      </c>
    </row>
    <row r="18" spans="3:3" x14ac:dyDescent="0.25">
      <c r="C18" t="s">
        <v>254</v>
      </c>
    </row>
    <row r="19" spans="3:3" x14ac:dyDescent="0.25">
      <c r="C19" t="s">
        <v>255</v>
      </c>
    </row>
    <row r="20" spans="3:3" x14ac:dyDescent="0.25">
      <c r="C20" t="s">
        <v>256</v>
      </c>
    </row>
    <row r="21" spans="3:3" x14ac:dyDescent="0.25">
      <c r="C21" t="s">
        <v>257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19"/>
  <sheetViews>
    <sheetView tabSelected="1" zoomScale="85" zoomScaleNormal="85" workbookViewId="0">
      <selection activeCell="C19" sqref="C1:C19"/>
    </sheetView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205</v>
      </c>
      <c r="B1" t="s">
        <v>193</v>
      </c>
      <c r="C1" s="73" t="s">
        <v>196</v>
      </c>
      <c r="D1" s="73" t="s">
        <v>197</v>
      </c>
      <c r="E1" t="s">
        <v>194</v>
      </c>
      <c r="F1" t="s">
        <v>195</v>
      </c>
      <c r="G1" t="s">
        <v>198</v>
      </c>
      <c r="H1" t="s">
        <v>199</v>
      </c>
      <c r="I1" t="s">
        <v>200</v>
      </c>
      <c r="J1" t="s">
        <v>201</v>
      </c>
      <c r="K1" t="s">
        <v>219</v>
      </c>
      <c r="L1" t="s">
        <v>207</v>
      </c>
      <c r="M1" s="75" t="s">
        <v>202</v>
      </c>
      <c r="N1" s="75" t="s">
        <v>203</v>
      </c>
      <c r="O1" s="75" t="s">
        <v>204</v>
      </c>
      <c r="P1" s="75" t="s">
        <v>213</v>
      </c>
      <c r="Q1" s="75" t="s">
        <v>214</v>
      </c>
    </row>
    <row r="2" spans="1:17" ht="12.75" customHeight="1" x14ac:dyDescent="0.25">
      <c r="A2" t="s">
        <v>209</v>
      </c>
      <c r="B2" s="15" t="s">
        <v>206</v>
      </c>
      <c r="C2" s="73" t="s">
        <v>1</v>
      </c>
      <c r="D2" s="73" t="s">
        <v>208</v>
      </c>
      <c r="E2" s="15"/>
      <c r="F2" s="15"/>
      <c r="G2" s="15"/>
      <c r="H2" s="15"/>
      <c r="I2" s="15"/>
      <c r="J2" s="15"/>
      <c r="K2" s="15"/>
      <c r="L2" s="15" t="s">
        <v>211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212</v>
      </c>
      <c r="B3" s="15" t="s">
        <v>206</v>
      </c>
      <c r="C3" s="73" t="s">
        <v>2</v>
      </c>
      <c r="D3" s="73" t="s">
        <v>210</v>
      </c>
      <c r="E3" s="15"/>
      <c r="F3" s="15"/>
      <c r="G3" s="15"/>
      <c r="H3" s="15"/>
      <c r="I3" s="15"/>
      <c r="J3" s="15"/>
      <c r="K3" s="15"/>
      <c r="L3" s="15" t="s">
        <v>211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3</v>
      </c>
      <c r="B4" s="15" t="s">
        <v>215</v>
      </c>
      <c r="C4" s="73" t="s">
        <v>3</v>
      </c>
      <c r="D4" s="73" t="s">
        <v>259</v>
      </c>
      <c r="E4" s="15"/>
      <c r="F4" s="15"/>
      <c r="G4" s="15"/>
      <c r="H4" s="15"/>
      <c r="I4" s="15"/>
      <c r="J4" s="15"/>
      <c r="K4" s="15"/>
      <c r="L4" s="15" t="s">
        <v>211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</row>
    <row r="5" spans="1:17" ht="30" x14ac:dyDescent="0.25">
      <c r="A5" s="12" t="s">
        <v>67</v>
      </c>
      <c r="B5" s="15" t="s">
        <v>215</v>
      </c>
      <c r="C5" s="73" t="s">
        <v>67</v>
      </c>
      <c r="D5" s="73" t="s">
        <v>216</v>
      </c>
      <c r="E5" s="15"/>
      <c r="F5" s="15"/>
      <c r="G5" s="15"/>
      <c r="H5" s="15"/>
      <c r="I5" s="15"/>
      <c r="J5" s="15"/>
      <c r="K5" s="15"/>
      <c r="L5" s="15" t="s">
        <v>211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</row>
    <row r="6" spans="1:17" ht="120" x14ac:dyDescent="0.25">
      <c r="A6" s="12" t="s">
        <v>229</v>
      </c>
      <c r="B6" s="15" t="s">
        <v>215</v>
      </c>
      <c r="C6" s="73" t="s">
        <v>220</v>
      </c>
      <c r="D6" s="73" t="s">
        <v>220</v>
      </c>
      <c r="E6" s="15"/>
      <c r="F6" s="15"/>
      <c r="G6" s="15"/>
      <c r="H6" s="15"/>
      <c r="I6" s="15" t="s">
        <v>222</v>
      </c>
      <c r="J6" s="15" t="s">
        <v>221</v>
      </c>
      <c r="K6" s="15"/>
      <c r="L6" s="15" t="s">
        <v>211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x14ac:dyDescent="0.25">
      <c r="A7" s="12" t="s">
        <v>8</v>
      </c>
      <c r="B7" s="15" t="s">
        <v>215</v>
      </c>
      <c r="C7" s="73" t="s">
        <v>217</v>
      </c>
      <c r="D7" s="73" t="s">
        <v>218</v>
      </c>
      <c r="E7" s="15"/>
      <c r="F7" s="15"/>
      <c r="G7" s="15"/>
      <c r="H7" s="15"/>
      <c r="I7" s="15"/>
      <c r="J7" s="15"/>
      <c r="K7" s="15"/>
      <c r="L7" s="15" t="s">
        <v>211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</row>
    <row r="8" spans="1:17" ht="30" x14ac:dyDescent="0.25">
      <c r="A8" s="12" t="s">
        <v>66</v>
      </c>
      <c r="B8" s="15" t="s">
        <v>215</v>
      </c>
      <c r="C8" s="73" t="s">
        <v>66</v>
      </c>
      <c r="D8" s="73" t="s">
        <v>223</v>
      </c>
      <c r="E8" s="15"/>
      <c r="F8" s="15"/>
      <c r="G8" s="15"/>
      <c r="H8" s="15"/>
      <c r="I8" s="15"/>
      <c r="J8" s="15"/>
      <c r="K8" s="15"/>
      <c r="L8" s="15" t="s">
        <v>211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</row>
    <row r="9" spans="1:17" ht="30" x14ac:dyDescent="0.25">
      <c r="A9" s="33" t="s">
        <v>55</v>
      </c>
      <c r="B9" s="15" t="s">
        <v>224</v>
      </c>
      <c r="C9" s="73" t="s">
        <v>55</v>
      </c>
      <c r="D9" s="73" t="s">
        <v>225</v>
      </c>
      <c r="E9" s="15" t="s">
        <v>227</v>
      </c>
      <c r="F9" s="15" t="s">
        <v>226</v>
      </c>
      <c r="G9" s="15"/>
      <c r="H9" s="15"/>
      <c r="I9" s="15"/>
      <c r="J9" s="15"/>
      <c r="K9" s="15" t="b">
        <v>1</v>
      </c>
      <c r="L9" s="15"/>
      <c r="M9" s="75">
        <f>Model!D10</f>
        <v>3.7</v>
      </c>
      <c r="N9" s="75">
        <f>Model!E10</f>
        <v>2.4500000000000002</v>
      </c>
      <c r="O9" s="75">
        <f>Model!F10</f>
        <v>2.4500000000000002</v>
      </c>
      <c r="P9" s="75">
        <f>Model!G10</f>
        <v>2.4500000000000002</v>
      </c>
      <c r="Q9" s="75">
        <f>Model!H10</f>
        <v>2.4500000000000002</v>
      </c>
    </row>
    <row r="10" spans="1:17" x14ac:dyDescent="0.25">
      <c r="A10" s="33" t="s">
        <v>260</v>
      </c>
      <c r="B10" s="15" t="s">
        <v>224</v>
      </c>
      <c r="C10" s="73" t="s">
        <v>260</v>
      </c>
      <c r="D10" s="73" t="s">
        <v>261</v>
      </c>
      <c r="E10" s="15" t="s">
        <v>227</v>
      </c>
      <c r="F10" s="15" t="s">
        <v>226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3.3121497500000001</v>
      </c>
      <c r="N10" s="24">
        <f>'Fiscal Model Import'!G18</f>
        <v>3.25</v>
      </c>
      <c r="O10" s="24">
        <f>'Fiscal Model Import'!H18</f>
        <v>3.25</v>
      </c>
      <c r="P10" s="24">
        <f>'Fiscal Model Import'!I18</f>
        <v>3.25</v>
      </c>
      <c r="Q10" s="24">
        <f>'Fiscal Model Import'!J18</f>
        <v>3.25</v>
      </c>
    </row>
    <row r="11" spans="1:17" ht="30" x14ac:dyDescent="0.25">
      <c r="A11" s="26" t="s">
        <v>57</v>
      </c>
      <c r="B11" s="15" t="s">
        <v>224</v>
      </c>
      <c r="C11" s="73" t="s">
        <v>228</v>
      </c>
      <c r="D11" s="73" t="s">
        <v>230</v>
      </c>
      <c r="E11" s="15" t="s">
        <v>227</v>
      </c>
      <c r="F11" s="15" t="s">
        <v>226</v>
      </c>
      <c r="G11" s="15"/>
      <c r="H11" s="15"/>
      <c r="I11" s="15"/>
      <c r="J11" s="15"/>
      <c r="K11" s="15" t="b">
        <v>1</v>
      </c>
      <c r="L11" s="15"/>
      <c r="M11" s="75">
        <f>Model!D11</f>
        <v>3.5207104999999999</v>
      </c>
      <c r="N11" s="75">
        <f>Model!E11</f>
        <v>3.5</v>
      </c>
      <c r="O11" s="75">
        <f>Model!F11</f>
        <v>3.5</v>
      </c>
      <c r="P11" s="75">
        <f>Model!G11</f>
        <v>3.5</v>
      </c>
      <c r="Q11" s="75">
        <f>Model!H11</f>
        <v>3.5</v>
      </c>
    </row>
    <row r="12" spans="1:17" ht="30" x14ac:dyDescent="0.25">
      <c r="A12" s="7" t="s">
        <v>65</v>
      </c>
      <c r="B12" s="15" t="s">
        <v>224</v>
      </c>
      <c r="C12" s="73" t="s">
        <v>231</v>
      </c>
      <c r="D12" s="73" t="s">
        <v>232</v>
      </c>
      <c r="E12" s="15" t="s">
        <v>227</v>
      </c>
      <c r="F12" s="15" t="s">
        <v>226</v>
      </c>
      <c r="G12" s="15"/>
      <c r="H12" s="15"/>
      <c r="I12" s="15"/>
      <c r="J12" s="15"/>
      <c r="K12" s="15" t="b">
        <v>1</v>
      </c>
      <c r="L12" s="15"/>
      <c r="M12" s="75">
        <f>Model!D13</f>
        <v>3.6021489692499662</v>
      </c>
      <c r="N12" s="75">
        <f>Model!E13</f>
        <v>2.7212813828101048</v>
      </c>
      <c r="O12" s="75">
        <f>Model!F13</f>
        <v>2.7212813828101048</v>
      </c>
      <c r="P12" s="75">
        <f>Model!G13</f>
        <v>2.7212813828101048</v>
      </c>
      <c r="Q12" s="75">
        <f>Model!H13</f>
        <v>2.7212813828101048</v>
      </c>
    </row>
    <row r="13" spans="1:17" ht="30" x14ac:dyDescent="0.25">
      <c r="A13" s="7" t="s">
        <v>10</v>
      </c>
      <c r="B13" s="15" t="s">
        <v>224</v>
      </c>
      <c r="C13" s="73" t="s">
        <v>10</v>
      </c>
      <c r="D13" s="73" t="s">
        <v>233</v>
      </c>
      <c r="E13" s="15" t="s">
        <v>235</v>
      </c>
      <c r="F13" s="15" t="s">
        <v>234</v>
      </c>
      <c r="G13" s="15"/>
      <c r="H13" s="15"/>
      <c r="I13" s="15"/>
      <c r="J13" s="15"/>
      <c r="K13" s="15"/>
      <c r="L13" s="15"/>
      <c r="M13" s="75">
        <f>Model!D16</f>
        <v>0</v>
      </c>
      <c r="N13" s="75">
        <f>Model!E16</f>
        <v>0</v>
      </c>
      <c r="O13" s="75">
        <f>Model!F16</f>
        <v>0</v>
      </c>
      <c r="P13" s="75">
        <f>Model!G16</f>
        <v>0</v>
      </c>
      <c r="Q13" s="75">
        <f>Model!H16</f>
        <v>0</v>
      </c>
    </row>
    <row r="14" spans="1:17" ht="30" x14ac:dyDescent="0.25">
      <c r="A14" s="7" t="s">
        <v>29</v>
      </c>
      <c r="B14" s="15" t="s">
        <v>224</v>
      </c>
      <c r="C14" s="73" t="s">
        <v>29</v>
      </c>
      <c r="D14" s="73" t="s">
        <v>236</v>
      </c>
      <c r="E14" s="15" t="s">
        <v>235</v>
      </c>
      <c r="F14" s="15" t="s">
        <v>234</v>
      </c>
      <c r="G14" s="15"/>
      <c r="H14" s="15"/>
      <c r="I14" s="15"/>
      <c r="J14" s="15"/>
      <c r="K14" s="15"/>
      <c r="L14" s="15"/>
      <c r="M14" s="75">
        <f>Model!D17</f>
        <v>0</v>
      </c>
      <c r="N14" s="75">
        <f>Model!E17</f>
        <v>0</v>
      </c>
      <c r="O14" s="75">
        <f>Model!F17</f>
        <v>0</v>
      </c>
      <c r="P14" s="75">
        <f>Model!G17</f>
        <v>0</v>
      </c>
      <c r="Q14" s="75">
        <f>Model!H17</f>
        <v>0</v>
      </c>
    </row>
    <row r="15" spans="1:17" ht="30" x14ac:dyDescent="0.25">
      <c r="A15" s="7" t="s">
        <v>145</v>
      </c>
      <c r="B15" s="15" t="s">
        <v>224</v>
      </c>
      <c r="C15" s="73" t="s">
        <v>145</v>
      </c>
      <c r="D15" s="73" t="s">
        <v>237</v>
      </c>
      <c r="E15" s="15" t="s">
        <v>235</v>
      </c>
      <c r="F15" s="15" t="s">
        <v>234</v>
      </c>
      <c r="G15" s="15"/>
      <c r="H15" s="15"/>
      <c r="I15" s="15"/>
      <c r="J15" s="15"/>
      <c r="K15" s="15"/>
      <c r="L15" s="15"/>
      <c r="M15" s="75">
        <f>Model!D18</f>
        <v>0</v>
      </c>
      <c r="N15" s="75">
        <f>Model!E18</f>
        <v>0</v>
      </c>
      <c r="O15" s="75">
        <f>Model!F18</f>
        <v>0</v>
      </c>
      <c r="P15" s="75">
        <f>Model!G18</f>
        <v>0</v>
      </c>
      <c r="Q15" s="75">
        <f>Model!H18</f>
        <v>0</v>
      </c>
    </row>
    <row r="16" spans="1:17" ht="30" x14ac:dyDescent="0.25">
      <c r="A16" s="7" t="s">
        <v>56</v>
      </c>
      <c r="B16" s="15" t="s">
        <v>224</v>
      </c>
      <c r="C16" s="73" t="s">
        <v>56</v>
      </c>
      <c r="D16" s="73" t="s">
        <v>238</v>
      </c>
      <c r="E16" s="15" t="s">
        <v>235</v>
      </c>
      <c r="F16" s="15" t="s">
        <v>234</v>
      </c>
      <c r="G16" s="15"/>
      <c r="H16" s="15"/>
      <c r="I16" s="15"/>
      <c r="J16" s="15"/>
      <c r="K16" s="15"/>
      <c r="L16" s="15"/>
      <c r="M16" s="75">
        <f>Model!D19</f>
        <v>0</v>
      </c>
      <c r="N16" s="75">
        <f>Model!E19</f>
        <v>0</v>
      </c>
      <c r="O16" s="75">
        <f>Model!F19</f>
        <v>0</v>
      </c>
      <c r="P16" s="75">
        <f>Model!G19</f>
        <v>0</v>
      </c>
      <c r="Q16" s="75">
        <f>Model!H19</f>
        <v>0</v>
      </c>
    </row>
    <row r="17" spans="1:17" ht="30" x14ac:dyDescent="0.25">
      <c r="A17" s="26" t="s">
        <v>133</v>
      </c>
      <c r="B17" s="15" t="s">
        <v>224</v>
      </c>
      <c r="C17" s="73" t="s">
        <v>264</v>
      </c>
      <c r="D17" s="73" t="s">
        <v>265</v>
      </c>
      <c r="E17" s="15" t="s">
        <v>262</v>
      </c>
      <c r="F17" s="15" t="s">
        <v>263</v>
      </c>
      <c r="G17" s="15"/>
      <c r="H17" s="15"/>
      <c r="I17" s="15"/>
      <c r="J17" s="15"/>
      <c r="K17" s="15"/>
      <c r="L17" s="15"/>
      <c r="M17" s="75">
        <f>Model!D27</f>
        <v>0</v>
      </c>
      <c r="N17" s="75">
        <f>Model!E27</f>
        <v>0</v>
      </c>
      <c r="O17" s="75">
        <f>Model!F27</f>
        <v>0</v>
      </c>
      <c r="P17" s="75">
        <f>Model!G27</f>
        <v>0</v>
      </c>
      <c r="Q17" s="75">
        <f>Model!H27</f>
        <v>0</v>
      </c>
    </row>
    <row r="18" spans="1:17" ht="30" x14ac:dyDescent="0.25">
      <c r="A18" s="7" t="s">
        <v>63</v>
      </c>
      <c r="B18" s="15" t="s">
        <v>224</v>
      </c>
      <c r="C18" s="73" t="s">
        <v>63</v>
      </c>
      <c r="D18" s="73" t="s">
        <v>267</v>
      </c>
      <c r="E18" s="15" t="s">
        <v>262</v>
      </c>
      <c r="F18" s="15" t="s">
        <v>263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</row>
    <row r="19" spans="1:17" ht="30" x14ac:dyDescent="0.25">
      <c r="A19" s="7" t="s">
        <v>64</v>
      </c>
      <c r="B19" s="15" t="s">
        <v>224</v>
      </c>
      <c r="C19" s="73" t="s">
        <v>266</v>
      </c>
      <c r="D19" s="73" t="s">
        <v>268</v>
      </c>
      <c r="E19" s="15" t="s">
        <v>262</v>
      </c>
      <c r="F19" s="15" t="s">
        <v>263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zoomScaleNormal="100" workbookViewId="0">
      <selection activeCell="G6" sqref="G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8" x14ac:dyDescent="0.2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2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2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39"/>
      <c r="C4" s="4" t="s">
        <v>5</v>
      </c>
      <c r="D4" s="4">
        <f>'For user (EN)'!C4</f>
        <v>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8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8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2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2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25">
      <c r="A11" s="26" t="s">
        <v>57</v>
      </c>
      <c r="B11" s="36" t="s">
        <v>34</v>
      </c>
      <c r="C11" s="30"/>
      <c r="D11" s="32">
        <f>'Fiscal Model Import'!F17</f>
        <v>3.5207104999999999</v>
      </c>
      <c r="E11" s="32">
        <f>'Fiscal Model Import'!G17</f>
        <v>3.5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25">
      <c r="A12" s="26" t="s">
        <v>58</v>
      </c>
      <c r="B12" s="36" t="s">
        <v>34</v>
      </c>
      <c r="C12" s="30"/>
      <c r="D12" s="32">
        <f>'Fiscal Model Import'!F20</f>
        <v>3.4672898500000002</v>
      </c>
      <c r="E12" s="32">
        <f>'Fiscal Model Import'!G20</f>
        <v>2.93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25">
      <c r="A13" s="7" t="s">
        <v>65</v>
      </c>
      <c r="B13" s="36" t="s">
        <v>35</v>
      </c>
      <c r="C13" s="30"/>
      <c r="D13" s="8">
        <f>'Fiscal Model Import'!F21</f>
        <v>3.6021489692499662</v>
      </c>
      <c r="E13" s="8">
        <f>'Fiscal Model Import'!G21</f>
        <v>2.7212813828101048</v>
      </c>
      <c r="F13" s="8">
        <f>'Fiscal Model Import'!H21</f>
        <v>2.7212813828101048</v>
      </c>
      <c r="G13" s="8">
        <f>'Fiscal Model Import'!I21</f>
        <v>2.7212813828101048</v>
      </c>
      <c r="H13" s="8">
        <f>'Fiscal Model Import'!J21</f>
        <v>2.7212813828101048</v>
      </c>
    </row>
    <row r="14" spans="1:8" x14ac:dyDescent="0.25">
      <c r="A14" s="7"/>
      <c r="B14" s="36"/>
      <c r="C14" s="30"/>
      <c r="D14" s="8"/>
      <c r="E14" s="8"/>
      <c r="F14" s="8"/>
      <c r="G14" s="8"/>
      <c r="H14" s="8"/>
    </row>
    <row r="15" spans="1:8" x14ac:dyDescent="0.2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25">
      <c r="A16" s="7" t="s">
        <v>10</v>
      </c>
      <c r="B16" s="36" t="s">
        <v>30</v>
      </c>
      <c r="C16" s="30"/>
      <c r="D16" s="9">
        <f>(D13/100)*D6</f>
        <v>0</v>
      </c>
      <c r="E16" s="9">
        <f>(E13/100)*E6</f>
        <v>0</v>
      </c>
      <c r="F16" s="9">
        <f t="shared" ref="F16:H16" si="1">(F13/100)*F6</f>
        <v>0</v>
      </c>
      <c r="G16" s="9">
        <f t="shared" si="1"/>
        <v>0</v>
      </c>
      <c r="H16" s="9">
        <f t="shared" si="1"/>
        <v>0</v>
      </c>
    </row>
    <row r="17" spans="1:8" x14ac:dyDescent="0.2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0</v>
      </c>
      <c r="F17" s="9">
        <f>(E50/100)*E54</f>
        <v>0</v>
      </c>
      <c r="G17" s="9">
        <f>(F50/100)*F54</f>
        <v>0</v>
      </c>
      <c r="H17" s="9">
        <f t="shared" ref="H17" si="2">(G50/100)*G54</f>
        <v>0</v>
      </c>
    </row>
    <row r="18" spans="1:8" ht="26.25" x14ac:dyDescent="0.25">
      <c r="A18" s="7" t="s">
        <v>145</v>
      </c>
      <c r="B18" s="36" t="s">
        <v>32</v>
      </c>
      <c r="C18" s="30"/>
      <c r="D18" s="9">
        <f>-(D6+D16+D17)</f>
        <v>0</v>
      </c>
      <c r="E18" s="9">
        <f>-(E6+E16+E17)</f>
        <v>0</v>
      </c>
      <c r="F18" s="9">
        <f>-(F6+F16+F17)</f>
        <v>0</v>
      </c>
      <c r="G18" s="9">
        <f>-(G6+G16+G17)</f>
        <v>0</v>
      </c>
      <c r="H18" s="9">
        <f t="shared" ref="H18" si="3">-(H6+H16+H17)</f>
        <v>0</v>
      </c>
    </row>
    <row r="19" spans="1:8" x14ac:dyDescent="0.25">
      <c r="A19" s="7" t="s">
        <v>56</v>
      </c>
      <c r="B19" s="36" t="s">
        <v>33</v>
      </c>
      <c r="C19" s="30"/>
      <c r="D19" s="9">
        <f>SUM($D18:D18)</f>
        <v>0</v>
      </c>
      <c r="E19" s="9">
        <f>SUM($D18:E18)</f>
        <v>0</v>
      </c>
      <c r="F19" s="9">
        <f>SUM($D18:F18)</f>
        <v>0</v>
      </c>
      <c r="G19" s="9">
        <f>SUM($D18:G18)</f>
        <v>0</v>
      </c>
      <c r="H19" s="9">
        <f>SUM($D18:H18)</f>
        <v>0</v>
      </c>
    </row>
    <row r="20" spans="1:8" x14ac:dyDescent="0.25">
      <c r="A20" s="7"/>
      <c r="B20" s="36"/>
      <c r="C20" s="30"/>
      <c r="D20" s="9"/>
      <c r="E20" s="9"/>
      <c r="F20" s="9"/>
      <c r="G20" s="9"/>
      <c r="H20" s="9"/>
    </row>
    <row r="21" spans="1:8" x14ac:dyDescent="0.2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25" x14ac:dyDescent="0.25">
      <c r="A22" s="26" t="s">
        <v>147</v>
      </c>
      <c r="B22" s="36" t="s">
        <v>149</v>
      </c>
      <c r="C22" s="30"/>
      <c r="D22" s="9">
        <f>SUM(D18,D35,D39)*'Fiscal Model Import'!E2</f>
        <v>0</v>
      </c>
      <c r="E22" s="9">
        <f>SUM(E18,E35,E39)*'Fiscal Model Import'!F2</f>
        <v>0</v>
      </c>
      <c r="F22" s="9">
        <f>SUM(F18,F35,F39)*'Fiscal Model Import'!G2</f>
        <v>0</v>
      </c>
      <c r="G22" s="9">
        <f>SUM(G18,G35,G39)*'Fiscal Model Import'!H2</f>
        <v>0</v>
      </c>
      <c r="H22" s="9">
        <f>SUM(H18,H35,H39)*'Fiscal Model Import'!I2</f>
        <v>0</v>
      </c>
    </row>
    <row r="23" spans="1:8" ht="26.25" x14ac:dyDescent="0.25">
      <c r="A23" s="7" t="s">
        <v>146</v>
      </c>
      <c r="B23" s="36" t="s">
        <v>150</v>
      </c>
      <c r="C23" s="30"/>
      <c r="D23" s="69">
        <f>SUM(D18,D35,D39)*'Fiscal Model Import'!E4</f>
        <v>0</v>
      </c>
      <c r="E23" s="69">
        <f>SUM(E18,E35,E39)*'Fiscal Model Import'!F4</f>
        <v>0</v>
      </c>
      <c r="F23" s="69">
        <f>SUM(F18,F35,F39)*'Fiscal Model Import'!G4</f>
        <v>0</v>
      </c>
      <c r="G23" s="69">
        <f>SUM(G18,G35,G39)*'Fiscal Model Import'!H4</f>
        <v>0</v>
      </c>
      <c r="H23" s="69">
        <f>SUM(H18,H35,H39)*'Fiscal Model Import'!I4</f>
        <v>0</v>
      </c>
    </row>
    <row r="24" spans="1:8" ht="26.25" x14ac:dyDescent="0.25">
      <c r="A24" s="7" t="s">
        <v>148</v>
      </c>
      <c r="B24" s="36" t="s">
        <v>151</v>
      </c>
      <c r="C24" s="30"/>
      <c r="D24" s="69">
        <f>SUM(D18,D35,D39)*'Fiscal Model Import'!E3</f>
        <v>0</v>
      </c>
      <c r="E24" s="69">
        <f>SUM(E18,E35,E39)*'Fiscal Model Import'!F3</f>
        <v>0</v>
      </c>
      <c r="F24" s="69">
        <f>SUM(F18,F35,F39)*'Fiscal Model Import'!G3</f>
        <v>0</v>
      </c>
      <c r="G24" s="69">
        <f>SUM(G18,G35,G39)*'Fiscal Model Import'!H3</f>
        <v>0</v>
      </c>
      <c r="H24" s="69">
        <f>SUM(H18,H35,H39)*'Fiscal Model Import'!I3</f>
        <v>0</v>
      </c>
    </row>
    <row r="25" spans="1:8" x14ac:dyDescent="0.25">
      <c r="A25" s="7" t="s">
        <v>173</v>
      </c>
      <c r="B25" s="36" t="s">
        <v>175</v>
      </c>
      <c r="C25" s="30"/>
      <c r="D25" s="69">
        <f>SUMIF($D23:D23,"&gt;0",$D23:D23)</f>
        <v>0</v>
      </c>
      <c r="E25" s="69">
        <f>SUMIF($D23:E23,"&gt;0",$D23:E23)</f>
        <v>0</v>
      </c>
      <c r="F25" s="69">
        <f>SUMIF($D23:F23,"&gt;0",$D23:F23)</f>
        <v>0</v>
      </c>
      <c r="G25" s="69">
        <f>SUMIF($D23:G23,"&gt;0",$D23:G23)</f>
        <v>0</v>
      </c>
      <c r="H25" s="69">
        <f>SUMIF($D23:H23,"&gt;0",$D23:H23)</f>
        <v>0</v>
      </c>
    </row>
    <row r="26" spans="1:8" x14ac:dyDescent="0.25">
      <c r="A26" s="7" t="s">
        <v>174</v>
      </c>
      <c r="B26" s="36" t="s">
        <v>176</v>
      </c>
      <c r="C26" s="30"/>
      <c r="D26" s="69">
        <f>SUMIF($D24:D24,"&gt;0",$D24:D24)</f>
        <v>0</v>
      </c>
      <c r="E26" s="69">
        <f>SUMIF($D24:E24,"&gt;0",$D24:E24)</f>
        <v>0</v>
      </c>
      <c r="F26" s="69">
        <f>SUMIF($D24:F24,"&gt;0",$D24:F24)</f>
        <v>0</v>
      </c>
      <c r="G26" s="69">
        <f>SUMIF($D24:G24,"&gt;0",$D24:G24)</f>
        <v>0</v>
      </c>
      <c r="H26" s="69">
        <f>SUMIF($D24:H24,"&gt;0",$D24:H24)</f>
        <v>0</v>
      </c>
    </row>
    <row r="27" spans="1:8" x14ac:dyDescent="0.25">
      <c r="A27" s="26" t="s">
        <v>133</v>
      </c>
      <c r="B27" s="36" t="s">
        <v>152</v>
      </c>
      <c r="C27" s="30"/>
      <c r="D27" s="9">
        <f>D22</f>
        <v>0</v>
      </c>
      <c r="E27" s="69">
        <f>IF(AND(SUM(E$18,E$35,E$39)&gt;0,E19&gt;0),D27+E22-E35,E$19*D30)</f>
        <v>0</v>
      </c>
      <c r="F27" s="69">
        <f>IF(AND(SUM(F$18,F$35,F$39)&gt;0,F19&gt;0),E27+F22-F35,F$19*E30)</f>
        <v>0</v>
      </c>
      <c r="G27" s="69">
        <f t="shared" ref="G27:H27" si="4">IF(AND(SUM(G$18,G$35,G$39)&gt;0,G19&gt;0),F27+G22-G35,G$19*F30)</f>
        <v>0</v>
      </c>
      <c r="H27" s="69">
        <f t="shared" si="4"/>
        <v>0</v>
      </c>
    </row>
    <row r="28" spans="1:8" ht="26.25" x14ac:dyDescent="0.25">
      <c r="A28" s="7" t="s">
        <v>63</v>
      </c>
      <c r="B28" s="36" t="s">
        <v>153</v>
      </c>
      <c r="C28" s="30"/>
      <c r="D28" s="69">
        <f>D23</f>
        <v>0</v>
      </c>
      <c r="E28" s="69">
        <f>IF(AND(SUM(E$18,E$35,E$39)&gt;0,E19&gt;0),D28+E23-E39,E$19*D31)</f>
        <v>0</v>
      </c>
      <c r="F28" s="69">
        <f t="shared" ref="F28:H28" si="5">IF(AND(SUM(F$18,F$35,F$39)&gt;0,F19&gt;0),E28+F23-F39,F$19*E31)</f>
        <v>0</v>
      </c>
      <c r="G28" s="69">
        <f t="shared" si="5"/>
        <v>0</v>
      </c>
      <c r="H28" s="69">
        <f t="shared" si="5"/>
        <v>0</v>
      </c>
    </row>
    <row r="29" spans="1:8" ht="26.25" x14ac:dyDescent="0.25">
      <c r="A29" s="7" t="s">
        <v>64</v>
      </c>
      <c r="B29" s="36" t="s">
        <v>153</v>
      </c>
      <c r="C29" s="30"/>
      <c r="D29" s="69">
        <f>D24</f>
        <v>0</v>
      </c>
      <c r="E29" s="69">
        <f>IF(AND(SUM(E$18,E$35,E$39)&gt;0,E19&gt;0),D29+E24,E$19*D32)</f>
        <v>0</v>
      </c>
      <c r="F29" s="69">
        <f t="shared" ref="F29:H29" si="6">IF(AND(SUM(F$18,F$35,F$39)&gt;0,F19&gt;0),E29+F24,F$19*E32)</f>
        <v>0</v>
      </c>
      <c r="G29" s="69">
        <f t="shared" si="6"/>
        <v>0</v>
      </c>
      <c r="H29" s="69">
        <f t="shared" si="6"/>
        <v>0</v>
      </c>
    </row>
    <row r="30" spans="1:8" x14ac:dyDescent="0.25">
      <c r="A30" s="7" t="s">
        <v>165</v>
      </c>
      <c r="B30" s="36" t="s">
        <v>168</v>
      </c>
      <c r="C30" s="30"/>
      <c r="D30" s="67">
        <f>IF(D19=0,0,D27/D19)</f>
        <v>0</v>
      </c>
      <c r="E30" s="67">
        <f t="shared" ref="E30:H30" si="7">IF(E19=0,0,E27/E19)</f>
        <v>0</v>
      </c>
      <c r="F30" s="67">
        <f>IF(F19=0,0,F27/F19)</f>
        <v>0</v>
      </c>
      <c r="G30" s="67">
        <f t="shared" si="7"/>
        <v>0</v>
      </c>
      <c r="H30" s="67">
        <f t="shared" si="7"/>
        <v>0</v>
      </c>
    </row>
    <row r="31" spans="1:8" x14ac:dyDescent="0.25">
      <c r="A31" s="7" t="s">
        <v>166</v>
      </c>
      <c r="B31" s="36" t="s">
        <v>169</v>
      </c>
      <c r="C31" s="30"/>
      <c r="D31" s="67">
        <f>IF(D19=0,0,D28/D19)</f>
        <v>0</v>
      </c>
      <c r="E31" s="67">
        <f t="shared" ref="E31:H31" si="8">IF(E19=0,0,E28/E19)</f>
        <v>0</v>
      </c>
      <c r="F31" s="67">
        <f t="shared" si="8"/>
        <v>0</v>
      </c>
      <c r="G31" s="67">
        <f t="shared" si="8"/>
        <v>0</v>
      </c>
      <c r="H31" s="67">
        <f t="shared" si="8"/>
        <v>0</v>
      </c>
    </row>
    <row r="32" spans="1:8" x14ac:dyDescent="0.25">
      <c r="A32" s="7" t="s">
        <v>167</v>
      </c>
      <c r="B32" s="36" t="s">
        <v>170</v>
      </c>
      <c r="C32" s="30"/>
      <c r="D32" s="67">
        <f>IF(D19=0,0,D29/D19)</f>
        <v>0</v>
      </c>
      <c r="E32" s="67">
        <f t="shared" ref="E32:H32" si="9">IF(E19=0,0,E29/E19)</f>
        <v>0</v>
      </c>
      <c r="F32" s="67">
        <f t="shared" si="9"/>
        <v>0</v>
      </c>
      <c r="G32" s="67">
        <f t="shared" si="9"/>
        <v>0</v>
      </c>
      <c r="H32" s="67">
        <f t="shared" si="9"/>
        <v>0</v>
      </c>
    </row>
    <row r="33" spans="1:9" x14ac:dyDescent="0.25">
      <c r="A33" s="7"/>
      <c r="B33" s="36"/>
      <c r="C33" s="30"/>
      <c r="D33" s="8"/>
      <c r="E33" s="8"/>
      <c r="F33" s="72"/>
      <c r="G33" s="72"/>
      <c r="H33" s="72"/>
    </row>
    <row r="34" spans="1:9" x14ac:dyDescent="0.2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25">
      <c r="A35" s="26" t="s">
        <v>139</v>
      </c>
      <c r="B35" s="36" t="s">
        <v>140</v>
      </c>
      <c r="C35" s="30"/>
      <c r="D35" s="46"/>
      <c r="E35" s="9">
        <f>IF(D27&lt;0,0,MAX(D22,0,D27))</f>
        <v>0</v>
      </c>
      <c r="F35" s="9">
        <f>IF(E27&lt;0,0,MIN(MAX(E22,0),E27))</f>
        <v>0</v>
      </c>
      <c r="G35" s="9">
        <f t="shared" ref="G35:H35" si="10">IF(F27&lt;0,0,MIN(MAX(F22,0),F27))</f>
        <v>0</v>
      </c>
      <c r="H35" s="9">
        <f t="shared" si="10"/>
        <v>0</v>
      </c>
    </row>
    <row r="36" spans="1:9" x14ac:dyDescent="0.25">
      <c r="A36" s="26" t="s">
        <v>141</v>
      </c>
      <c r="B36" s="36" t="s">
        <v>142</v>
      </c>
      <c r="C36" s="30"/>
      <c r="D36" s="46"/>
      <c r="E36" s="31"/>
      <c r="F36" s="9">
        <f>IF(OR(E25=0,D19&lt;0),0,MIN(MAX(D$23*'Fiscal Model Import'!E7,0),MAX(E$19,0)*D31*MAX(0,D$23/E$25)*'Fiscal Model Import'!E7))</f>
        <v>0</v>
      </c>
      <c r="G36" s="9">
        <f>IF(OR(F25=0,E19&lt;0),0,MIN(MAX(E$23*'Fiscal Model Import'!F7,0),MAX(F$19,0)*E31*MAX(0,E$23/F$25)*'Fiscal Model Import'!F7))</f>
        <v>0</v>
      </c>
      <c r="H36" s="9">
        <f>IF(OR(G25=0,F19&lt;0),0,MIN(MAX(F$23*'Fiscal Model Import'!G7,0),MAX(G$19,0)*F31*MAX(0,F$23/G$25)*'Fiscal Model Import'!G7))</f>
        <v>0</v>
      </c>
    </row>
    <row r="37" spans="1:9" x14ac:dyDescent="0.2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IF(OR(F25=0,D19&lt;0),0,MIN(MAX(D$23*'Fiscal Model Import'!D8,0),MAX(F$19,0)*F31*MAX(0,D$23/F$25)*'Fiscal Model Import'!E8))</f>
        <v>0</v>
      </c>
      <c r="H37" s="9">
        <f>IF(OR(G25=0,E19&lt;0),0,MIN(MAX(E$23*'Fiscal Model Import'!E8,0),MAX(G$19,0)*G31*MAX(0,E$23/G$25)*'Fiscal Model Import'!F8))</f>
        <v>0</v>
      </c>
    </row>
    <row r="38" spans="1:9" x14ac:dyDescent="0.2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2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0</v>
      </c>
      <c r="G39" s="9">
        <f t="shared" si="11"/>
        <v>0</v>
      </c>
      <c r="H39" s="9">
        <f t="shared" si="11"/>
        <v>0</v>
      </c>
    </row>
    <row r="40" spans="1:9" x14ac:dyDescent="0.2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25">
      <c r="A41" s="7" t="s">
        <v>159</v>
      </c>
      <c r="B41" s="36" t="s">
        <v>164</v>
      </c>
      <c r="C41" s="30"/>
      <c r="D41" s="66"/>
      <c r="E41" s="66"/>
      <c r="F41" s="32">
        <f>IF(F39=0,0,D12)</f>
        <v>0</v>
      </c>
      <c r="G41" s="32">
        <f>IF(G39=0,0,E12*(G36/G39)+D12*(G37/G39))</f>
        <v>0</v>
      </c>
      <c r="H41" s="32">
        <f>IF(H39=0,0,F12*(H36/H39)+E12*(H37/H39))</f>
        <v>0</v>
      </c>
    </row>
    <row r="42" spans="1:9" ht="39" x14ac:dyDescent="0.25">
      <c r="A42" s="7" t="s">
        <v>162</v>
      </c>
      <c r="B42" s="36" t="s">
        <v>163</v>
      </c>
      <c r="C42" s="30"/>
      <c r="D42" s="46"/>
      <c r="E42" s="32">
        <f>IF(D19&lt;0,E12,D12)</f>
        <v>3.4672898500000002</v>
      </c>
      <c r="F42" s="32">
        <f>IF(OR(E19&lt;0,(E28-F39)=0),F12,(E47*E28-F41*F39)/(E28-F39))</f>
        <v>2.93</v>
      </c>
      <c r="G42" s="32">
        <f t="shared" ref="G42:H42" si="12">IF(OR(F19&lt;0,(F28-G39)=0),G12,(F47*F28-G41*G39)/(F28-G39))</f>
        <v>2.93</v>
      </c>
      <c r="H42" s="32">
        <f t="shared" si="12"/>
        <v>2.93</v>
      </c>
      <c r="I42" t="s">
        <v>183</v>
      </c>
    </row>
    <row r="43" spans="1:9" x14ac:dyDescent="0.25">
      <c r="A43" s="7"/>
      <c r="B43" s="36"/>
      <c r="C43" s="30"/>
      <c r="D43" s="46"/>
      <c r="E43" s="32"/>
      <c r="F43" s="32"/>
      <c r="G43" s="32"/>
      <c r="H43" s="32"/>
    </row>
    <row r="44" spans="1:9" x14ac:dyDescent="0.2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25">
      <c r="A45" s="26" t="s">
        <v>180</v>
      </c>
      <c r="B45" s="36" t="s">
        <v>182</v>
      </c>
      <c r="C45" s="30"/>
      <c r="D45" s="70">
        <f>IF(AND(D23&gt;0,D28&gt;0),MIN(MAX(0,D23/D28),1),0)</f>
        <v>0</v>
      </c>
      <c r="E45" s="70">
        <f t="shared" ref="E45:H45" si="13">IF(AND(E23&gt;0,E28&gt;0),MIN(MAX(0,E23/E28),1),0)</f>
        <v>0</v>
      </c>
      <c r="F45" s="70">
        <f t="shared" si="13"/>
        <v>0</v>
      </c>
      <c r="G45" s="70">
        <f t="shared" si="13"/>
        <v>0</v>
      </c>
      <c r="H45" s="70">
        <f t="shared" si="13"/>
        <v>0</v>
      </c>
    </row>
    <row r="46" spans="1:9" x14ac:dyDescent="0.25">
      <c r="A46" s="26" t="s">
        <v>181</v>
      </c>
      <c r="B46" s="36" t="s">
        <v>182</v>
      </c>
      <c r="C46" s="30"/>
      <c r="D46" s="70">
        <f>IF(AND(D24&gt;0,D29&gt;0),MIN(MAX(0,D24/D29),1),0)</f>
        <v>0</v>
      </c>
      <c r="E46" s="70">
        <f t="shared" ref="E46:H46" si="14">IF(AND(E24&gt;0,E29&gt;0),MIN(MAX(0,E24/E29),1),0)</f>
        <v>0</v>
      </c>
      <c r="F46" s="70">
        <f t="shared" si="14"/>
        <v>0</v>
      </c>
      <c r="G46" s="70">
        <f t="shared" si="14"/>
        <v>0</v>
      </c>
      <c r="H46" s="70">
        <f t="shared" si="14"/>
        <v>0</v>
      </c>
    </row>
    <row r="47" spans="1:9" ht="26.25" x14ac:dyDescent="0.25">
      <c r="A47" s="26" t="s">
        <v>59</v>
      </c>
      <c r="B47" s="36" t="s">
        <v>179</v>
      </c>
      <c r="C47" s="30"/>
      <c r="D47" s="32">
        <f>IF(D28&gt;0,D45*D12+(1-D45)*D42,D12)</f>
        <v>3.4672898500000002</v>
      </c>
      <c r="E47" s="32">
        <f>IF(E28&gt;0,E45*E12+(1-E45)*E42,E12)</f>
        <v>2.93</v>
      </c>
      <c r="F47" s="32">
        <f t="shared" ref="F47:H47" si="15">IF(F28&gt;0,F45*F12+(1-F45)*F42,F12)</f>
        <v>2.93</v>
      </c>
      <c r="G47" s="32">
        <f t="shared" si="15"/>
        <v>2.93</v>
      </c>
      <c r="H47" s="32">
        <f t="shared" si="15"/>
        <v>2.93</v>
      </c>
    </row>
    <row r="48" spans="1:9" ht="26.25" x14ac:dyDescent="0.25">
      <c r="A48" s="26" t="s">
        <v>60</v>
      </c>
      <c r="B48" s="36" t="s">
        <v>179</v>
      </c>
      <c r="C48" s="30"/>
      <c r="D48" s="32">
        <f>IF(D29&gt;0,D46*D11+(1-D46)*C48,D11)</f>
        <v>3.5207104999999999</v>
      </c>
      <c r="E48" s="32">
        <f>IF(E29&gt;0,E46*E11+(1-E46)*D48,E11)</f>
        <v>3.5</v>
      </c>
      <c r="F48" s="32">
        <f t="shared" ref="F48:H48" si="16">IF(F29&gt;0,F46*F11+(1-F46)*E48,F11)</f>
        <v>3.5</v>
      </c>
      <c r="G48" s="32">
        <f t="shared" si="16"/>
        <v>3.5</v>
      </c>
      <c r="H48" s="32">
        <f t="shared" si="16"/>
        <v>3.5</v>
      </c>
    </row>
    <row r="49" spans="1:8" x14ac:dyDescent="0.25">
      <c r="A49" s="7"/>
      <c r="B49" s="36"/>
      <c r="C49" s="30"/>
      <c r="D49" s="32"/>
      <c r="E49" s="32"/>
      <c r="F49" s="32"/>
      <c r="G49" s="32"/>
      <c r="H49" s="32"/>
    </row>
    <row r="50" spans="1:8" ht="26.25" x14ac:dyDescent="0.25">
      <c r="A50" s="30" t="s">
        <v>61</v>
      </c>
      <c r="B50" s="45" t="s">
        <v>171</v>
      </c>
      <c r="C50" s="30"/>
      <c r="D50" s="46">
        <f>IF(D19&gt;0,D30*D10+D31*D47+D32*D48,D13)</f>
        <v>3.6021489692499662</v>
      </c>
      <c r="E50" s="46">
        <f>IF(E19&gt;0,E30*E10+E31*E47+E32*E48,E13)</f>
        <v>2.7212813828101048</v>
      </c>
      <c r="F50" s="46">
        <f>IF(F19&gt;0,F30*F10+F31*F47+F32*F48,F13)</f>
        <v>2.7212813828101048</v>
      </c>
      <c r="G50" s="46">
        <f t="shared" ref="G50:H50" si="17">IF(G19&gt;0,G30*G10+G31*G47+G32*G48,G13)</f>
        <v>2.7212813828101048</v>
      </c>
      <c r="H50" s="46">
        <f t="shared" si="17"/>
        <v>2.7212813828101048</v>
      </c>
    </row>
    <row r="52" spans="1:8" x14ac:dyDescent="0.2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25">
      <c r="A53" s="12" t="s">
        <v>62</v>
      </c>
      <c r="B53" s="44"/>
      <c r="C53" s="12"/>
      <c r="D53" s="13">
        <f>D16+D17</f>
        <v>0</v>
      </c>
      <c r="E53" s="13">
        <f>E16+E17</f>
        <v>0</v>
      </c>
      <c r="F53" s="13">
        <f>F16+F17</f>
        <v>0</v>
      </c>
      <c r="G53" s="13">
        <f t="shared" ref="G53:H53" si="18">G16+G17</f>
        <v>0</v>
      </c>
      <c r="H53" s="13">
        <f t="shared" si="18"/>
        <v>0</v>
      </c>
    </row>
    <row r="54" spans="1:8" x14ac:dyDescent="0.25">
      <c r="A54" s="12" t="s">
        <v>54</v>
      </c>
      <c r="B54" s="44"/>
      <c r="C54" s="12"/>
      <c r="D54" s="13">
        <f t="shared" ref="D54:H54" si="19">-D19</f>
        <v>0</v>
      </c>
      <c r="E54" s="13">
        <f t="shared" si="19"/>
        <v>0</v>
      </c>
      <c r="F54" s="13">
        <f t="shared" si="19"/>
        <v>0</v>
      </c>
      <c r="G54" s="13">
        <f t="shared" si="19"/>
        <v>0</v>
      </c>
      <c r="H54" s="13">
        <f t="shared" si="19"/>
        <v>0</v>
      </c>
    </row>
    <row r="55" spans="1:8" x14ac:dyDescent="0.25">
      <c r="A55" s="12" t="s">
        <v>48</v>
      </c>
      <c r="B55" s="44"/>
      <c r="C55" s="12"/>
      <c r="D55" s="13">
        <f>SUM($D53:D53)</f>
        <v>0</v>
      </c>
      <c r="E55" s="13">
        <f>SUM($D53:E53)</f>
        <v>0</v>
      </c>
      <c r="F55" s="13">
        <f>SUM($D53:F53)</f>
        <v>0</v>
      </c>
      <c r="G55" s="13">
        <f>SUM($D53:G53)</f>
        <v>0</v>
      </c>
      <c r="H55" s="13">
        <f>SUM($D53:H53)</f>
        <v>0</v>
      </c>
    </row>
    <row r="57" spans="1:8" x14ac:dyDescent="0.25">
      <c r="D57" s="16"/>
      <c r="E57" s="16"/>
      <c r="F57" s="16"/>
      <c r="G57" s="16"/>
      <c r="H57" s="16"/>
    </row>
    <row r="58" spans="1:8" x14ac:dyDescent="0.25">
      <c r="D58" s="18"/>
      <c r="E58" s="18"/>
      <c r="F58" s="18"/>
      <c r="G58" s="18"/>
      <c r="H58" s="18"/>
    </row>
    <row r="59" spans="1:8" x14ac:dyDescent="0.2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D15" sqref="D15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2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67</v>
      </c>
      <c r="B10" s="12" t="s">
        <v>5</v>
      </c>
      <c r="C10" s="13">
        <f>Model!D53</f>
        <v>0</v>
      </c>
      <c r="D10" s="13">
        <f>Model!E53</f>
        <v>0</v>
      </c>
      <c r="E10" s="13">
        <f>Model!F53</f>
        <v>0</v>
      </c>
      <c r="F10" s="13">
        <f>Model!G53</f>
        <v>0</v>
      </c>
      <c r="G10" s="13">
        <f>Model!H53</f>
        <v>0</v>
      </c>
    </row>
    <row r="11" spans="1:7" x14ac:dyDescent="0.25">
      <c r="A11" s="12" t="s">
        <v>8</v>
      </c>
      <c r="B11" s="12" t="s">
        <v>5</v>
      </c>
      <c r="C11" s="13">
        <f>Model!D54</f>
        <v>0</v>
      </c>
      <c r="D11" s="13">
        <f>Model!E54</f>
        <v>0</v>
      </c>
      <c r="E11" s="13">
        <f>Model!F54</f>
        <v>0</v>
      </c>
      <c r="F11" s="13">
        <f>Model!G54</f>
        <v>0</v>
      </c>
      <c r="G11" s="13">
        <f>Model!H54</f>
        <v>0</v>
      </c>
    </row>
    <row r="12" spans="1:7" x14ac:dyDescent="0.25">
      <c r="A12" s="12" t="s">
        <v>9</v>
      </c>
      <c r="B12" s="12" t="s">
        <v>5</v>
      </c>
      <c r="C12" s="13">
        <f>Model!D53+Model!D6</f>
        <v>0</v>
      </c>
      <c r="D12" s="13">
        <f>Model!E53+Model!E6</f>
        <v>0</v>
      </c>
      <c r="E12" s="13">
        <f>Model!F53+Model!F6</f>
        <v>0</v>
      </c>
      <c r="F12" s="13">
        <f>Model!G53+Model!G6</f>
        <v>0</v>
      </c>
      <c r="G12" s="13">
        <f>Model!H53+Model!H6</f>
        <v>0</v>
      </c>
    </row>
    <row r="13" spans="1:7" x14ac:dyDescent="0.25">
      <c r="A13" s="12" t="s">
        <v>66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172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5" width="11.570312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2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0.58454106280193241</v>
      </c>
      <c r="E2" s="47">
        <f>Decomposition!I2</f>
        <v>0.55607693861871266</v>
      </c>
      <c r="F2" s="47">
        <f>$E2</f>
        <v>0.55607693861871266</v>
      </c>
      <c r="G2" s="47">
        <f t="shared" ref="G2:N2" si="0">$E2</f>
        <v>0.55607693861871266</v>
      </c>
      <c r="H2" s="47">
        <f t="shared" si="0"/>
        <v>0.55607693861871266</v>
      </c>
      <c r="I2" s="47">
        <f t="shared" si="0"/>
        <v>0.55607693861871266</v>
      </c>
      <c r="J2" s="47">
        <f t="shared" si="0"/>
        <v>0.55607693861871266</v>
      </c>
      <c r="K2" s="47">
        <f t="shared" si="0"/>
        <v>0.55607693861871266</v>
      </c>
      <c r="L2" s="47">
        <f t="shared" si="0"/>
        <v>0.55607693861871266</v>
      </c>
      <c r="M2" s="47">
        <f t="shared" si="0"/>
        <v>0.55607693861871266</v>
      </c>
      <c r="N2" s="47">
        <f t="shared" si="0"/>
        <v>0.55607693861871266</v>
      </c>
    </row>
    <row r="3" spans="1:15" x14ac:dyDescent="0.2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0.12077294685990338</v>
      </c>
      <c r="E3" s="48">
        <f>Decomposition!I4</f>
        <v>0.10210230411769609</v>
      </c>
      <c r="F3" s="47">
        <f t="shared" ref="F3:N4" si="1">$E3</f>
        <v>0.10210230411769609</v>
      </c>
      <c r="G3" s="47">
        <f t="shared" si="1"/>
        <v>0.10210230411769609</v>
      </c>
      <c r="H3" s="47">
        <f t="shared" si="1"/>
        <v>0.10210230411769609</v>
      </c>
      <c r="I3" s="47">
        <f t="shared" si="1"/>
        <v>0.10210230411769609</v>
      </c>
      <c r="J3" s="47">
        <f t="shared" si="1"/>
        <v>0.10210230411769609</v>
      </c>
      <c r="K3" s="47">
        <f t="shared" si="1"/>
        <v>0.10210230411769609</v>
      </c>
      <c r="L3" s="47">
        <f t="shared" si="1"/>
        <v>0.10210230411769609</v>
      </c>
      <c r="M3" s="47">
        <f t="shared" si="1"/>
        <v>0.10210230411769609</v>
      </c>
      <c r="N3" s="47">
        <f t="shared" si="1"/>
        <v>0.10210230411769609</v>
      </c>
    </row>
    <row r="4" spans="1:15" x14ac:dyDescent="0.2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0.29468599033816423</v>
      </c>
      <c r="E4" s="47">
        <f>Decomposition!I3</f>
        <v>0.34182075726359124</v>
      </c>
      <c r="F4" s="47">
        <f t="shared" si="1"/>
        <v>0.34182075726359124</v>
      </c>
      <c r="G4" s="47">
        <f t="shared" si="1"/>
        <v>0.34182075726359124</v>
      </c>
      <c r="H4" s="47">
        <f t="shared" si="1"/>
        <v>0.34182075726359124</v>
      </c>
      <c r="I4" s="47">
        <f t="shared" si="1"/>
        <v>0.34182075726359124</v>
      </c>
      <c r="J4" s="47">
        <f t="shared" si="1"/>
        <v>0.34182075726359124</v>
      </c>
      <c r="K4" s="47">
        <f t="shared" si="1"/>
        <v>0.34182075726359124</v>
      </c>
      <c r="L4" s="47">
        <f t="shared" si="1"/>
        <v>0.34182075726359124</v>
      </c>
      <c r="M4" s="47">
        <f t="shared" si="1"/>
        <v>0.34182075726359124</v>
      </c>
      <c r="N4" s="47">
        <f t="shared" si="1"/>
        <v>0.34182075726359124</v>
      </c>
    </row>
    <row r="5" spans="1:15" x14ac:dyDescent="0.2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2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0.62295081967213117</v>
      </c>
      <c r="E7" s="47">
        <f>Decomposition!H11</f>
        <v>0.64754098360655743</v>
      </c>
      <c r="F7" s="47">
        <f>E7</f>
        <v>0.64754098360655743</v>
      </c>
      <c r="G7" s="47">
        <f t="shared" ref="G7:N7" si="2">F7</f>
        <v>0.64754098360655743</v>
      </c>
      <c r="H7" s="47">
        <f t="shared" si="2"/>
        <v>0.64754098360655743</v>
      </c>
      <c r="I7" s="47">
        <f t="shared" si="2"/>
        <v>0.64754098360655743</v>
      </c>
      <c r="J7" s="47">
        <f t="shared" si="2"/>
        <v>0.64754098360655743</v>
      </c>
      <c r="K7" s="47">
        <f t="shared" si="2"/>
        <v>0.64754098360655743</v>
      </c>
      <c r="L7" s="47">
        <f t="shared" si="2"/>
        <v>0.64754098360655743</v>
      </c>
      <c r="M7" s="47">
        <f t="shared" si="2"/>
        <v>0.64754098360655743</v>
      </c>
      <c r="N7" s="47">
        <f t="shared" si="2"/>
        <v>0.64754098360655743</v>
      </c>
    </row>
    <row r="8" spans="1:15" x14ac:dyDescent="0.2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4.9180327868852458E-2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2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0.32786885245901637</v>
      </c>
      <c r="E9" s="47">
        <f>Decomposition!H13</f>
        <v>0.35245901639344257</v>
      </c>
      <c r="F9" s="47">
        <f t="shared" si="3"/>
        <v>0.35245901639344257</v>
      </c>
      <c r="G9" s="47">
        <f t="shared" si="3"/>
        <v>0.35245901639344257</v>
      </c>
      <c r="H9" s="47">
        <f t="shared" si="3"/>
        <v>0.35245901639344257</v>
      </c>
      <c r="I9" s="47">
        <f t="shared" si="3"/>
        <v>0.35245901639344257</v>
      </c>
      <c r="J9" s="47">
        <f t="shared" si="3"/>
        <v>0.35245901639344257</v>
      </c>
      <c r="K9" s="47">
        <f t="shared" si="3"/>
        <v>0.35245901639344257</v>
      </c>
      <c r="L9" s="47">
        <f t="shared" si="3"/>
        <v>0.35245901639344257</v>
      </c>
      <c r="M9" s="47">
        <f t="shared" si="3"/>
        <v>0.35245901639344257</v>
      </c>
      <c r="N9" s="47">
        <f t="shared" si="3"/>
        <v>0.35245901639344257</v>
      </c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2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0.8</v>
      </c>
      <c r="E12" s="47">
        <f>D12</f>
        <v>0.8</v>
      </c>
      <c r="F12" s="47">
        <f t="shared" ref="F12:N12" si="4">E12</f>
        <v>0.8</v>
      </c>
      <c r="G12" s="47">
        <f t="shared" si="4"/>
        <v>0.8</v>
      </c>
      <c r="H12" s="47">
        <f t="shared" si="4"/>
        <v>0.8</v>
      </c>
      <c r="I12" s="47">
        <f t="shared" si="4"/>
        <v>0.8</v>
      </c>
      <c r="J12" s="47">
        <f t="shared" si="4"/>
        <v>0.8</v>
      </c>
      <c r="K12" s="47">
        <f t="shared" si="4"/>
        <v>0.8</v>
      </c>
      <c r="L12" s="47">
        <f t="shared" si="4"/>
        <v>0.8</v>
      </c>
      <c r="M12" s="47">
        <f t="shared" si="4"/>
        <v>0.8</v>
      </c>
      <c r="N12" s="47">
        <f t="shared" si="4"/>
        <v>0.8</v>
      </c>
    </row>
    <row r="13" spans="1:15" x14ac:dyDescent="0.2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0.19999999999999996</v>
      </c>
      <c r="E13" s="47">
        <f>D13</f>
        <v>0.19999999999999996</v>
      </c>
      <c r="F13" s="47">
        <f t="shared" ref="F13:N13" si="6">E13</f>
        <v>0.19999999999999996</v>
      </c>
      <c r="G13" s="47">
        <f t="shared" si="6"/>
        <v>0.19999999999999996</v>
      </c>
      <c r="H13" s="47">
        <f t="shared" si="6"/>
        <v>0.19999999999999996</v>
      </c>
      <c r="I13" s="47">
        <f t="shared" si="6"/>
        <v>0.19999999999999996</v>
      </c>
      <c r="J13" s="47">
        <f t="shared" si="6"/>
        <v>0.19999999999999996</v>
      </c>
      <c r="K13" s="47">
        <f t="shared" si="6"/>
        <v>0.19999999999999996</v>
      </c>
      <c r="L13" s="47">
        <f t="shared" si="6"/>
        <v>0.19999999999999996</v>
      </c>
      <c r="M13" s="47">
        <f t="shared" si="6"/>
        <v>0.19999999999999996</v>
      </c>
      <c r="N13" s="47">
        <f t="shared" si="6"/>
        <v>0.19999999999999996</v>
      </c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2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4.9149999166666651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2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3.4352995833333324</v>
      </c>
      <c r="F17" s="24">
        <f>AVERAGE(O29:R29)</f>
        <v>3.5207104999999999</v>
      </c>
      <c r="G17" s="24">
        <f>AVERAGE(S29:V29)</f>
        <v>3.5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2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3.5176905833333323</v>
      </c>
      <c r="F18" s="24">
        <f>AVERAGE(O30:R30)</f>
        <v>3.3121497500000001</v>
      </c>
      <c r="G18" s="24">
        <f>AVERAGE(S30:V30)</f>
        <v>3.25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25">
      <c r="A19" s="21"/>
    </row>
    <row r="20" spans="1:82" s="49" customFormat="1" x14ac:dyDescent="0.2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4.0766143166666655</v>
      </c>
      <c r="F20" s="49">
        <f>0.6*F18+0.4*F16</f>
        <v>3.4672898500000002</v>
      </c>
      <c r="G20" s="49">
        <f t="shared" ref="G20:O20" si="9">0.6*G18+0.4*G16</f>
        <v>2.93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2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4.4892316561191619</v>
      </c>
      <c r="F21" s="49">
        <f>$E$2*F16+$E$3*F17+$E$4*F20</f>
        <v>3.6021489692499662</v>
      </c>
      <c r="G21" s="49">
        <f t="shared" ref="G21:N21" si="10">$E$2*G16+$E$3*G17+$E$4*G20</f>
        <v>2.7212813828101048</v>
      </c>
      <c r="H21" s="49">
        <f t="shared" si="10"/>
        <v>2.7212813828101048</v>
      </c>
      <c r="I21" s="49">
        <f t="shared" si="10"/>
        <v>2.7212813828101048</v>
      </c>
      <c r="J21" s="49">
        <f t="shared" si="10"/>
        <v>2.7212813828101048</v>
      </c>
      <c r="K21" s="49">
        <f t="shared" si="10"/>
        <v>2.7212813828101048</v>
      </c>
      <c r="L21" s="49">
        <f t="shared" si="10"/>
        <v>2.7212813828101048</v>
      </c>
      <c r="M21" s="49">
        <f t="shared" si="10"/>
        <v>2.7212813828101048</v>
      </c>
      <c r="N21" s="49">
        <f t="shared" si="10"/>
        <v>2.7212813828101048</v>
      </c>
      <c r="O21" s="49">
        <f>$E$2*O16+$E$3*O17+$E$4*O20</f>
        <v>2.7212813828101048</v>
      </c>
    </row>
    <row r="22" spans="1:82" x14ac:dyDescent="0.25">
      <c r="A22" s="21"/>
    </row>
    <row r="25" spans="1:82" x14ac:dyDescent="0.2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2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25">
      <c r="A27" s="21" t="s">
        <v>15</v>
      </c>
    </row>
    <row r="28" spans="1:82" s="19" customFormat="1" x14ac:dyDescent="0.2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2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3.5825650000000002</v>
      </c>
      <c r="N29">
        <v>3.5619670000000001</v>
      </c>
      <c r="O29">
        <v>3.5413730000000001</v>
      </c>
      <c r="P29">
        <v>3.5248620000000002</v>
      </c>
      <c r="Q29">
        <v>3.5124499999999999</v>
      </c>
      <c r="R29">
        <v>3.5041570000000002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2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3.7313529999999999</v>
      </c>
      <c r="N30">
        <v>3.552743</v>
      </c>
      <c r="O30">
        <v>3.3741699999999999</v>
      </c>
      <c r="P30">
        <v>3.3246039999999999</v>
      </c>
      <c r="Q30">
        <v>3.2873549999999998</v>
      </c>
      <c r="R30">
        <v>3.26247</v>
      </c>
      <c r="S30">
        <v>3.25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2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4.95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25">
      <c r="E34" t="s">
        <v>49</v>
      </c>
    </row>
    <row r="35" spans="1:82" x14ac:dyDescent="0.2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2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2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2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25"/>
    <row r="40" spans="1:82" x14ac:dyDescent="0.2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2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25">
      <c r="A43" s="20"/>
    </row>
    <row r="44" spans="1:8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2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2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25"/>
    <row r="58" spans="1:14" x14ac:dyDescent="0.2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2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2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2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2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2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2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2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2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2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2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2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2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2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2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2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2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2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2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2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2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2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2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2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2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2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2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2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2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2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2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2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25">
      <c r="C90">
        <v>3.5</v>
      </c>
      <c r="D90">
        <v>3.25</v>
      </c>
      <c r="E90">
        <v>2.4500000000000002</v>
      </c>
    </row>
    <row r="91" spans="3:13" x14ac:dyDescent="0.25">
      <c r="C91">
        <v>3.5</v>
      </c>
      <c r="D91">
        <v>3.25</v>
      </c>
      <c r="E91">
        <v>2.4500000000000002</v>
      </c>
    </row>
    <row r="92" spans="3:13" x14ac:dyDescent="0.25">
      <c r="C92">
        <v>3.5</v>
      </c>
      <c r="D92">
        <v>3.25</v>
      </c>
      <c r="E92">
        <v>2.4500000000000002</v>
      </c>
    </row>
    <row r="93" spans="3:13" x14ac:dyDescent="0.25">
      <c r="C93">
        <v>3.5</v>
      </c>
      <c r="D93">
        <v>3.25</v>
      </c>
      <c r="E93">
        <v>2.4500000000000002</v>
      </c>
    </row>
    <row r="94" spans="3:13" x14ac:dyDescent="0.25">
      <c r="C94">
        <v>3.5</v>
      </c>
      <c r="D94">
        <v>3.25</v>
      </c>
      <c r="E94">
        <v>2.4500000000000002</v>
      </c>
    </row>
    <row r="95" spans="3:13" x14ac:dyDescent="0.25">
      <c r="C95">
        <v>3.5</v>
      </c>
      <c r="D95">
        <v>3.25</v>
      </c>
      <c r="E95">
        <v>2.4500000000000002</v>
      </c>
    </row>
    <row r="96" spans="3:13" x14ac:dyDescent="0.25">
      <c r="C96">
        <v>3.5</v>
      </c>
      <c r="D96">
        <v>3.25</v>
      </c>
      <c r="E96">
        <v>2.4500000000000002</v>
      </c>
    </row>
    <row r="97" spans="3:5" x14ac:dyDescent="0.25">
      <c r="C97">
        <v>3.5</v>
      </c>
      <c r="D97">
        <v>3.25</v>
      </c>
      <c r="E97">
        <v>2.4500000000000002</v>
      </c>
    </row>
    <row r="98" spans="3:5" x14ac:dyDescent="0.25">
      <c r="C98">
        <v>3.5</v>
      </c>
      <c r="D98">
        <v>3.25</v>
      </c>
      <c r="E98">
        <v>2.4500000000000002</v>
      </c>
    </row>
    <row r="99" spans="3:5" x14ac:dyDescent="0.25">
      <c r="C99">
        <v>3.5</v>
      </c>
      <c r="D99">
        <v>3.25</v>
      </c>
      <c r="E99">
        <v>2.4500000000000002</v>
      </c>
    </row>
    <row r="100" spans="3:5" x14ac:dyDescent="0.2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29" sqref="E29"/>
    </sheetView>
  </sheetViews>
  <sheetFormatPr defaultRowHeight="15" x14ac:dyDescent="0.25"/>
  <cols>
    <col min="1" max="1" width="31.7109375" bestFit="1" customWidth="1"/>
    <col min="4" max="4" width="9.5703125" customWidth="1"/>
    <col min="5" max="5" width="25.140625" customWidth="1"/>
    <col min="6" max="6" width="15.28515625" customWidth="1"/>
    <col min="7" max="7" width="11" bestFit="1" customWidth="1"/>
    <col min="8" max="8" width="11.42578125" customWidth="1"/>
    <col min="9" max="9" width="14.85546875" customWidth="1"/>
    <col min="10" max="10" width="14.42578125" customWidth="1"/>
  </cols>
  <sheetData>
    <row r="1" spans="1:11" x14ac:dyDescent="0.2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25">
      <c r="A2" t="s">
        <v>69</v>
      </c>
      <c r="B2">
        <f>B22</f>
        <v>187</v>
      </c>
      <c r="C2">
        <f t="shared" ref="C2:D2" si="0">C22</f>
        <v>202</v>
      </c>
      <c r="D2">
        <f t="shared" si="0"/>
        <v>242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 t="shared" ref="H2:H4" si="1">D2/SUM(D$2:D$4)</f>
        <v>0.58454106280193241</v>
      </c>
      <c r="I2" s="65">
        <f>AVERAGE(G23,G24,G27,G28)</f>
        <v>0.55607693861871266</v>
      </c>
    </row>
    <row r="3" spans="1:11" x14ac:dyDescent="0.25">
      <c r="A3" t="s">
        <v>44</v>
      </c>
      <c r="B3">
        <f>SUM(B23:B25)</f>
        <v>140</v>
      </c>
      <c r="C3">
        <f t="shared" ref="C3:D3" si="2">SUM(C23:C25)</f>
        <v>118</v>
      </c>
      <c r="D3">
        <f t="shared" si="2"/>
        <v>122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 t="shared" si="1"/>
        <v>0.29468599033816423</v>
      </c>
      <c r="I3" s="65">
        <f>SUM(E37:E39)*I$6</f>
        <v>0.34182075726359124</v>
      </c>
      <c r="K3" s="20"/>
    </row>
    <row r="4" spans="1:11" x14ac:dyDescent="0.25">
      <c r="A4" t="s">
        <v>43</v>
      </c>
      <c r="B4">
        <f>SUM(B26:B28)</f>
        <v>112</v>
      </c>
      <c r="C4">
        <f t="shared" ref="C4:D4" si="3">SUM(C26:C28)</f>
        <v>66</v>
      </c>
      <c r="D4">
        <f t="shared" si="3"/>
        <v>50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 t="shared" si="1"/>
        <v>0.12077294685990338</v>
      </c>
      <c r="I4" s="65">
        <f>E40*I$6</f>
        <v>0.10210230411769609</v>
      </c>
      <c r="K4" s="20"/>
    </row>
    <row r="5" spans="1:11" x14ac:dyDescent="0.25">
      <c r="I5" s="20"/>
    </row>
    <row r="6" spans="1:11" x14ac:dyDescent="0.2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4">1-H2</f>
        <v>0.41545893719806759</v>
      </c>
      <c r="I6" s="65">
        <f t="shared" si="4"/>
        <v>0.44392306138128734</v>
      </c>
    </row>
    <row r="8" spans="1:11" x14ac:dyDescent="0.25">
      <c r="B8" s="20"/>
      <c r="C8" s="20"/>
      <c r="D8" s="20"/>
      <c r="E8" s="20"/>
      <c r="I8" s="65">
        <f>SUM(I2:I4)</f>
        <v>1</v>
      </c>
    </row>
    <row r="9" spans="1:11" x14ac:dyDescent="0.25">
      <c r="A9" t="s">
        <v>70</v>
      </c>
    </row>
    <row r="10" spans="1:11" x14ac:dyDescent="0.2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25">
      <c r="A11" t="s">
        <v>20</v>
      </c>
      <c r="B11">
        <f>B23</f>
        <v>67</v>
      </c>
      <c r="C11">
        <f t="shared" ref="C11:D11" si="5">C23</f>
        <v>67</v>
      </c>
      <c r="D11">
        <f t="shared" si="5"/>
        <v>76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0.62295081967213117</v>
      </c>
      <c r="H11" s="64">
        <f>G11+G12/2</f>
        <v>0.64754098360655743</v>
      </c>
    </row>
    <row r="12" spans="1:11" x14ac:dyDescent="0.25">
      <c r="A12" t="s">
        <v>21</v>
      </c>
      <c r="B12">
        <f t="shared" ref="B12:D13" si="6">B24</f>
        <v>29</v>
      </c>
      <c r="C12">
        <f t="shared" si="6"/>
        <v>20</v>
      </c>
      <c r="D12">
        <f t="shared" si="6"/>
        <v>6</v>
      </c>
      <c r="E12" s="64">
        <f t="shared" ref="E12:E13" si="7">B12/SUM(B$11:B$13)</f>
        <v>0.20714285714285716</v>
      </c>
      <c r="F12" s="64">
        <f>C12/SUM(C$11:C$13)</f>
        <v>0.16949152542372881</v>
      </c>
      <c r="G12" s="64">
        <f>D12/SUM(D$11:D$13)</f>
        <v>4.9180327868852458E-2</v>
      </c>
      <c r="H12">
        <v>0</v>
      </c>
    </row>
    <row r="13" spans="1:11" x14ac:dyDescent="0.25">
      <c r="A13" t="s">
        <v>22</v>
      </c>
      <c r="B13">
        <f t="shared" si="6"/>
        <v>44</v>
      </c>
      <c r="C13">
        <f t="shared" si="6"/>
        <v>31</v>
      </c>
      <c r="D13">
        <f t="shared" si="6"/>
        <v>40</v>
      </c>
      <c r="E13" s="64">
        <f t="shared" si="7"/>
        <v>0.31428571428571428</v>
      </c>
      <c r="F13" s="64">
        <f>C13/SUM(C$11:C$13)</f>
        <v>0.26271186440677968</v>
      </c>
      <c r="G13" s="64">
        <f>D13/SUM(D$11:D$13)</f>
        <v>0.32786885245901637</v>
      </c>
      <c r="H13" s="64">
        <f>G13+G12/2</f>
        <v>0.35245901639344257</v>
      </c>
    </row>
    <row r="16" spans="1:11" x14ac:dyDescent="0.25">
      <c r="F16" t="s">
        <v>190</v>
      </c>
      <c r="G16" s="62"/>
      <c r="H16" s="62"/>
      <c r="I16" t="s">
        <v>192</v>
      </c>
    </row>
    <row r="17" spans="1:14" x14ac:dyDescent="0.2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2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2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2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5.75" thickBot="1" x14ac:dyDescent="0.3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25">
      <c r="A22" s="56" t="s">
        <v>110</v>
      </c>
      <c r="B22" s="57">
        <v>187</v>
      </c>
      <c r="C22" s="57">
        <v>202</v>
      </c>
      <c r="D22" s="57">
        <v>242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25">
      <c r="A23" s="58" t="s">
        <v>111</v>
      </c>
      <c r="B23" s="59">
        <v>67</v>
      </c>
      <c r="C23" s="59">
        <v>67</v>
      </c>
      <c r="D23" s="59">
        <v>76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2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25">
      <c r="A25" s="58" t="s">
        <v>113</v>
      </c>
      <c r="B25" s="59">
        <v>44</v>
      </c>
      <c r="C25" s="59">
        <v>31</v>
      </c>
      <c r="D25" s="59">
        <v>40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25">
      <c r="A26" s="58" t="s">
        <v>114</v>
      </c>
      <c r="B26" s="59">
        <v>79</v>
      </c>
      <c r="C26" s="59">
        <v>52</v>
      </c>
      <c r="D26" s="59">
        <v>40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25">
      <c r="A27" s="58" t="s">
        <v>115</v>
      </c>
      <c r="B27" s="59">
        <v>28</v>
      </c>
      <c r="C27" s="59">
        <v>14</v>
      </c>
      <c r="D27" s="59">
        <v>10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25">
      <c r="A28" s="58" t="s">
        <v>116</v>
      </c>
      <c r="B28" s="59">
        <v>5</v>
      </c>
      <c r="C28" s="59" t="s">
        <v>117</v>
      </c>
      <c r="D28" s="59">
        <v>0</v>
      </c>
      <c r="F28" t="s">
        <v>191</v>
      </c>
      <c r="G28" s="20">
        <f>242/414</f>
        <v>0.58454106280193241</v>
      </c>
      <c r="H28" s="71"/>
    </row>
    <row r="29" spans="1:14" x14ac:dyDescent="0.25">
      <c r="A29" s="60" t="s">
        <v>118</v>
      </c>
      <c r="B29" s="57">
        <v>258</v>
      </c>
      <c r="C29" s="57">
        <v>185</v>
      </c>
      <c r="D29" s="57">
        <v>172</v>
      </c>
    </row>
    <row r="30" spans="1:14" x14ac:dyDescent="0.25">
      <c r="A30" s="56" t="s">
        <v>119</v>
      </c>
      <c r="B30" s="57">
        <v>444</v>
      </c>
      <c r="C30" s="57">
        <v>387</v>
      </c>
      <c r="D30" s="57">
        <v>414</v>
      </c>
      <c r="G30" s="20">
        <f>AVERAGE(G17:G24,G27:G28)</f>
        <v>0.55989304721402733</v>
      </c>
      <c r="H30" s="20"/>
    </row>
    <row r="32" spans="1:14" x14ac:dyDescent="0.25">
      <c r="B32">
        <f>B26/SUM(B26:B27)</f>
        <v>0.73831775700934577</v>
      </c>
      <c r="C32">
        <f>C26/SUM(C26:C27)</f>
        <v>0.78787878787878785</v>
      </c>
      <c r="D32">
        <f>D26/SUM(D26:D27)</f>
        <v>0.8</v>
      </c>
      <c r="N32">
        <f>213/435</f>
        <v>0.48965517241379308</v>
      </c>
    </row>
    <row r="33" spans="4:14" x14ac:dyDescent="0.25">
      <c r="N33">
        <f>213/425</f>
        <v>0.50117647058823533</v>
      </c>
    </row>
    <row r="34" spans="4:14" x14ac:dyDescent="0.25">
      <c r="N34">
        <f>213/425</f>
        <v>0.50117647058823533</v>
      </c>
    </row>
    <row r="35" spans="4:14" x14ac:dyDescent="0.25">
      <c r="N35">
        <f>219/593</f>
        <v>0.36930860033726814</v>
      </c>
    </row>
    <row r="36" spans="4:14" x14ac:dyDescent="0.2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25">
      <c r="D37" t="s">
        <v>111</v>
      </c>
      <c r="E37" s="63">
        <v>0.49</v>
      </c>
      <c r="F37" s="63">
        <v>0.44186046511627908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25">
      <c r="D38" t="s">
        <v>112</v>
      </c>
      <c r="E38" s="63">
        <v>0</v>
      </c>
      <c r="F38" s="63">
        <v>3.4883720930232558E-2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25">
      <c r="D39" t="s">
        <v>113</v>
      </c>
      <c r="E39" s="63">
        <v>0.28000000000000003</v>
      </c>
      <c r="F39" s="63">
        <v>0.23255813953488372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25">
      <c r="D40" t="s">
        <v>126</v>
      </c>
      <c r="E40" s="63">
        <v>0.23</v>
      </c>
      <c r="F40" s="63">
        <v>0.29069767441860467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2" spans="4:14" x14ac:dyDescent="0.25">
      <c r="E42" t="s">
        <v>127</v>
      </c>
    </row>
    <row r="43" spans="4:14" x14ac:dyDescent="0.25">
      <c r="E43" t="s">
        <v>128</v>
      </c>
    </row>
    <row r="44" spans="4:14" x14ac:dyDescent="0.2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2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2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2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2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interface with Web tool</vt:lpstr>
      <vt:lpstr>machine_readable</vt:lpstr>
      <vt:lpstr>Model</vt:lpstr>
      <vt:lpstr>For user (EN)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2023-11-28T16:01:49Z</dcterms:modified>
</cp:coreProperties>
</file>