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olloBlaze\Desktop\sqldeveloper\FDM Lessons\EXCEL\"/>
    </mc:Choice>
  </mc:AlternateContent>
  <xr:revisionPtr revIDLastSave="0" documentId="13_ncr:1_{425DBFC6-EE97-4E33-A571-929048447E8F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Cover" sheetId="9" r:id="rId1"/>
    <sheet name="Summary" sheetId="12" r:id="rId2"/>
    <sheet name="Assumptions" sheetId="11" r:id="rId3"/>
    <sheet name="Historic Data" sheetId="13" r:id="rId4"/>
    <sheet name="Code Breakdown" sheetId="7" r:id="rId5"/>
  </sheets>
  <definedNames>
    <definedName name="_xlnm._FilterDatabase" localSheetId="3" hidden="1">'Historic Data'!$A$2:$AN$45</definedName>
    <definedName name="k">Assumptions!$D$51</definedName>
    <definedName name="KML">Assumptions!$D$51</definedName>
    <definedName name="M">Assumptions!$D$52</definedName>
    <definedName name="_xlnm.Print_Area" localSheetId="2">Assumptions!$B$3:$K$25,Assumptions!$B$27:$K$53</definedName>
    <definedName name="_xlnm.Print_Area" localSheetId="4">'Code Breakdown'!$A$2:$M$45</definedName>
    <definedName name="_xlnm.Print_Area" localSheetId="0">Cover!$A$1:$P$33</definedName>
    <definedName name="_xlnm.Print_Area" localSheetId="3">'Historic Data'!$A$1:$AN$66,'Historic Data'!$AP$1:$BE$66</definedName>
    <definedName name="_xlnm.Print_Area" localSheetId="1">Summary!$B$2:$J$20,Summary!$B$23:$J$43,Summary!$B$46:$J$60</definedName>
    <definedName name="_xlnm.Print_Titles" localSheetId="2">Assumptions!$3:$5</definedName>
    <definedName name="_xlnm.Print_Titles" localSheetId="3">'Historic Data'!$A:$D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0" i="12" l="1"/>
  <c r="B26" i="12" l="1"/>
  <c r="BA4" i="13"/>
  <c r="BA5" i="13"/>
  <c r="BA6" i="13"/>
  <c r="BA7" i="13"/>
  <c r="BA8" i="13"/>
  <c r="BA9" i="13"/>
  <c r="BA10" i="13"/>
  <c r="BA11" i="13"/>
  <c r="BA12" i="13"/>
  <c r="BA13" i="13"/>
  <c r="BA14" i="13"/>
  <c r="BA15" i="13"/>
  <c r="BA16" i="13"/>
  <c r="BA17" i="13"/>
  <c r="BA18" i="13"/>
  <c r="BA19" i="13"/>
  <c r="BA20" i="13"/>
  <c r="BA21" i="13"/>
  <c r="BA22" i="13"/>
  <c r="BA23" i="13"/>
  <c r="BA24" i="13"/>
  <c r="BA25" i="13"/>
  <c r="BA26" i="13"/>
  <c r="BA27" i="13"/>
  <c r="BA28" i="13"/>
  <c r="BA29" i="13"/>
  <c r="BA30" i="13"/>
  <c r="BA31" i="13"/>
  <c r="BA32" i="13"/>
  <c r="BA33" i="13"/>
  <c r="BA34" i="13"/>
  <c r="BA35" i="13"/>
  <c r="BA36" i="13"/>
  <c r="BA37" i="13"/>
  <c r="BA38" i="13"/>
  <c r="BA39" i="13"/>
  <c r="BA40" i="13"/>
  <c r="BA41" i="13"/>
  <c r="BA42" i="13"/>
  <c r="BA43" i="13"/>
  <c r="BA44" i="13"/>
  <c r="BA45" i="13"/>
  <c r="BA3" i="13"/>
  <c r="AZ4" i="13"/>
  <c r="AZ5" i="13"/>
  <c r="AZ6" i="13"/>
  <c r="AZ7" i="13"/>
  <c r="AZ8" i="13"/>
  <c r="AZ9" i="13"/>
  <c r="AZ10" i="13"/>
  <c r="AZ11" i="13"/>
  <c r="AZ12" i="13"/>
  <c r="AZ13" i="13"/>
  <c r="AZ14" i="13"/>
  <c r="AZ15" i="13"/>
  <c r="AZ16" i="13"/>
  <c r="AZ17" i="13"/>
  <c r="AZ18" i="13"/>
  <c r="AZ19" i="13"/>
  <c r="AZ20" i="13"/>
  <c r="AZ21" i="13"/>
  <c r="AZ22" i="13"/>
  <c r="AZ23" i="13"/>
  <c r="AZ24" i="13"/>
  <c r="AZ25" i="13"/>
  <c r="AZ26" i="13"/>
  <c r="AZ27" i="13"/>
  <c r="AZ28" i="13"/>
  <c r="AZ29" i="13"/>
  <c r="AZ30" i="13"/>
  <c r="AZ31" i="13"/>
  <c r="AZ32" i="13"/>
  <c r="AZ33" i="13"/>
  <c r="AZ34" i="13"/>
  <c r="AZ35" i="13"/>
  <c r="AZ36" i="13"/>
  <c r="AZ37" i="13"/>
  <c r="AZ38" i="13"/>
  <c r="AZ39" i="13"/>
  <c r="AZ40" i="13"/>
  <c r="AZ41" i="13"/>
  <c r="AZ42" i="13"/>
  <c r="AZ43" i="13"/>
  <c r="AZ44" i="13"/>
  <c r="AZ45" i="13"/>
  <c r="AZ3" i="13"/>
  <c r="AY4" i="13"/>
  <c r="AY5" i="13"/>
  <c r="AY6" i="13"/>
  <c r="AY7" i="13"/>
  <c r="AY8" i="13"/>
  <c r="AY9" i="13"/>
  <c r="AY10" i="13"/>
  <c r="AY11" i="13"/>
  <c r="AY12" i="13"/>
  <c r="AY13" i="13"/>
  <c r="AY14" i="13"/>
  <c r="AY15" i="13"/>
  <c r="AY16" i="13"/>
  <c r="AY17" i="13"/>
  <c r="AY18" i="13"/>
  <c r="AY19" i="13"/>
  <c r="AY20" i="13"/>
  <c r="AY21" i="13"/>
  <c r="AY22" i="13"/>
  <c r="AY23" i="13"/>
  <c r="AY24" i="13"/>
  <c r="AY25" i="13"/>
  <c r="AY26" i="13"/>
  <c r="AY27" i="13"/>
  <c r="AY28" i="13"/>
  <c r="AY29" i="13"/>
  <c r="AY30" i="13"/>
  <c r="AY31" i="13"/>
  <c r="AY32" i="13"/>
  <c r="AY33" i="13"/>
  <c r="AY34" i="13"/>
  <c r="AY35" i="13"/>
  <c r="AY36" i="13"/>
  <c r="AY37" i="13"/>
  <c r="AY38" i="13"/>
  <c r="AY39" i="13"/>
  <c r="AY40" i="13"/>
  <c r="AY41" i="13"/>
  <c r="AY42" i="13"/>
  <c r="AY43" i="13"/>
  <c r="AY44" i="13"/>
  <c r="AY45" i="13"/>
  <c r="AY3" i="13"/>
  <c r="AX4" i="13"/>
  <c r="BE4" i="13" s="1"/>
  <c r="AX5" i="13"/>
  <c r="AX6" i="13"/>
  <c r="AX7" i="13"/>
  <c r="AX8" i="13"/>
  <c r="AX9" i="13"/>
  <c r="AX10" i="13"/>
  <c r="AX11" i="13"/>
  <c r="AX12" i="13"/>
  <c r="AX13" i="13"/>
  <c r="AX14" i="13"/>
  <c r="BE14" i="13" s="1"/>
  <c r="AX15" i="13"/>
  <c r="BE15" i="13" s="1"/>
  <c r="AX16" i="13"/>
  <c r="BE16" i="13" s="1"/>
  <c r="AX17" i="13"/>
  <c r="AX18" i="13"/>
  <c r="AX19" i="13"/>
  <c r="AX20" i="13"/>
  <c r="AX21" i="13"/>
  <c r="AX22" i="13"/>
  <c r="AX23" i="13"/>
  <c r="AX24" i="13"/>
  <c r="AX25" i="13"/>
  <c r="AX26" i="13"/>
  <c r="BE26" i="13" s="1"/>
  <c r="AX27" i="13"/>
  <c r="BE27" i="13" s="1"/>
  <c r="AX28" i="13"/>
  <c r="BE28" i="13" s="1"/>
  <c r="AX29" i="13"/>
  <c r="AX30" i="13"/>
  <c r="AX31" i="13"/>
  <c r="AX32" i="13"/>
  <c r="AX33" i="13"/>
  <c r="AX34" i="13"/>
  <c r="AX35" i="13"/>
  <c r="AX36" i="13"/>
  <c r="AX37" i="13"/>
  <c r="AX38" i="13"/>
  <c r="BE38" i="13" s="1"/>
  <c r="AX39" i="13"/>
  <c r="AX40" i="13"/>
  <c r="BE40" i="13" s="1"/>
  <c r="AX41" i="13"/>
  <c r="AX42" i="13"/>
  <c r="AX43" i="13"/>
  <c r="AX44" i="13"/>
  <c r="AX45" i="13"/>
  <c r="AX3" i="13"/>
  <c r="AW4" i="13"/>
  <c r="AW5" i="13"/>
  <c r="AW6" i="13"/>
  <c r="AW7" i="13"/>
  <c r="AW8" i="13"/>
  <c r="AW9" i="13"/>
  <c r="AW10" i="13"/>
  <c r="AW11" i="13"/>
  <c r="AW12" i="13"/>
  <c r="AW13" i="13"/>
  <c r="AW14" i="13"/>
  <c r="AW15" i="13"/>
  <c r="AW16" i="13"/>
  <c r="AW17" i="13"/>
  <c r="AW18" i="13"/>
  <c r="AW19" i="13"/>
  <c r="AW20" i="13"/>
  <c r="AW21" i="13"/>
  <c r="AW22" i="13"/>
  <c r="AW23" i="13"/>
  <c r="AW24" i="13"/>
  <c r="AW25" i="13"/>
  <c r="AW26" i="13"/>
  <c r="AW27" i="13"/>
  <c r="AW28" i="13"/>
  <c r="AW29" i="13"/>
  <c r="AW30" i="13"/>
  <c r="AW31" i="13"/>
  <c r="AW32" i="13"/>
  <c r="AW33" i="13"/>
  <c r="AW34" i="13"/>
  <c r="AW35" i="13"/>
  <c r="AW36" i="13"/>
  <c r="AW37" i="13"/>
  <c r="AW38" i="13"/>
  <c r="AW39" i="13"/>
  <c r="AW40" i="13"/>
  <c r="AW41" i="13"/>
  <c r="AW42" i="13"/>
  <c r="AW43" i="13"/>
  <c r="AW44" i="13"/>
  <c r="AW45" i="13"/>
  <c r="AW3" i="13"/>
  <c r="AV4" i="13"/>
  <c r="AV5" i="13"/>
  <c r="AV6" i="13"/>
  <c r="AV7" i="13"/>
  <c r="AV8" i="13"/>
  <c r="AV9" i="13"/>
  <c r="AV10" i="13"/>
  <c r="AV11" i="13"/>
  <c r="AV12" i="13"/>
  <c r="AV13" i="13"/>
  <c r="AV14" i="13"/>
  <c r="AV15" i="13"/>
  <c r="AV16" i="13"/>
  <c r="AV17" i="13"/>
  <c r="AV18" i="13"/>
  <c r="AV19" i="13"/>
  <c r="AV20" i="13"/>
  <c r="AV21" i="13"/>
  <c r="AV22" i="13"/>
  <c r="AV23" i="13"/>
  <c r="AV24" i="13"/>
  <c r="AV25" i="13"/>
  <c r="AV26" i="13"/>
  <c r="AV27" i="13"/>
  <c r="AV28" i="13"/>
  <c r="AV29" i="13"/>
  <c r="AV30" i="13"/>
  <c r="AV31" i="13"/>
  <c r="AV32" i="13"/>
  <c r="AV33" i="13"/>
  <c r="AV34" i="13"/>
  <c r="AV35" i="13"/>
  <c r="AV36" i="13"/>
  <c r="AV37" i="13"/>
  <c r="AV38" i="13"/>
  <c r="AV39" i="13"/>
  <c r="AV40" i="13"/>
  <c r="AV41" i="13"/>
  <c r="AV42" i="13"/>
  <c r="AV43" i="13"/>
  <c r="AV44" i="13"/>
  <c r="AV45" i="13"/>
  <c r="AV3" i="13"/>
  <c r="AU4" i="13"/>
  <c r="AU5" i="13"/>
  <c r="AU6" i="13"/>
  <c r="AU7" i="13"/>
  <c r="AU8" i="13"/>
  <c r="AU9" i="13"/>
  <c r="AU10" i="13"/>
  <c r="AU11" i="13"/>
  <c r="AU12" i="13"/>
  <c r="AU13" i="13"/>
  <c r="AU14" i="13"/>
  <c r="AU15" i="13"/>
  <c r="AU16" i="13"/>
  <c r="AU17" i="13"/>
  <c r="AU18" i="13"/>
  <c r="AU19" i="13"/>
  <c r="AU20" i="13"/>
  <c r="AU21" i="13"/>
  <c r="AU22" i="13"/>
  <c r="AU23" i="13"/>
  <c r="AU24" i="13"/>
  <c r="AU25" i="13"/>
  <c r="AU26" i="13"/>
  <c r="AU27" i="13"/>
  <c r="AU28" i="13"/>
  <c r="AU29" i="13"/>
  <c r="AU30" i="13"/>
  <c r="AU31" i="13"/>
  <c r="AU32" i="13"/>
  <c r="AU33" i="13"/>
  <c r="AU34" i="13"/>
  <c r="AU35" i="13"/>
  <c r="AU36" i="13"/>
  <c r="AU37" i="13"/>
  <c r="AU38" i="13"/>
  <c r="AU39" i="13"/>
  <c r="AU40" i="13"/>
  <c r="AU41" i="13"/>
  <c r="AU42" i="13"/>
  <c r="AU43" i="13"/>
  <c r="AU44" i="13"/>
  <c r="AU45" i="13"/>
  <c r="AU3" i="13"/>
  <c r="AT4" i="13"/>
  <c r="AT5" i="13"/>
  <c r="AT6" i="13"/>
  <c r="AT7" i="13"/>
  <c r="AT8" i="13"/>
  <c r="AT9" i="13"/>
  <c r="AT10" i="13"/>
  <c r="AT11" i="13"/>
  <c r="AT12" i="13"/>
  <c r="BD12" i="13" s="1"/>
  <c r="AT13" i="13"/>
  <c r="AT14" i="13"/>
  <c r="AT15" i="13"/>
  <c r="AT16" i="13"/>
  <c r="AT17" i="13"/>
  <c r="AT18" i="13"/>
  <c r="AT19" i="13"/>
  <c r="AT20" i="13"/>
  <c r="AT21" i="13"/>
  <c r="AT22" i="13"/>
  <c r="AT23" i="13"/>
  <c r="AT24" i="13"/>
  <c r="BD24" i="13" s="1"/>
  <c r="AT25" i="13"/>
  <c r="AT26" i="13"/>
  <c r="AT27" i="13"/>
  <c r="AT28" i="13"/>
  <c r="AT29" i="13"/>
  <c r="AT30" i="13"/>
  <c r="AT31" i="13"/>
  <c r="AT32" i="13"/>
  <c r="AT33" i="13"/>
  <c r="AT34" i="13"/>
  <c r="AT35" i="13"/>
  <c r="AT36" i="13"/>
  <c r="BD36" i="13" s="1"/>
  <c r="AT37" i="13"/>
  <c r="AT38" i="13"/>
  <c r="AT39" i="13"/>
  <c r="AT40" i="13"/>
  <c r="AT41" i="13"/>
  <c r="AT42" i="13"/>
  <c r="AT43" i="13"/>
  <c r="AT44" i="13"/>
  <c r="AT45" i="13"/>
  <c r="AT3" i="13"/>
  <c r="AS4" i="13"/>
  <c r="AS5" i="13"/>
  <c r="AS6" i="13"/>
  <c r="AS7" i="13"/>
  <c r="AS8" i="13"/>
  <c r="AS9" i="13"/>
  <c r="AS10" i="13"/>
  <c r="AS11" i="13"/>
  <c r="AS12" i="13"/>
  <c r="AS13" i="13"/>
  <c r="AS14" i="13"/>
  <c r="AS15" i="13"/>
  <c r="AS16" i="13"/>
  <c r="AS17" i="13"/>
  <c r="AS18" i="13"/>
  <c r="AS19" i="13"/>
  <c r="AS20" i="13"/>
  <c r="AS21" i="13"/>
  <c r="AS22" i="13"/>
  <c r="AS23" i="13"/>
  <c r="AS24" i="13"/>
  <c r="AS25" i="13"/>
  <c r="AS26" i="13"/>
  <c r="AS27" i="13"/>
  <c r="AS28" i="13"/>
  <c r="AS29" i="13"/>
  <c r="AS30" i="13"/>
  <c r="AS31" i="13"/>
  <c r="AS32" i="13"/>
  <c r="AS33" i="13"/>
  <c r="AS34" i="13"/>
  <c r="AS35" i="13"/>
  <c r="AS36" i="13"/>
  <c r="AS37" i="13"/>
  <c r="AS38" i="13"/>
  <c r="AS39" i="13"/>
  <c r="AS40" i="13"/>
  <c r="AS41" i="13"/>
  <c r="AS42" i="13"/>
  <c r="AS43" i="13"/>
  <c r="AS44" i="13"/>
  <c r="AS45" i="13"/>
  <c r="AS3" i="13"/>
  <c r="AR4" i="13"/>
  <c r="AR5" i="13"/>
  <c r="AR6" i="13"/>
  <c r="AR7" i="13"/>
  <c r="AR8" i="13"/>
  <c r="AR9" i="13"/>
  <c r="AR10" i="13"/>
  <c r="AR11" i="13"/>
  <c r="AR12" i="13"/>
  <c r="AR13" i="13"/>
  <c r="AR14" i="13"/>
  <c r="AR15" i="13"/>
  <c r="AR16" i="13"/>
  <c r="AR17" i="13"/>
  <c r="AR18" i="13"/>
  <c r="AR19" i="13"/>
  <c r="AR20" i="13"/>
  <c r="AR21" i="13"/>
  <c r="AR22" i="13"/>
  <c r="AR23" i="13"/>
  <c r="AR24" i="13"/>
  <c r="AR25" i="13"/>
  <c r="AR26" i="13"/>
  <c r="AR27" i="13"/>
  <c r="AR28" i="13"/>
  <c r="AR29" i="13"/>
  <c r="AR30" i="13"/>
  <c r="AR31" i="13"/>
  <c r="AR32" i="13"/>
  <c r="AR33" i="13"/>
  <c r="AR34" i="13"/>
  <c r="AR35" i="13"/>
  <c r="AR36" i="13"/>
  <c r="AR37" i="13"/>
  <c r="AR38" i="13"/>
  <c r="AR39" i="13"/>
  <c r="AR40" i="13"/>
  <c r="AR41" i="13"/>
  <c r="AR42" i="13"/>
  <c r="AR43" i="13"/>
  <c r="AR44" i="13"/>
  <c r="AR45" i="13"/>
  <c r="AR3" i="13"/>
  <c r="AQ4" i="13"/>
  <c r="AQ5" i="13"/>
  <c r="AQ6" i="13"/>
  <c r="AQ7" i="13"/>
  <c r="AQ8" i="13"/>
  <c r="AQ9" i="13"/>
  <c r="AQ10" i="13"/>
  <c r="AQ11" i="13"/>
  <c r="AQ12" i="13"/>
  <c r="AQ13" i="13"/>
  <c r="AQ14" i="13"/>
  <c r="AQ15" i="13"/>
  <c r="AQ16" i="13"/>
  <c r="AQ17" i="13"/>
  <c r="AQ18" i="13"/>
  <c r="AQ19" i="13"/>
  <c r="AQ20" i="13"/>
  <c r="AQ21" i="13"/>
  <c r="AQ22" i="13"/>
  <c r="AQ23" i="13"/>
  <c r="AQ24" i="13"/>
  <c r="AQ25" i="13"/>
  <c r="AQ26" i="13"/>
  <c r="AQ27" i="13"/>
  <c r="AQ28" i="13"/>
  <c r="AQ29" i="13"/>
  <c r="AQ30" i="13"/>
  <c r="AQ31" i="13"/>
  <c r="AQ32" i="13"/>
  <c r="AQ33" i="13"/>
  <c r="AQ34" i="13"/>
  <c r="AQ35" i="13"/>
  <c r="AQ36" i="13"/>
  <c r="AQ37" i="13"/>
  <c r="AQ38" i="13"/>
  <c r="AQ39" i="13"/>
  <c r="AQ40" i="13"/>
  <c r="AQ41" i="13"/>
  <c r="AQ42" i="13"/>
  <c r="AQ43" i="13"/>
  <c r="AQ44" i="13"/>
  <c r="AQ45" i="13"/>
  <c r="AQ3" i="13"/>
  <c r="AP4" i="13"/>
  <c r="AP5" i="13"/>
  <c r="AP6" i="13"/>
  <c r="BC6" i="13" s="1"/>
  <c r="AP7" i="13"/>
  <c r="BC7" i="13" s="1"/>
  <c r="AP8" i="13"/>
  <c r="BC8" i="13" s="1"/>
  <c r="AP9" i="13"/>
  <c r="AP10" i="13"/>
  <c r="AP11" i="13"/>
  <c r="AP12" i="13"/>
  <c r="AP13" i="13"/>
  <c r="AP14" i="13"/>
  <c r="AP15" i="13"/>
  <c r="AP16" i="13"/>
  <c r="AP17" i="13"/>
  <c r="AP18" i="13"/>
  <c r="BC18" i="13" s="1"/>
  <c r="AP19" i="13"/>
  <c r="BC19" i="13" s="1"/>
  <c r="AP20" i="13"/>
  <c r="BC20" i="13" s="1"/>
  <c r="AP21" i="13"/>
  <c r="AP22" i="13"/>
  <c r="AP23" i="13"/>
  <c r="AP24" i="13"/>
  <c r="AP25" i="13"/>
  <c r="AP26" i="13"/>
  <c r="AP27" i="13"/>
  <c r="AP28" i="13"/>
  <c r="AP29" i="13"/>
  <c r="AP30" i="13"/>
  <c r="BC30" i="13" s="1"/>
  <c r="AP31" i="13"/>
  <c r="BC31" i="13" s="1"/>
  <c r="AP32" i="13"/>
  <c r="BC32" i="13" s="1"/>
  <c r="AP33" i="13"/>
  <c r="AP34" i="13"/>
  <c r="AP35" i="13"/>
  <c r="AP36" i="13"/>
  <c r="AP37" i="13"/>
  <c r="AP38" i="13"/>
  <c r="AP39" i="13"/>
  <c r="AP40" i="13"/>
  <c r="AP41" i="13"/>
  <c r="AP42" i="13"/>
  <c r="BC42" i="13" s="1"/>
  <c r="AP43" i="13"/>
  <c r="BC43" i="13" s="1"/>
  <c r="AP44" i="13"/>
  <c r="BC44" i="13" s="1"/>
  <c r="AP45" i="13"/>
  <c r="AP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3" i="13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 s="1"/>
  <c r="B10" i="13" a="1"/>
  <c r="B10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/>
  <c r="B21" i="13" a="1"/>
  <c r="B21" i="13" s="1"/>
  <c r="B22" i="13" a="1"/>
  <c r="B22" i="13" s="1"/>
  <c r="B23" i="13" a="1"/>
  <c r="B23" i="13" s="1"/>
  <c r="B24" i="13" a="1"/>
  <c r="B24" i="13" s="1"/>
  <c r="B25" i="13" a="1"/>
  <c r="B25" i="13" s="1"/>
  <c r="B26" i="13" a="1"/>
  <c r="B26" i="13" s="1"/>
  <c r="B27" i="13" a="1"/>
  <c r="B27" i="13" s="1"/>
  <c r="B28" i="13" a="1"/>
  <c r="B28" i="13" s="1"/>
  <c r="B29" i="13" a="1"/>
  <c r="B29" i="13" s="1"/>
  <c r="B30" i="13" a="1"/>
  <c r="B30" i="13" s="1"/>
  <c r="B31" i="13" a="1"/>
  <c r="B31" i="13" s="1"/>
  <c r="B32" i="13" a="1"/>
  <c r="B32" i="13"/>
  <c r="B33" i="13" a="1"/>
  <c r="B33" i="13" s="1"/>
  <c r="B34" i="13" a="1"/>
  <c r="B34" i="13" s="1"/>
  <c r="B35" i="13" a="1"/>
  <c r="B35" i="13" s="1"/>
  <c r="B36" i="13" a="1"/>
  <c r="B36" i="13" s="1"/>
  <c r="B37" i="13" a="1"/>
  <c r="B37" i="13" s="1"/>
  <c r="B38" i="13" a="1"/>
  <c r="B38" i="13" s="1"/>
  <c r="B39" i="13" a="1"/>
  <c r="B39" i="13" s="1"/>
  <c r="B40" i="13" a="1"/>
  <c r="B40" i="13" s="1"/>
  <c r="B41" i="13" a="1"/>
  <c r="B41" i="13" s="1"/>
  <c r="B42" i="13" a="1"/>
  <c r="B42" i="13" s="1"/>
  <c r="B43" i="13" a="1"/>
  <c r="B43" i="13" s="1"/>
  <c r="B44" i="13" a="1"/>
  <c r="B44" i="13"/>
  <c r="B45" i="13" a="1"/>
  <c r="B45" i="13" s="1"/>
  <c r="B3" i="13" a="1"/>
  <c r="B3" i="13" s="1"/>
  <c r="BC13" i="13" l="1"/>
  <c r="BD33" i="13"/>
  <c r="BD21" i="13"/>
  <c r="BC38" i="13"/>
  <c r="BC26" i="13"/>
  <c r="BC14" i="13"/>
  <c r="BC45" i="13"/>
  <c r="BC33" i="13"/>
  <c r="BC21" i="13"/>
  <c r="BC9" i="13"/>
  <c r="BC56" i="13" s="1"/>
  <c r="BC40" i="13"/>
  <c r="BC28" i="13"/>
  <c r="BC16" i="13"/>
  <c r="BC4" i="13"/>
  <c r="BC35" i="13"/>
  <c r="BC23" i="13"/>
  <c r="BC11" i="13"/>
  <c r="BD42" i="13"/>
  <c r="BD30" i="13"/>
  <c r="BD18" i="13"/>
  <c r="BD6" i="13"/>
  <c r="BD44" i="13"/>
  <c r="BD52" i="13" s="1"/>
  <c r="D30" i="12" s="1" a="1"/>
  <c r="D30" i="12" s="1"/>
  <c r="BD32" i="13"/>
  <c r="BD20" i="13"/>
  <c r="BE3" i="13"/>
  <c r="BE34" i="13"/>
  <c r="BE22" i="13"/>
  <c r="BE10" i="13"/>
  <c r="BC37" i="13"/>
  <c r="BC25" i="13"/>
  <c r="BE45" i="13"/>
  <c r="BE33" i="13"/>
  <c r="BE21" i="13"/>
  <c r="BC36" i="13"/>
  <c r="BC24" i="13"/>
  <c r="BC12" i="13"/>
  <c r="BD40" i="13"/>
  <c r="BD28" i="13"/>
  <c r="BD16" i="13"/>
  <c r="BD4" i="13"/>
  <c r="BE44" i="13"/>
  <c r="BE32" i="13"/>
  <c r="BE20" i="13"/>
  <c r="BE8" i="13"/>
  <c r="BD3" i="13"/>
  <c r="BD34" i="13"/>
  <c r="BD22" i="13"/>
  <c r="BD60" i="13" s="1"/>
  <c r="D38" i="12" s="1" a="1"/>
  <c r="D38" i="12" s="1"/>
  <c r="BD10" i="13"/>
  <c r="BC39" i="13"/>
  <c r="BC27" i="13"/>
  <c r="BC15" i="13"/>
  <c r="BD43" i="13"/>
  <c r="BD31" i="13"/>
  <c r="BD19" i="13"/>
  <c r="BD7" i="13"/>
  <c r="BD51" i="13" s="1"/>
  <c r="BD45" i="13"/>
  <c r="BD9" i="13"/>
  <c r="BE35" i="13"/>
  <c r="BE23" i="13"/>
  <c r="BE60" i="13" s="1"/>
  <c r="E38" i="12" s="1" a="1"/>
  <c r="E38" i="12" s="1"/>
  <c r="BE11" i="13"/>
  <c r="BE37" i="13"/>
  <c r="BE25" i="13"/>
  <c r="BE13" i="13"/>
  <c r="AL61" i="13"/>
  <c r="BD8" i="13"/>
  <c r="BE41" i="13"/>
  <c r="BE29" i="13"/>
  <c r="BE17" i="13"/>
  <c r="BE5" i="13"/>
  <c r="BD41" i="13"/>
  <c r="BD29" i="13"/>
  <c r="BD17" i="13"/>
  <c r="BD5" i="13"/>
  <c r="BE9" i="13"/>
  <c r="BD35" i="13"/>
  <c r="BD23" i="13"/>
  <c r="BD11" i="13"/>
  <c r="BE39" i="13"/>
  <c r="BE59" i="13" s="1"/>
  <c r="E37" i="12" s="1" a="1"/>
  <c r="E37" i="12" s="1"/>
  <c r="AQ61" i="13"/>
  <c r="BC50" i="13"/>
  <c r="AF56" i="13"/>
  <c r="AC58" i="13"/>
  <c r="AZ53" i="13"/>
  <c r="AL51" i="13"/>
  <c r="AI53" i="13"/>
  <c r="AE56" i="13"/>
  <c r="AB58" i="13"/>
  <c r="Z61" i="13"/>
  <c r="AK52" i="13"/>
  <c r="BA60" i="13"/>
  <c r="AJ53" i="13"/>
  <c r="AA51" i="13"/>
  <c r="X53" i="13"/>
  <c r="T56" i="13"/>
  <c r="Q58" i="13"/>
  <c r="AP51" i="13"/>
  <c r="N61" i="13"/>
  <c r="BC41" i="13"/>
  <c r="BC29" i="13"/>
  <c r="BC17" i="13"/>
  <c r="BC5" i="13"/>
  <c r="Z51" i="13"/>
  <c r="W53" i="13"/>
  <c r="S56" i="13"/>
  <c r="P58" i="13"/>
  <c r="BA51" i="13"/>
  <c r="AJ60" i="13"/>
  <c r="BE36" i="13"/>
  <c r="BE24" i="13"/>
  <c r="BE12" i="13"/>
  <c r="O51" i="13"/>
  <c r="L53" i="13"/>
  <c r="H56" i="13"/>
  <c r="E59" i="13"/>
  <c r="E50" i="13"/>
  <c r="AT56" i="13"/>
  <c r="X60" i="13"/>
  <c r="AZ58" i="13"/>
  <c r="N51" i="13"/>
  <c r="K53" i="13"/>
  <c r="G56" i="13"/>
  <c r="AM59" i="13"/>
  <c r="AP50" i="13"/>
  <c r="AW57" i="13"/>
  <c r="L60" i="13"/>
  <c r="AN50" i="13"/>
  <c r="AJ52" i="13"/>
  <c r="AD57" i="13"/>
  <c r="AA59" i="13"/>
  <c r="AS50" i="13"/>
  <c r="BD53" i="13"/>
  <c r="D31" i="12" s="1" a="1"/>
  <c r="D31" i="12" s="1"/>
  <c r="BD56" i="13"/>
  <c r="AT62" i="13"/>
  <c r="AS61" i="13"/>
  <c r="AQ60" i="13"/>
  <c r="N60" i="13"/>
  <c r="Z60" i="13"/>
  <c r="AL60" i="13"/>
  <c r="P61" i="13"/>
  <c r="AB61" i="13"/>
  <c r="AN61" i="13"/>
  <c r="Q62" i="13"/>
  <c r="AC62" i="13"/>
  <c r="E61" i="13"/>
  <c r="AS59" i="13"/>
  <c r="AN59" i="13"/>
  <c r="BC58" i="13"/>
  <c r="C36" i="12" s="1" a="1"/>
  <c r="C36" i="12" s="1"/>
  <c r="AY57" i="13"/>
  <c r="AV56" i="13"/>
  <c r="AQ53" i="13"/>
  <c r="BE53" i="13"/>
  <c r="E31" i="12" s="1" a="1"/>
  <c r="E31" i="12" s="1"/>
  <c r="AZ52" i="13"/>
  <c r="AU50" i="13"/>
  <c r="AR51" i="13"/>
  <c r="H50" i="13"/>
  <c r="F59" i="13"/>
  <c r="R59" i="13"/>
  <c r="AD59" i="13"/>
  <c r="G58" i="13"/>
  <c r="S58" i="13"/>
  <c r="AE58" i="13"/>
  <c r="I57" i="13"/>
  <c r="U57" i="13"/>
  <c r="AG57" i="13"/>
  <c r="J56" i="13"/>
  <c r="V56" i="13"/>
  <c r="AH56" i="13"/>
  <c r="N53" i="13"/>
  <c r="Z53" i="13"/>
  <c r="AL53" i="13"/>
  <c r="O52" i="13"/>
  <c r="AA52" i="13"/>
  <c r="AM52" i="13"/>
  <c r="Q51" i="13"/>
  <c r="AC51" i="13"/>
  <c r="F50" i="13"/>
  <c r="S50" i="13"/>
  <c r="AE50" i="13"/>
  <c r="N50" i="13"/>
  <c r="AU62" i="13"/>
  <c r="AT61" i="13"/>
  <c r="AR60" i="13"/>
  <c r="AP61" i="13"/>
  <c r="O60" i="13"/>
  <c r="AA60" i="13"/>
  <c r="AM60" i="13"/>
  <c r="Q61" i="13"/>
  <c r="AC61" i="13"/>
  <c r="F62" i="13"/>
  <c r="R62" i="13"/>
  <c r="AD62" i="13"/>
  <c r="E62" i="13"/>
  <c r="AT59" i="13"/>
  <c r="AQ58" i="13"/>
  <c r="AZ57" i="13"/>
  <c r="AW56" i="13"/>
  <c r="AR53" i="13"/>
  <c r="AP53" i="13"/>
  <c r="BA52" i="13"/>
  <c r="AV50" i="13"/>
  <c r="AS51" i="13"/>
  <c r="G59" i="13"/>
  <c r="S59" i="13"/>
  <c r="AE59" i="13"/>
  <c r="H58" i="13"/>
  <c r="T58" i="13"/>
  <c r="AF58" i="13"/>
  <c r="J57" i="13"/>
  <c r="V57" i="13"/>
  <c r="AH57" i="13"/>
  <c r="K56" i="13"/>
  <c r="W56" i="13"/>
  <c r="AI56" i="13"/>
  <c r="O53" i="13"/>
  <c r="AA53" i="13"/>
  <c r="AM53" i="13"/>
  <c r="P52" i="13"/>
  <c r="AB52" i="13"/>
  <c r="F51" i="13"/>
  <c r="R51" i="13"/>
  <c r="AD51" i="13"/>
  <c r="G50" i="13"/>
  <c r="T50" i="13"/>
  <c r="AF50" i="13"/>
  <c r="Z58" i="13"/>
  <c r="AB57" i="13"/>
  <c r="I53" i="13"/>
  <c r="V52" i="13"/>
  <c r="Z50" i="13"/>
  <c r="AV62" i="13"/>
  <c r="AU61" i="13"/>
  <c r="AS60" i="13"/>
  <c r="AP60" i="13"/>
  <c r="P60" i="13"/>
  <c r="AB60" i="13"/>
  <c r="F61" i="13"/>
  <c r="R61" i="13"/>
  <c r="AD61" i="13"/>
  <c r="G62" i="13"/>
  <c r="S62" i="13"/>
  <c r="AE62" i="13"/>
  <c r="E60" i="13"/>
  <c r="AU59" i="13"/>
  <c r="AR58" i="13"/>
  <c r="AP58" i="13"/>
  <c r="BA57" i="13"/>
  <c r="AX56" i="13"/>
  <c r="AS53" i="13"/>
  <c r="E53" i="13"/>
  <c r="BC52" i="13"/>
  <c r="C30" i="12" s="1" a="1"/>
  <c r="C30" i="12" s="1"/>
  <c r="AW50" i="13"/>
  <c r="AT51" i="13"/>
  <c r="H59" i="13"/>
  <c r="T59" i="13"/>
  <c r="AF59" i="13"/>
  <c r="I58" i="13"/>
  <c r="U58" i="13"/>
  <c r="AG58" i="13"/>
  <c r="K57" i="13"/>
  <c r="W57" i="13"/>
  <c r="AI57" i="13"/>
  <c r="L56" i="13"/>
  <c r="X56" i="13"/>
  <c r="AJ56" i="13"/>
  <c r="P53" i="13"/>
  <c r="AB53" i="13"/>
  <c r="AN53" i="13"/>
  <c r="Q52" i="13"/>
  <c r="AC52" i="13"/>
  <c r="G51" i="13"/>
  <c r="S51" i="13"/>
  <c r="AE51" i="13"/>
  <c r="I50" i="13"/>
  <c r="U50" i="13"/>
  <c r="AG50" i="13"/>
  <c r="AX53" i="13"/>
  <c r="Q56" i="13"/>
  <c r="L51" i="13"/>
  <c r="AW62" i="13"/>
  <c r="AV61" i="13"/>
  <c r="AT60" i="13"/>
  <c r="AN60" i="13"/>
  <c r="Q60" i="13"/>
  <c r="AC60" i="13"/>
  <c r="G61" i="13"/>
  <c r="S61" i="13"/>
  <c r="AE61" i="13"/>
  <c r="H62" i="13"/>
  <c r="T62" i="13"/>
  <c r="AF62" i="13"/>
  <c r="AV59" i="13"/>
  <c r="AS58" i="13"/>
  <c r="AN58" i="13"/>
  <c r="AY56" i="13"/>
  <c r="AT53" i="13"/>
  <c r="AQ52" i="13"/>
  <c r="BE52" i="13"/>
  <c r="E30" i="12" s="1" a="1"/>
  <c r="E30" i="12" s="1"/>
  <c r="AX50" i="13"/>
  <c r="AU51" i="13"/>
  <c r="I59" i="13"/>
  <c r="U59" i="13"/>
  <c r="AG59" i="13"/>
  <c r="J58" i="13"/>
  <c r="V58" i="13"/>
  <c r="AH58" i="13"/>
  <c r="L57" i="13"/>
  <c r="X57" i="13"/>
  <c r="AJ57" i="13"/>
  <c r="M56" i="13"/>
  <c r="Y56" i="13"/>
  <c r="AK56" i="13"/>
  <c r="Q53" i="13"/>
  <c r="AC53" i="13"/>
  <c r="F52" i="13"/>
  <c r="R52" i="13"/>
  <c r="AD52" i="13"/>
  <c r="H51" i="13"/>
  <c r="T51" i="13"/>
  <c r="AF51" i="13"/>
  <c r="J50" i="13"/>
  <c r="V50" i="13"/>
  <c r="AH50" i="13"/>
  <c r="AX62" i="13"/>
  <c r="AW61" i="13"/>
  <c r="AU60" i="13"/>
  <c r="F60" i="13"/>
  <c r="R60" i="13"/>
  <c r="AD60" i="13"/>
  <c r="H61" i="13"/>
  <c r="T61" i="13"/>
  <c r="AF61" i="13"/>
  <c r="I62" i="13"/>
  <c r="U62" i="13"/>
  <c r="AG62" i="13"/>
  <c r="AW59" i="13"/>
  <c r="AT58" i="13"/>
  <c r="AQ57" i="13"/>
  <c r="AZ56" i="13"/>
  <c r="AU53" i="13"/>
  <c r="AR52" i="13"/>
  <c r="AP52" i="13"/>
  <c r="AY50" i="13"/>
  <c r="AV51" i="13"/>
  <c r="J59" i="13"/>
  <c r="V59" i="13"/>
  <c r="AH59" i="13"/>
  <c r="K58" i="13"/>
  <c r="W58" i="13"/>
  <c r="AI58" i="13"/>
  <c r="M57" i="13"/>
  <c r="Y57" i="13"/>
  <c r="AK57" i="13"/>
  <c r="N56" i="13"/>
  <c r="Z56" i="13"/>
  <c r="AL56" i="13"/>
  <c r="F53" i="13"/>
  <c r="R53" i="13"/>
  <c r="AD53" i="13"/>
  <c r="G52" i="13"/>
  <c r="S52" i="13"/>
  <c r="AE52" i="13"/>
  <c r="I51" i="13"/>
  <c r="U51" i="13"/>
  <c r="AG51" i="13"/>
  <c r="K50" i="13"/>
  <c r="W50" i="13"/>
  <c r="AI50" i="13"/>
  <c r="AC56" i="13"/>
  <c r="AH52" i="13"/>
  <c r="AY62" i="13"/>
  <c r="AX61" i="13"/>
  <c r="AV60" i="13"/>
  <c r="G60" i="13"/>
  <c r="S60" i="13"/>
  <c r="AE60" i="13"/>
  <c r="I61" i="13"/>
  <c r="U61" i="13"/>
  <c r="AG61" i="13"/>
  <c r="J62" i="13"/>
  <c r="V62" i="13"/>
  <c r="AH62" i="13"/>
  <c r="AX59" i="13"/>
  <c r="AU58" i="13"/>
  <c r="AR57" i="13"/>
  <c r="AP57" i="13"/>
  <c r="BA56" i="13"/>
  <c r="AV53" i="13"/>
  <c r="AS52" i="13"/>
  <c r="E52" i="13"/>
  <c r="AZ50" i="13"/>
  <c r="AW51" i="13"/>
  <c r="K59" i="13"/>
  <c r="W59" i="13"/>
  <c r="AI59" i="13"/>
  <c r="L58" i="13"/>
  <c r="X58" i="13"/>
  <c r="AJ58" i="13"/>
  <c r="N57" i="13"/>
  <c r="Z57" i="13"/>
  <c r="AL57" i="13"/>
  <c r="O56" i="13"/>
  <c r="AA56" i="13"/>
  <c r="AM56" i="13"/>
  <c r="G53" i="13"/>
  <c r="S53" i="13"/>
  <c r="AE53" i="13"/>
  <c r="H52" i="13"/>
  <c r="T52" i="13"/>
  <c r="AF52" i="13"/>
  <c r="J51" i="13"/>
  <c r="V51" i="13"/>
  <c r="AH51" i="13"/>
  <c r="L50" i="13"/>
  <c r="X50" i="13"/>
  <c r="AJ50" i="13"/>
  <c r="AL58" i="13"/>
  <c r="U53" i="13"/>
  <c r="X51" i="13"/>
  <c r="AZ62" i="13"/>
  <c r="AY61" i="13"/>
  <c r="AW60" i="13"/>
  <c r="H60" i="13"/>
  <c r="T60" i="13"/>
  <c r="AF60" i="13"/>
  <c r="J61" i="13"/>
  <c r="V61" i="13"/>
  <c r="AH61" i="13"/>
  <c r="K62" i="13"/>
  <c r="W62" i="13"/>
  <c r="AI62" i="13"/>
  <c r="AY59" i="13"/>
  <c r="AV58" i="13"/>
  <c r="AS57" i="13"/>
  <c r="E57" i="13"/>
  <c r="AW53" i="13"/>
  <c r="AT52" i="13"/>
  <c r="BC51" i="13"/>
  <c r="C29" i="12" s="1" a="1"/>
  <c r="C29" i="12" s="1"/>
  <c r="BA50" i="13"/>
  <c r="AX51" i="13"/>
  <c r="L59" i="13"/>
  <c r="X59" i="13"/>
  <c r="AJ59" i="13"/>
  <c r="M58" i="13"/>
  <c r="Y58" i="13"/>
  <c r="AK58" i="13"/>
  <c r="O57" i="13"/>
  <c r="AA57" i="13"/>
  <c r="AM57" i="13"/>
  <c r="P56" i="13"/>
  <c r="AB56" i="13"/>
  <c r="AN56" i="13"/>
  <c r="H53" i="13"/>
  <c r="T53" i="13"/>
  <c r="AF53" i="13"/>
  <c r="I52" i="13"/>
  <c r="U52" i="13"/>
  <c r="AG52" i="13"/>
  <c r="K51" i="13"/>
  <c r="W51" i="13"/>
  <c r="AI51" i="13"/>
  <c r="M50" i="13"/>
  <c r="Y50" i="13"/>
  <c r="AK50" i="13"/>
  <c r="BA62" i="13"/>
  <c r="AZ61" i="13"/>
  <c r="AX60" i="13"/>
  <c r="I60" i="13"/>
  <c r="U60" i="13"/>
  <c r="AG60" i="13"/>
  <c r="K61" i="13"/>
  <c r="W61" i="13"/>
  <c r="AI61" i="13"/>
  <c r="L62" i="13"/>
  <c r="X62" i="13"/>
  <c r="AJ62" i="13"/>
  <c r="AZ59" i="13"/>
  <c r="AW58" i="13"/>
  <c r="AT57" i="13"/>
  <c r="AQ56" i="13"/>
  <c r="AU52" i="13"/>
  <c r="AY51" i="13"/>
  <c r="M59" i="13"/>
  <c r="Y59" i="13"/>
  <c r="AK59" i="13"/>
  <c r="N58" i="13"/>
  <c r="P57" i="13"/>
  <c r="AN57" i="13"/>
  <c r="AG53" i="13"/>
  <c r="AJ51" i="13"/>
  <c r="AL50" i="13"/>
  <c r="BA61" i="13"/>
  <c r="AY60" i="13"/>
  <c r="J60" i="13"/>
  <c r="V60" i="13"/>
  <c r="AH60" i="13"/>
  <c r="L61" i="13"/>
  <c r="X61" i="13"/>
  <c r="AJ61" i="13"/>
  <c r="M62" i="13"/>
  <c r="Y62" i="13"/>
  <c r="AK62" i="13"/>
  <c r="BA59" i="13"/>
  <c r="AX58" i="13"/>
  <c r="AU57" i="13"/>
  <c r="AR56" i="13"/>
  <c r="AP56" i="13"/>
  <c r="AY53" i="13"/>
  <c r="AV52" i="13"/>
  <c r="AQ50" i="13"/>
  <c r="AZ51" i="13"/>
  <c r="N59" i="13"/>
  <c r="Z59" i="13"/>
  <c r="AL59" i="13"/>
  <c r="O58" i="13"/>
  <c r="AA58" i="13"/>
  <c r="AM58" i="13"/>
  <c r="Q57" i="13"/>
  <c r="AC57" i="13"/>
  <c r="F56" i="13"/>
  <c r="R56" i="13"/>
  <c r="AD56" i="13"/>
  <c r="J53" i="13"/>
  <c r="V53" i="13"/>
  <c r="AH53" i="13"/>
  <c r="K52" i="13"/>
  <c r="W52" i="13"/>
  <c r="AI52" i="13"/>
  <c r="M51" i="13"/>
  <c r="Y51" i="13"/>
  <c r="AK51" i="13"/>
  <c r="O50" i="13"/>
  <c r="O54" i="13" s="1"/>
  <c r="AA50" i="13"/>
  <c r="AA54" i="13" s="1"/>
  <c r="AM50" i="13"/>
  <c r="AQ62" i="13"/>
  <c r="BC61" i="13"/>
  <c r="C39" i="12" s="1" a="1"/>
  <c r="C39" i="12" s="1"/>
  <c r="AZ60" i="13"/>
  <c r="K60" i="13"/>
  <c r="W60" i="13"/>
  <c r="AI60" i="13"/>
  <c r="M61" i="13"/>
  <c r="Y61" i="13"/>
  <c r="AK61" i="13"/>
  <c r="Z62" i="13"/>
  <c r="AL62" i="13"/>
  <c r="AN52" i="13"/>
  <c r="AY58" i="13"/>
  <c r="AV57" i="13"/>
  <c r="E56" i="13"/>
  <c r="N62" i="13"/>
  <c r="AS56" i="13"/>
  <c r="AS63" i="13" s="1"/>
  <c r="AS62" i="13"/>
  <c r="AR61" i="13"/>
  <c r="AP62" i="13"/>
  <c r="M60" i="13"/>
  <c r="Y60" i="13"/>
  <c r="AK60" i="13"/>
  <c r="O61" i="13"/>
  <c r="AA61" i="13"/>
  <c r="AM61" i="13"/>
  <c r="P62" i="13"/>
  <c r="AB62" i="13"/>
  <c r="AN62" i="13"/>
  <c r="AR59" i="13"/>
  <c r="AP59" i="13"/>
  <c r="BA58" i="13"/>
  <c r="AX57" i="13"/>
  <c r="AU56" i="13"/>
  <c r="BC53" i="13"/>
  <c r="C31" i="12" s="1" a="1"/>
  <c r="C31" i="12" s="1"/>
  <c r="AY52" i="13"/>
  <c r="AT50" i="13"/>
  <c r="AT54" i="13" s="1"/>
  <c r="AQ51" i="13"/>
  <c r="E51" i="13"/>
  <c r="E58" i="13"/>
  <c r="Q59" i="13"/>
  <c r="AC59" i="13"/>
  <c r="F58" i="13"/>
  <c r="R58" i="13"/>
  <c r="AD58" i="13"/>
  <c r="H57" i="13"/>
  <c r="T57" i="13"/>
  <c r="AF57" i="13"/>
  <c r="I56" i="13"/>
  <c r="U56" i="13"/>
  <c r="AG56" i="13"/>
  <c r="M53" i="13"/>
  <c r="Y53" i="13"/>
  <c r="AK53" i="13"/>
  <c r="N52" i="13"/>
  <c r="Z52" i="13"/>
  <c r="AL52" i="13"/>
  <c r="P51" i="13"/>
  <c r="AB51" i="13"/>
  <c r="AN51" i="13"/>
  <c r="R50" i="13"/>
  <c r="R54" i="13" s="1"/>
  <c r="AD50" i="13"/>
  <c r="AD54" i="13" s="1"/>
  <c r="J52" i="13"/>
  <c r="Y52" i="13"/>
  <c r="BD39" i="13"/>
  <c r="BD27" i="13"/>
  <c r="BD15" i="13"/>
  <c r="BE43" i="13"/>
  <c r="BE31" i="13"/>
  <c r="BE56" i="13" s="1"/>
  <c r="BE19" i="13"/>
  <c r="BE61" i="13" s="1"/>
  <c r="E39" i="12" s="1" a="1"/>
  <c r="E39" i="12" s="1"/>
  <c r="BE7" i="13"/>
  <c r="BE51" i="13" s="1"/>
  <c r="E29" i="12" s="1" a="1"/>
  <c r="E29" i="12" s="1"/>
  <c r="AB50" i="13"/>
  <c r="X52" i="13"/>
  <c r="R57" i="13"/>
  <c r="O59" i="13"/>
  <c r="AX52" i="13"/>
  <c r="AM62" i="13"/>
  <c r="AR62" i="13"/>
  <c r="P59" i="13"/>
  <c r="AQ59" i="13"/>
  <c r="BC34" i="13"/>
  <c r="BC22" i="13"/>
  <c r="BC60" i="13" s="1"/>
  <c r="C38" i="12" s="1" a="1"/>
  <c r="C38" i="12" s="1"/>
  <c r="BC10" i="13"/>
  <c r="BC59" i="13" s="1"/>
  <c r="C37" i="12" s="1" a="1"/>
  <c r="C37" i="12" s="1"/>
  <c r="BD38" i="13"/>
  <c r="BD26" i="13"/>
  <c r="BD58" i="13" s="1"/>
  <c r="D36" i="12" s="1" a="1"/>
  <c r="D36" i="12" s="1"/>
  <c r="BD14" i="13"/>
  <c r="BD50" i="13" s="1"/>
  <c r="D28" i="12" s="1" a="1"/>
  <c r="D28" i="12" s="1"/>
  <c r="BE42" i="13"/>
  <c r="BE62" i="13" s="1"/>
  <c r="E40" i="12" s="1" a="1"/>
  <c r="E40" i="12" s="1"/>
  <c r="BE30" i="13"/>
  <c r="BE50" i="13" s="1"/>
  <c r="BE18" i="13"/>
  <c r="BE57" i="13" s="1"/>
  <c r="E35" i="12" s="1" a="1"/>
  <c r="E35" i="12" s="1"/>
  <c r="BE6" i="13"/>
  <c r="Q50" i="13"/>
  <c r="M52" i="13"/>
  <c r="G57" i="13"/>
  <c r="AW52" i="13"/>
  <c r="AA62" i="13"/>
  <c r="AB59" i="13"/>
  <c r="AC50" i="13"/>
  <c r="S57" i="13"/>
  <c r="AR50" i="13"/>
  <c r="AR54" i="13" s="1"/>
  <c r="BD37" i="13"/>
  <c r="BD59" i="13" s="1"/>
  <c r="D37" i="12" s="1" a="1"/>
  <c r="D37" i="12" s="1"/>
  <c r="BD25" i="13"/>
  <c r="BD13" i="13"/>
  <c r="P50" i="13"/>
  <c r="L52" i="13"/>
  <c r="F57" i="13"/>
  <c r="BA53" i="13"/>
  <c r="O62" i="13"/>
  <c r="AE57" i="13"/>
  <c r="AM51" i="13"/>
  <c r="BC3" i="13"/>
  <c r="BC57" i="13" s="1"/>
  <c r="C35" i="12" s="1" a="1"/>
  <c r="C35" i="12" s="1"/>
  <c r="C6" i="9"/>
  <c r="BC2" i="13"/>
  <c r="BD2" i="13" s="1"/>
  <c r="BE2" i="13" s="1"/>
  <c r="AX1" i="13" s="1"/>
  <c r="G4" i="11"/>
  <c r="F4" i="11" s="1"/>
  <c r="E4" i="11" s="1"/>
  <c r="D4" i="11" s="1"/>
  <c r="F26" i="12"/>
  <c r="E26" i="12" s="1"/>
  <c r="D26" i="12" s="1"/>
  <c r="C26" i="12" s="1"/>
  <c r="F5" i="12"/>
  <c r="E5" i="12" s="1"/>
  <c r="D5" i="12" s="1"/>
  <c r="C5" i="12" s="1"/>
  <c r="BC62" i="13" l="1"/>
  <c r="C40" i="12" s="1" a="1"/>
  <c r="C40" i="12" s="1"/>
  <c r="BE58" i="13"/>
  <c r="E36" i="12" s="1" a="1"/>
  <c r="E36" i="12" s="1"/>
  <c r="BD61" i="13"/>
  <c r="D39" i="12" s="1" a="1"/>
  <c r="D39" i="12" s="1"/>
  <c r="BD57" i="13"/>
  <c r="D35" i="12" s="1" a="1"/>
  <c r="D35" i="12" s="1"/>
  <c r="BD62" i="13"/>
  <c r="D40" i="12" s="1" a="1"/>
  <c r="D40" i="12" s="1"/>
  <c r="AR63" i="13"/>
  <c r="AN54" i="13"/>
  <c r="K54" i="13"/>
  <c r="N63" i="13"/>
  <c r="AY63" i="13"/>
  <c r="AX63" i="13"/>
  <c r="AC63" i="13"/>
  <c r="F54" i="13"/>
  <c r="E54" i="13"/>
  <c r="AV63" i="13"/>
  <c r="E63" i="13"/>
  <c r="AN63" i="13"/>
  <c r="AN65" i="13" s="1"/>
  <c r="K63" i="13"/>
  <c r="K65" i="13" s="1"/>
  <c r="AB54" i="13"/>
  <c r="AL54" i="13"/>
  <c r="AQ63" i="13"/>
  <c r="AP54" i="13"/>
  <c r="G54" i="13"/>
  <c r="AE63" i="13"/>
  <c r="T54" i="13"/>
  <c r="AG63" i="13"/>
  <c r="Z54" i="13"/>
  <c r="G63" i="13"/>
  <c r="P63" i="13"/>
  <c r="E34" i="12" a="1"/>
  <c r="E34" i="12" s="1"/>
  <c r="BE63" i="13"/>
  <c r="AK63" i="13"/>
  <c r="AJ63" i="13"/>
  <c r="I63" i="13"/>
  <c r="AQ54" i="13"/>
  <c r="AQ65" i="13" s="1"/>
  <c r="AK54" i="13"/>
  <c r="AH54" i="13"/>
  <c r="Y63" i="13"/>
  <c r="AX54" i="13"/>
  <c r="AG54" i="13"/>
  <c r="X63" i="13"/>
  <c r="AW54" i="13"/>
  <c r="AB63" i="13"/>
  <c r="AB65" i="13" s="1"/>
  <c r="AR65" i="13"/>
  <c r="BD63" i="13"/>
  <c r="D34" i="12" a="1"/>
  <c r="D34" i="12" s="1"/>
  <c r="U63" i="13"/>
  <c r="U65" i="13" s="1"/>
  <c r="BA63" i="13"/>
  <c r="AW63" i="13"/>
  <c r="AL63" i="13"/>
  <c r="AL65" i="13" s="1"/>
  <c r="Y54" i="13"/>
  <c r="BA54" i="13"/>
  <c r="AJ54" i="13"/>
  <c r="AM63" i="13"/>
  <c r="V54" i="13"/>
  <c r="M63" i="13"/>
  <c r="U54" i="13"/>
  <c r="L63" i="13"/>
  <c r="L65" i="13" s="1"/>
  <c r="AD63" i="13"/>
  <c r="AD65" i="13" s="1"/>
  <c r="N54" i="13"/>
  <c r="N65" i="13" s="1"/>
  <c r="AH63" i="13"/>
  <c r="AH65" i="13" s="1"/>
  <c r="H54" i="13"/>
  <c r="AS54" i="13"/>
  <c r="AS65" i="13" s="1"/>
  <c r="T63" i="13"/>
  <c r="Q63" i="13"/>
  <c r="H63" i="13"/>
  <c r="AZ63" i="13"/>
  <c r="AU63" i="13"/>
  <c r="Q54" i="13"/>
  <c r="M54" i="13"/>
  <c r="X54" i="13"/>
  <c r="AA63" i="13"/>
  <c r="AA65" i="13" s="1"/>
  <c r="AZ54" i="13"/>
  <c r="AI54" i="13"/>
  <c r="J54" i="13"/>
  <c r="I54" i="13"/>
  <c r="AI63" i="13"/>
  <c r="R63" i="13"/>
  <c r="R65" i="13" s="1"/>
  <c r="AE54" i="13"/>
  <c r="V63" i="13"/>
  <c r="BD54" i="13"/>
  <c r="D29" i="12" a="1"/>
  <c r="D29" i="12" s="1"/>
  <c r="AF63" i="13"/>
  <c r="C34" i="12" a="1"/>
  <c r="C34" i="12" s="1"/>
  <c r="BC63" i="13"/>
  <c r="AC54" i="13"/>
  <c r="AM54" i="13"/>
  <c r="E28" i="12" a="1"/>
  <c r="E28" i="12" s="1"/>
  <c r="BE54" i="13"/>
  <c r="P54" i="13"/>
  <c r="AP63" i="13"/>
  <c r="L54" i="13"/>
  <c r="O63" i="13"/>
  <c r="O65" i="13" s="1"/>
  <c r="W54" i="13"/>
  <c r="Z63" i="13"/>
  <c r="AY54" i="13"/>
  <c r="AY65" i="13" s="1"/>
  <c r="AF54" i="13"/>
  <c r="W63" i="13"/>
  <c r="AV54" i="13"/>
  <c r="AV65" i="13" s="1"/>
  <c r="F63" i="13"/>
  <c r="F65" i="13" s="1"/>
  <c r="S54" i="13"/>
  <c r="J63" i="13"/>
  <c r="AU54" i="13"/>
  <c r="AT63" i="13"/>
  <c r="AT65" i="13" s="1"/>
  <c r="S63" i="13"/>
  <c r="C28" i="12" a="1"/>
  <c r="C28" i="12" s="1"/>
  <c r="BC54" i="13"/>
  <c r="AX2" i="13"/>
  <c r="AY2" i="13"/>
  <c r="AZ2" i="13"/>
  <c r="BA2" i="13"/>
  <c r="AT2" i="13"/>
  <c r="AU2" i="13"/>
  <c r="AV2" i="13"/>
  <c r="AW2" i="13"/>
  <c r="AS2" i="13"/>
  <c r="AR2" i="13"/>
  <c r="AQ2" i="13"/>
  <c r="AP2" i="13"/>
  <c r="Q1" i="13"/>
  <c r="E1" i="13"/>
  <c r="AC1" i="13"/>
  <c r="AT1" i="13"/>
  <c r="AP1" i="13"/>
  <c r="H4" i="11"/>
  <c r="I4" i="11" s="1"/>
  <c r="J4" i="11" s="1"/>
  <c r="K4" i="11" s="1"/>
  <c r="G26" i="12"/>
  <c r="H26" i="12" s="1"/>
  <c r="I26" i="12" s="1"/>
  <c r="J26" i="12" s="1"/>
  <c r="G5" i="12"/>
  <c r="H5" i="12" s="1"/>
  <c r="I5" i="12" s="1"/>
  <c r="J5" i="12" s="1"/>
  <c r="AX65" i="13" l="1"/>
  <c r="AC65" i="13"/>
  <c r="W65" i="13"/>
  <c r="J65" i="13"/>
  <c r="AM65" i="13"/>
  <c r="H65" i="13"/>
  <c r="Y65" i="13"/>
  <c r="AG65" i="13"/>
  <c r="E65" i="13"/>
  <c r="AZ65" i="13"/>
  <c r="AE65" i="13"/>
  <c r="I65" i="13"/>
  <c r="S65" i="13"/>
  <c r="AJ65" i="13"/>
  <c r="V65" i="13"/>
  <c r="Z65" i="13"/>
  <c r="D32" i="12" a="1"/>
  <c r="D32" i="12" s="1"/>
  <c r="BD65" i="13"/>
  <c r="D43" i="12" s="1" a="1"/>
  <c r="D43" i="12" s="1"/>
  <c r="D8" i="12" a="1"/>
  <c r="D8" i="12" s="1"/>
  <c r="D41" i="12" a="1"/>
  <c r="D41" i="12" s="1"/>
  <c r="D13" i="12" a="1"/>
  <c r="D13" i="12" s="1"/>
  <c r="G65" i="13"/>
  <c r="AK65" i="13"/>
  <c r="AP65" i="13"/>
  <c r="C13" i="12" a="1"/>
  <c r="C13" i="12" s="1"/>
  <c r="C41" i="12" a="1"/>
  <c r="C41" i="12" s="1"/>
  <c r="C8" i="12" a="1"/>
  <c r="C8" i="12" s="1"/>
  <c r="C32" i="12" a="1"/>
  <c r="C32" i="12" s="1"/>
  <c r="BC65" i="13"/>
  <c r="C43" i="12" s="1" a="1"/>
  <c r="C43" i="12" s="1"/>
  <c r="M65" i="13"/>
  <c r="AU65" i="13"/>
  <c r="AW65" i="13"/>
  <c r="E41" i="12" a="1"/>
  <c r="E41" i="12" s="1"/>
  <c r="E13" i="12" a="1"/>
  <c r="E13" i="12" s="1"/>
  <c r="AF65" i="13"/>
  <c r="BE65" i="13"/>
  <c r="E43" i="12" s="1" a="1"/>
  <c r="E43" i="12" s="1"/>
  <c r="E8" i="12" a="1"/>
  <c r="E8" i="12" s="1"/>
  <c r="E32" i="12" a="1"/>
  <c r="E32" i="12" s="1"/>
  <c r="AI65" i="13"/>
  <c r="Q65" i="13"/>
  <c r="X65" i="13"/>
  <c r="T65" i="13"/>
  <c r="BA65" i="13"/>
  <c r="P65" i="13"/>
  <c r="C18" i="12" l="1"/>
  <c r="D14" i="12"/>
  <c r="F8" i="12" a="1"/>
  <c r="F8" i="12" s="1"/>
  <c r="E9" i="12"/>
  <c r="E18" i="12"/>
  <c r="E14" i="12"/>
  <c r="F13" i="12" a="1"/>
  <c r="F13" i="12" s="1"/>
  <c r="G13" i="12" s="1" a="1"/>
  <c r="G13" i="12" s="1"/>
  <c r="H13" i="12" s="1" a="1"/>
  <c r="H13" i="12" s="1"/>
  <c r="I13" i="12" s="1" a="1"/>
  <c r="I13" i="12" s="1"/>
  <c r="J13" i="12" s="1" a="1"/>
  <c r="J13" i="12" s="1"/>
  <c r="D18" i="12"/>
  <c r="D9" i="12"/>
  <c r="G8" i="12" l="1" a="1"/>
  <c r="G8" i="12" s="1"/>
  <c r="F18" i="12"/>
  <c r="H8" i="12" l="1" a="1"/>
  <c r="H8" i="12" s="1"/>
  <c r="G18" i="12"/>
  <c r="H18" i="12" l="1"/>
  <c r="I8" i="12" a="1"/>
  <c r="I8" i="12" s="1"/>
  <c r="I18" i="12" l="1"/>
  <c r="J8" i="12" a="1"/>
  <c r="J8" i="12" s="1"/>
  <c r="J18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<sst xmlns="http://schemas.openxmlformats.org/spreadsheetml/2006/main" count="371" uniqueCount="208">
  <si>
    <t>Code</t>
  </si>
  <si>
    <t>Revenue</t>
  </si>
  <si>
    <t>Non-core</t>
  </si>
  <si>
    <t>Consultancy</t>
  </si>
  <si>
    <t>Other - recurring</t>
  </si>
  <si>
    <t>Other - non-recurring</t>
  </si>
  <si>
    <t>Expense</t>
  </si>
  <si>
    <t>Staff</t>
  </si>
  <si>
    <t>FTE - fringe</t>
  </si>
  <si>
    <t>FTE - bonus</t>
  </si>
  <si>
    <t>Offshore - fringe</t>
  </si>
  <si>
    <t>Offshore - bonus</t>
  </si>
  <si>
    <t>Contractor</t>
  </si>
  <si>
    <t>IT</t>
  </si>
  <si>
    <t>Development</t>
  </si>
  <si>
    <t>Internal IT</t>
  </si>
  <si>
    <t>Disaster Recovery</t>
  </si>
  <si>
    <t>Facilities</t>
  </si>
  <si>
    <t>Rent</t>
  </si>
  <si>
    <t>Gas</t>
  </si>
  <si>
    <t>Electricity</t>
  </si>
  <si>
    <t>Water</t>
  </si>
  <si>
    <t>Insurance</t>
  </si>
  <si>
    <t>Security</t>
  </si>
  <si>
    <t>Maintenance</t>
  </si>
  <si>
    <t>Cleaning</t>
  </si>
  <si>
    <t>Telecommunications</t>
  </si>
  <si>
    <t>Marketing</t>
  </si>
  <si>
    <t>Public Relations</t>
  </si>
  <si>
    <t>Administration</t>
  </si>
  <si>
    <t>Depreciation</t>
  </si>
  <si>
    <t>Amortisation</t>
  </si>
  <si>
    <t>Travel</t>
  </si>
  <si>
    <t>Events</t>
  </si>
  <si>
    <t>Entertainment</t>
  </si>
  <si>
    <t>Restructuring</t>
  </si>
  <si>
    <t>Other one-off</t>
  </si>
  <si>
    <t>Other</t>
  </si>
  <si>
    <t>Intercompany</t>
  </si>
  <si>
    <t>One-off</t>
  </si>
  <si>
    <t>Depreciation &amp; amortisation</t>
  </si>
  <si>
    <t>Travel &amp; Entertainment</t>
  </si>
  <si>
    <t>EBIT</t>
  </si>
  <si>
    <t>Professional Services</t>
  </si>
  <si>
    <t>Office Supplies</t>
  </si>
  <si>
    <t>Other General</t>
  </si>
  <si>
    <t>FTE - base</t>
  </si>
  <si>
    <t>Offshore - base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</si>
  <si>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</si>
  <si>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</si>
  <si>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</si>
  <si>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</si>
  <si>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</si>
  <si>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</si>
  <si>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</si>
  <si>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</si>
  <si>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</si>
  <si>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</si>
  <si>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</si>
  <si>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</si>
  <si>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RNC2001</t>
  </si>
  <si>
    <t>RNC2002</t>
  </si>
  <si>
    <t>RNC2003</t>
  </si>
  <si>
    <t>EST3001</t>
  </si>
  <si>
    <t>EST3002</t>
  </si>
  <si>
    <t>EST3003</t>
  </si>
  <si>
    <t>EST3004</t>
  </si>
  <si>
    <t>EST3005</t>
  </si>
  <si>
    <t>EST3006</t>
  </si>
  <si>
    <t>EST3007</t>
  </si>
  <si>
    <t>EFC4001</t>
  </si>
  <si>
    <t>EFC4002</t>
  </si>
  <si>
    <t>EFC4003</t>
  </si>
  <si>
    <t>EFC4004</t>
  </si>
  <si>
    <t>EFC4005</t>
  </si>
  <si>
    <t>EFC4006</t>
  </si>
  <si>
    <t>EFC4007</t>
  </si>
  <si>
    <t>EIT5001</t>
  </si>
  <si>
    <t>EIT5002</t>
  </si>
  <si>
    <t>EIT5003</t>
  </si>
  <si>
    <t>EIT5004</t>
  </si>
  <si>
    <t>EIT5005</t>
  </si>
  <si>
    <t>ETE6001</t>
  </si>
  <si>
    <t>ETE6002</t>
  </si>
  <si>
    <t>ETE6003</t>
  </si>
  <si>
    <t>EDA7001</t>
  </si>
  <si>
    <t>EDA7002</t>
  </si>
  <si>
    <t>EOO8001</t>
  </si>
  <si>
    <t>EOO8002</t>
  </si>
  <si>
    <t>EOT9001</t>
  </si>
  <si>
    <t>EOT9002</t>
  </si>
  <si>
    <t>EOT9003</t>
  </si>
  <si>
    <t>EOT9004</t>
  </si>
  <si>
    <t>EOT9005</t>
  </si>
  <si>
    <t>EOT9006</t>
  </si>
  <si>
    <t>EOT9007</t>
  </si>
  <si>
    <t>EOT9008</t>
  </si>
  <si>
    <t>NC</t>
  </si>
  <si>
    <t>ST</t>
  </si>
  <si>
    <t>FC</t>
  </si>
  <si>
    <t>TE</t>
  </si>
  <si>
    <t>DA</t>
  </si>
  <si>
    <t>OO</t>
  </si>
  <si>
    <t>OT</t>
  </si>
  <si>
    <t>1001</t>
  </si>
  <si>
    <t>1002</t>
  </si>
  <si>
    <t>1003</t>
  </si>
  <si>
    <t>2001</t>
  </si>
  <si>
    <t>2002</t>
  </si>
  <si>
    <t>2003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</si>
  <si>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</si>
  <si>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</si>
  <si>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</si>
  <si>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</si>
  <si>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</si>
  <si>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</si>
  <si>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</si>
  <si>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</si>
  <si>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</si>
  <si>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</si>
  <si>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</si>
  <si>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</si>
  <si>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4006</t>
  </si>
  <si>
    <t>4007</t>
  </si>
  <si>
    <t>5001</t>
  </si>
  <si>
    <t>5002</t>
  </si>
  <si>
    <t>5003</t>
  </si>
  <si>
    <t>5004</t>
  </si>
  <si>
    <t>5005</t>
  </si>
  <si>
    <t>6001</t>
  </si>
  <si>
    <t>6002</t>
  </si>
  <si>
    <t>6003</t>
  </si>
  <si>
    <t>7001</t>
  </si>
  <si>
    <t>7002</t>
  </si>
  <si>
    <t>8001</t>
  </si>
  <si>
    <t>8002</t>
  </si>
  <si>
    <t>9001</t>
  </si>
  <si>
    <t>9002</t>
  </si>
  <si>
    <t>9003</t>
  </si>
  <si>
    <t>9004</t>
  </si>
  <si>
    <t>9005</t>
  </si>
  <si>
    <t>9006</t>
  </si>
  <si>
    <t>9007</t>
  </si>
  <si>
    <t>9008</t>
  </si>
  <si>
    <t>Full Year</t>
  </si>
  <si>
    <t>Total</t>
  </si>
  <si>
    <t>Actuals</t>
  </si>
  <si>
    <t>Forecast</t>
  </si>
  <si>
    <t>Values</t>
  </si>
  <si>
    <t>Percentages</t>
  </si>
  <si>
    <t>Amount</t>
  </si>
  <si>
    <t>Amount:</t>
  </si>
  <si>
    <t>Thousands</t>
  </si>
  <si>
    <t>Named Range</t>
  </si>
  <si>
    <t>Units:</t>
  </si>
  <si>
    <t>Millions</t>
  </si>
  <si>
    <t>RCM1001</t>
  </si>
  <si>
    <t>CM</t>
  </si>
  <si>
    <t>CS</t>
  </si>
  <si>
    <t>CP</t>
  </si>
  <si>
    <t>Core - Media</t>
  </si>
  <si>
    <t>Core - Software</t>
  </si>
  <si>
    <t>Core - Publications</t>
  </si>
  <si>
    <t>Start point</t>
  </si>
  <si>
    <t>End point</t>
  </si>
  <si>
    <t>Actuals - Quarterly Analysis (Thousands)</t>
  </si>
  <si>
    <t>Forecast - Optimisation (Millions)</t>
  </si>
  <si>
    <t>No. of years</t>
  </si>
  <si>
    <t>Beginning</t>
  </si>
  <si>
    <t>Ending</t>
  </si>
  <si>
    <t>No. of years to obtain 140M of EBIT:</t>
  </si>
  <si>
    <t>Type</t>
  </si>
  <si>
    <t>Category</t>
  </si>
  <si>
    <t>Detail</t>
  </si>
  <si>
    <t>Revenue categories:</t>
  </si>
  <si>
    <t>Expense categories:</t>
  </si>
  <si>
    <t>Revenue detail:</t>
  </si>
  <si>
    <t>Expense detail:</t>
  </si>
  <si>
    <t>Revenue detail</t>
  </si>
  <si>
    <t>Expense detail</t>
  </si>
  <si>
    <t>Revenue Total</t>
  </si>
  <si>
    <t>Expense Total</t>
  </si>
  <si>
    <t>New clients</t>
  </si>
  <si>
    <t>Base clients</t>
  </si>
  <si>
    <t>Licensing</t>
  </si>
  <si>
    <t>1004</t>
  </si>
  <si>
    <t>1005</t>
  </si>
  <si>
    <t>Subscription</t>
  </si>
  <si>
    <t>1006</t>
  </si>
  <si>
    <t>Non-subscription</t>
  </si>
  <si>
    <t>RCM1002</t>
  </si>
  <si>
    <t>RCS1003</t>
  </si>
  <si>
    <t>RCS1004</t>
  </si>
  <si>
    <t>RCP1005</t>
  </si>
  <si>
    <t>RCP1006</t>
  </si>
  <si>
    <t>Headline Results</t>
  </si>
  <si>
    <t>Results by Category</t>
  </si>
  <si>
    <t>% Change</t>
  </si>
  <si>
    <t>% change p.a.</t>
  </si>
  <si>
    <t>Named Ranges</t>
  </si>
  <si>
    <t>Servicing</t>
  </si>
  <si>
    <t>P&amp;L Breakdown</t>
  </si>
  <si>
    <t>Market Disciple</t>
  </si>
  <si>
    <t>K</t>
  </si>
  <si>
    <t>M</t>
  </si>
  <si>
    <t>CODE</t>
  </si>
  <si>
    <t>CATEGORY</t>
  </si>
  <si>
    <t>Annual Summary and Future Projections  09/06/2022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</si>
</sst>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  <numFmt numFmtId="165" formatCode="[$-F800]dddd\,\ mmmm\ dd\,\ yyyy"/>
    <numFmt numFmtId="166" formatCode="_(* #,##0_);_(* \(#,##0\);_(* &quot;-&quot;??_);_(@_)"/>
    <numFmt numFmtId="167" formatCode="_(&quot;$&quot;* #,##0_);_(&quot;$&quot;* \(#,##0\);_(&quot;$&quot;* &quot;-&quot;??_);_(@_)"/>
    <numFmt numFmtId="170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darkGray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NumberFormat="1" applyAlignment="1">
      <alignment horizontal="right"/>
    </xf>
    <xf numFmtId="0" fontId="0" fillId="3" borderId="0" xfId="0" applyNumberFormat="1" applyFont="1" applyFill="1"/>
    <xf numFmtId="0" fontId="0" fillId="0" borderId="0" xfId="0" applyNumberFormat="1" applyFont="1"/>
    <xf numFmtId="0" fontId="2" fillId="0" borderId="13" xfId="0" applyNumberFormat="1" applyFont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0" fillId="0" borderId="8" xfId="0" applyNumberFormat="1" applyBorder="1"/>
    <xf numFmtId="0" fontId="5" fillId="0" borderId="8" xfId="0" applyNumberFormat="1" applyFont="1" applyBorder="1"/>
    <xf numFmtId="0" fontId="0" fillId="0" borderId="0" xfId="0" applyNumberFormat="1" applyBorder="1"/>
    <xf numFmtId="0" fontId="0" fillId="0" borderId="9" xfId="0" applyNumberFormat="1" applyBorder="1"/>
    <xf numFmtId="0" fontId="2" fillId="0" borderId="8" xfId="0" applyNumberFormat="1" applyFon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5" xfId="0" applyNumberFormat="1" applyBorder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0" xfId="0" applyNumberFormat="1" applyFont="1" applyFill="1" applyBorder="1"/>
    <xf numFmtId="0" fontId="2" fillId="0" borderId="0" xfId="0" applyNumberFormat="1" applyFont="1" applyBorder="1"/>
    <xf numFmtId="0" fontId="3" fillId="0" borderId="5" xfId="0" applyNumberFormat="1" applyFont="1" applyBorder="1"/>
    <xf numFmtId="0" fontId="3" fillId="0" borderId="8" xfId="0" applyNumberFormat="1" applyFont="1" applyBorder="1"/>
    <xf numFmtId="0" fontId="3" fillId="0" borderId="0" xfId="0" applyNumberFormat="1" applyFont="1" applyBorder="1" applyAlignment="1">
      <alignment horizontal="right"/>
    </xf>
    <xf numFmtId="0" fontId="0" fillId="4" borderId="0" xfId="0" applyNumberFormat="1" applyFont="1" applyFill="1" applyBorder="1"/>
    <xf numFmtId="0" fontId="0" fillId="4" borderId="8" xfId="0" applyNumberFormat="1" applyFont="1" applyFill="1" applyBorder="1"/>
    <xf numFmtId="0" fontId="0" fillId="4" borderId="9" xfId="0" applyNumberFormat="1" applyFont="1" applyFill="1" applyBorder="1"/>
    <xf numFmtId="0" fontId="0" fillId="0" borderId="8" xfId="0" applyNumberFormat="1" applyFont="1" applyBorder="1"/>
    <xf numFmtId="0" fontId="0" fillId="0" borderId="0" xfId="0" applyNumberFormat="1" applyFont="1" applyBorder="1"/>
    <xf numFmtId="0" fontId="0" fillId="0" borderId="9" xfId="0" applyNumberFormat="1" applyFont="1" applyBorder="1"/>
    <xf numFmtId="0" fontId="0" fillId="4" borderId="0" xfId="1" applyNumberFormat="1" applyFont="1" applyFill="1" applyBorder="1"/>
    <xf numFmtId="0" fontId="2" fillId="0" borderId="0" xfId="0" applyNumberFormat="1" applyFont="1"/>
    <xf numFmtId="0" fontId="0" fillId="0" borderId="0" xfId="0" applyNumberFormat="1" applyFill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Font="1" applyFill="1"/>
    <xf numFmtId="0" fontId="0" fillId="0" borderId="2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64" fontId="0" fillId="0" borderId="0" xfId="0" applyNumberFormat="1"/>
    <xf numFmtId="0" fontId="3" fillId="0" borderId="5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7" xfId="0" applyNumberFormat="1" applyFill="1" applyBorder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Fill="1"/>
    <xf numFmtId="164" fontId="0" fillId="0" borderId="0" xfId="0" applyNumberFormat="1" applyFill="1"/>
    <xf numFmtId="0" fontId="3" fillId="0" borderId="7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5" borderId="0" xfId="0" applyNumberFormat="1" applyFill="1" applyBorder="1"/>
    <xf numFmtId="0" fontId="0" fillId="5" borderId="8" xfId="0" applyNumberFormat="1" applyFill="1" applyBorder="1"/>
    <xf numFmtId="0" fontId="2" fillId="5" borderId="2" xfId="0" applyNumberFormat="1" applyFont="1" applyFill="1" applyBorder="1"/>
    <xf numFmtId="0" fontId="0" fillId="5" borderId="10" xfId="0" applyNumberFormat="1" applyFill="1" applyBorder="1"/>
    <xf numFmtId="0" fontId="0" fillId="5" borderId="3" xfId="0" applyNumberFormat="1" applyFill="1" applyBorder="1"/>
    <xf numFmtId="0" fontId="2" fillId="5" borderId="3" xfId="0" applyNumberFormat="1" applyFont="1" applyFill="1" applyBorder="1"/>
    <xf numFmtId="0" fontId="2" fillId="5" borderId="4" xfId="0" applyNumberFormat="1" applyFont="1" applyFill="1" applyBorder="1"/>
    <xf numFmtId="0" fontId="4" fillId="5" borderId="2" xfId="0" applyNumberFormat="1" applyFont="1" applyFill="1" applyBorder="1"/>
    <xf numFmtId="0" fontId="4" fillId="5" borderId="3" xfId="0" applyNumberFormat="1" applyFont="1" applyFill="1" applyBorder="1"/>
    <xf numFmtId="0" fontId="4" fillId="5" borderId="4" xfId="0" applyNumberFormat="1" applyFont="1" applyFill="1" applyBorder="1"/>
    <xf numFmtId="166" fontId="0" fillId="0" borderId="0" xfId="2" applyNumberFormat="1" applyFont="1"/>
    <xf numFmtId="0" fontId="2" fillId="7" borderId="0" xfId="0" applyNumberFormat="1" applyFont="1" applyFill="1" applyAlignment="1">
      <alignment horizontal="center"/>
    </xf>
    <xf numFmtId="0" fontId="2" fillId="7" borderId="9" xfId="0" applyNumberFormat="1" applyFont="1" applyFill="1" applyBorder="1" applyAlignment="1">
      <alignment horizontal="center"/>
    </xf>
    <xf numFmtId="166" fontId="0" fillId="0" borderId="9" xfId="2" applyNumberFormat="1" applyFont="1" applyBorder="1"/>
    <xf numFmtId="166" fontId="0" fillId="0" borderId="6" xfId="2" applyNumberFormat="1" applyFont="1" applyBorder="1"/>
    <xf numFmtId="166" fontId="0" fillId="0" borderId="7" xfId="2" applyNumberFormat="1" applyFont="1" applyBorder="1"/>
    <xf numFmtId="9" fontId="0" fillId="5" borderId="9" xfId="1" applyFont="1" applyFill="1" applyBorder="1"/>
    <xf numFmtId="43" fontId="6" fillId="4" borderId="14" xfId="2" applyFont="1" applyFill="1" applyBorder="1"/>
    <xf numFmtId="43" fontId="6" fillId="4" borderId="8" xfId="2" applyFont="1" applyFill="1" applyBorder="1"/>
    <xf numFmtId="43" fontId="6" fillId="4" borderId="0" xfId="2" applyFont="1" applyFill="1" applyBorder="1"/>
    <xf numFmtId="0" fontId="6" fillId="4" borderId="0" xfId="0" applyNumberFormat="1" applyFont="1" applyFill="1" applyBorder="1"/>
    <xf numFmtId="166" fontId="6" fillId="4" borderId="0" xfId="2" applyNumberFormat="1" applyFont="1" applyFill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43" fontId="0" fillId="0" borderId="6" xfId="2" applyFont="1" applyBorder="1"/>
    <xf numFmtId="43" fontId="0" fillId="0" borderId="7" xfId="2" applyFont="1" applyBorder="1"/>
    <xf numFmtId="43" fontId="0" fillId="0" borderId="5" xfId="2" applyFont="1" applyBorder="1"/>
    <xf numFmtId="43" fontId="0" fillId="0" borderId="0" xfId="2" applyFont="1"/>
    <xf numFmtId="44" fontId="0" fillId="0" borderId="11" xfId="3" applyFont="1" applyBorder="1"/>
    <xf numFmtId="44" fontId="0" fillId="0" borderId="12" xfId="3" applyFont="1" applyBorder="1"/>
    <xf numFmtId="44" fontId="0" fillId="0" borderId="10" xfId="3" applyFont="1" applyBorder="1"/>
    <xf numFmtId="167" fontId="0" fillId="0" borderId="0" xfId="3" applyNumberFormat="1" applyFont="1" applyBorder="1"/>
    <xf numFmtId="167" fontId="0" fillId="0" borderId="3" xfId="3" applyNumberFormat="1" applyFont="1" applyBorder="1"/>
    <xf numFmtId="167" fontId="0" fillId="0" borderId="9" xfId="3" applyNumberFormat="1" applyFont="1" applyBorder="1"/>
    <xf numFmtId="167" fontId="0" fillId="0" borderId="8" xfId="3" applyNumberFormat="1" applyFont="1" applyBorder="1"/>
    <xf numFmtId="167" fontId="0" fillId="0" borderId="5" xfId="3" applyNumberFormat="1" applyFont="1" applyBorder="1"/>
    <xf numFmtId="167" fontId="0" fillId="0" borderId="6" xfId="3" applyNumberFormat="1" applyFont="1" applyBorder="1"/>
    <xf numFmtId="167" fontId="0" fillId="0" borderId="7" xfId="3" applyNumberFormat="1" applyFont="1" applyBorder="1"/>
    <xf numFmtId="167" fontId="0" fillId="0" borderId="0" xfId="3" applyNumberFormat="1" applyFont="1"/>
    <xf numFmtId="167" fontId="0" fillId="0" borderId="2" xfId="3" applyNumberFormat="1" applyFont="1" applyBorder="1"/>
    <xf numFmtId="167" fontId="0" fillId="0" borderId="1" xfId="3" applyNumberFormat="1" applyFont="1" applyBorder="1"/>
    <xf numFmtId="167" fontId="0" fillId="0" borderId="4" xfId="3" applyNumberFormat="1" applyFont="1" applyBorder="1"/>
    <xf numFmtId="167" fontId="0" fillId="0" borderId="10" xfId="3" applyNumberFormat="1" applyFont="1" applyBorder="1"/>
    <xf numFmtId="167" fontId="0" fillId="0" borderId="11" xfId="3" applyNumberFormat="1" applyFont="1" applyBorder="1"/>
    <xf numFmtId="167" fontId="0" fillId="0" borderId="12" xfId="3" applyNumberFormat="1" applyFont="1" applyBorder="1"/>
    <xf numFmtId="167" fontId="2" fillId="0" borderId="2" xfId="3" applyNumberFormat="1" applyFont="1" applyBorder="1"/>
    <xf numFmtId="167" fontId="2" fillId="0" borderId="3" xfId="3" applyNumberFormat="1" applyFont="1" applyBorder="1"/>
    <xf numFmtId="167" fontId="2" fillId="0" borderId="4" xfId="3" applyNumberFormat="1" applyFont="1" applyBorder="1"/>
    <xf numFmtId="167" fontId="0" fillId="0" borderId="0" xfId="3" applyNumberFormat="1" applyFont="1" applyBorder="1" applyAlignment="1">
      <alignment horizontal="center"/>
    </xf>
    <xf numFmtId="167" fontId="0" fillId="0" borderId="9" xfId="3" applyNumberFormat="1" applyFont="1" applyBorder="1" applyAlignment="1">
      <alignment horizontal="center"/>
    </xf>
    <xf numFmtId="167" fontId="5" fillId="5" borderId="0" xfId="3" applyNumberFormat="1" applyFont="1" applyFill="1" applyBorder="1" applyAlignment="1">
      <alignment horizontal="center"/>
    </xf>
    <xf numFmtId="167" fontId="5" fillId="0" borderId="0" xfId="3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43" fontId="6" fillId="4" borderId="14" xfId="2" quotePrefix="1" applyFont="1" applyFill="1" applyBorder="1"/>
    <xf numFmtId="10" fontId="5" fillId="0" borderId="0" xfId="1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left"/>
    </xf>
    <xf numFmtId="0" fontId="0" fillId="0" borderId="17" xfId="0" applyNumberFormat="1" applyFont="1" applyBorder="1" applyAlignment="1">
      <alignment horizontal="left"/>
    </xf>
    <xf numFmtId="0" fontId="0" fillId="0" borderId="18" xfId="0" applyNumberFormat="1" applyFont="1" applyBorder="1" applyAlignment="1">
      <alignment horizontal="left"/>
    </xf>
    <xf numFmtId="165" fontId="0" fillId="0" borderId="16" xfId="0" applyNumberFormat="1" applyFont="1" applyBorder="1" applyAlignment="1">
      <alignment horizontal="left"/>
    </xf>
    <xf numFmtId="165" fontId="0" fillId="0" borderId="17" xfId="0" applyNumberFormat="1" applyFont="1" applyBorder="1" applyAlignment="1">
      <alignment horizontal="left"/>
    </xf>
    <xf numFmtId="165" fontId="0" fillId="0" borderId="18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3" borderId="5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2" fillId="6" borderId="0" xfId="0" applyNumberFormat="1" applyFont="1" applyFill="1" applyBorder="1" applyAlignment="1">
      <alignment horizontal="center"/>
    </xf>
    <xf numFmtId="0" fontId="2" fillId="6" borderId="9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167" fontId="0" fillId="0" borderId="0" xfId="3" applyNumberFormat="1" applyFont="1" applyBorder="1" applyAlignment="1">
      <alignment horizontal="center"/>
    </xf>
    <xf numFmtId="167" fontId="0" fillId="0" borderId="9" xfId="3" applyNumberFormat="1" applyFont="1" applyBorder="1" applyAlignment="1">
      <alignment horizontal="center"/>
    </xf>
    <xf numFmtId="167" fontId="0" fillId="0" borderId="11" xfId="3" applyNumberFormat="1" applyFont="1" applyBorder="1" applyAlignment="1">
      <alignment horizontal="center"/>
    </xf>
    <xf numFmtId="167" fontId="0" fillId="0" borderId="12" xfId="3" applyNumberFormat="1" applyFont="1" applyBorder="1" applyAlignment="1">
      <alignment horizontal="center"/>
    </xf>
    <xf numFmtId="166" fontId="0" fillId="0" borderId="0" xfId="2" applyNumberFormat="1" applyFont="1" applyBorder="1" applyAlignment="1">
      <alignment horizontal="center"/>
    </xf>
    <xf numFmtId="166" fontId="0" fillId="0" borderId="9" xfId="2" applyNumberFormat="1" applyFont="1" applyBorder="1" applyAlignment="1">
      <alignment horizontal="center"/>
    </xf>
    <xf numFmtId="167" fontId="6" fillId="4" borderId="0" xfId="3" applyNumberFormat="1" applyFont="1" applyFill="1" applyBorder="1"/>
    <xf numFmtId="10" fontId="6" fillId="4" borderId="0" xfId="0" applyNumberFormat="1" applyFont="1" applyFill="1" applyBorder="1"/>
    <xf numFmtId="44" fontId="0" fillId="0" borderId="0" xfId="0" applyNumberFormat="1" applyBorder="1"/>
    <xf numFmtId="170" fontId="6" fillId="4" borderId="1" xfId="2" applyNumberFormat="1" applyFont="1" applyFill="1" applyBorder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8" formatCode="00000/1000"/>
    </dxf>
  </dxfs>
  <tableStyles count="0" defaultTableStyle="TableStyleMedium2" defaultPivotStyle="PivotStyleMedium9"/>
  <colors>
    <mruColors>
      <color rgb="FFFFFF99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3"/>
  <sheetViews>
    <sheetView showGridLines="0" tabSelected="1" zoomScaleNormal="100" workbookViewId="0">
      <selection activeCell="G25" sqref="G25"/>
    </sheetView>
  </sheetViews>
  <sheetFormatPr defaultRowHeight="15" x14ac:dyDescent="0.25"/>
  <cols>
    <col min="1" max="1" width="1.7109375" style="3" customWidth="1"/>
    <col min="2" max="2" width="9.140625" style="3"/>
    <col min="3" max="3" width="9.140625" style="3" customWidth="1"/>
    <col min="4" max="15" width="9.140625" style="3"/>
    <col min="16" max="16" width="1.7109375" style="3" customWidth="1"/>
    <col min="17" max="16384" width="9.140625" style="3"/>
  </cols>
  <sheetData>
    <row r="1" spans="1:16" ht="9.949999999999999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P2" s="2"/>
    </row>
    <row r="3" spans="1:16" x14ac:dyDescent="0.25">
      <c r="A3" s="2"/>
      <c r="P3" s="2"/>
    </row>
    <row r="4" spans="1:16" x14ac:dyDescent="0.25">
      <c r="A4" s="2"/>
      <c r="P4" s="2"/>
    </row>
    <row r="5" spans="1:16" x14ac:dyDescent="0.25">
      <c r="A5" s="2"/>
      <c r="P5" s="2"/>
    </row>
    <row r="6" spans="1:16" x14ac:dyDescent="0.25">
      <c r="A6" s="2"/>
      <c r="C6" s="118">
        <f ca="1">TODAY()</f>
        <v>44813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20"/>
      <c r="P6" s="2"/>
    </row>
    <row r="7" spans="1:16" x14ac:dyDescent="0.25">
      <c r="A7" s="2"/>
      <c r="P7" s="2"/>
    </row>
    <row r="8" spans="1:16" x14ac:dyDescent="0.25">
      <c r="A8" s="2"/>
      <c r="P8" s="2"/>
    </row>
    <row r="9" spans="1:16" x14ac:dyDescent="0.25">
      <c r="A9" s="2"/>
      <c r="P9" s="2"/>
    </row>
    <row r="10" spans="1:16" x14ac:dyDescent="0.25">
      <c r="A10" s="2"/>
      <c r="P10" s="2"/>
    </row>
    <row r="11" spans="1:16" x14ac:dyDescent="0.25">
      <c r="A11" s="2"/>
      <c r="P11" s="2"/>
    </row>
    <row r="12" spans="1:16" x14ac:dyDescent="0.25">
      <c r="A12" s="2"/>
      <c r="P12" s="2"/>
    </row>
    <row r="13" spans="1:16" x14ac:dyDescent="0.25">
      <c r="A13" s="2"/>
      <c r="P13" s="2"/>
    </row>
    <row r="14" spans="1:16" x14ac:dyDescent="0.25">
      <c r="A14" s="2"/>
      <c r="C14" s="115" t="s">
        <v>202</v>
      </c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7"/>
      <c r="P14" s="2"/>
    </row>
    <row r="15" spans="1:16" x14ac:dyDescent="0.25">
      <c r="A15" s="2"/>
      <c r="P15" s="2"/>
    </row>
    <row r="16" spans="1:16" x14ac:dyDescent="0.25">
      <c r="A16" s="2"/>
      <c r="P16" s="2"/>
    </row>
    <row r="17" spans="1:16" x14ac:dyDescent="0.25">
      <c r="A17" s="2"/>
      <c r="P17" s="2"/>
    </row>
    <row r="18" spans="1:16" x14ac:dyDescent="0.25">
      <c r="A18" s="2"/>
      <c r="P18" s="2"/>
    </row>
    <row r="19" spans="1:16" x14ac:dyDescent="0.25">
      <c r="A19" s="2"/>
      <c r="P19" s="2"/>
    </row>
    <row r="20" spans="1:16" x14ac:dyDescent="0.25">
      <c r="A20" s="2"/>
      <c r="P20" s="2"/>
    </row>
    <row r="21" spans="1:16" x14ac:dyDescent="0.25">
      <c r="A21" s="2"/>
      <c r="P21" s="2"/>
    </row>
    <row r="22" spans="1:16" x14ac:dyDescent="0.25">
      <c r="A22" s="2"/>
      <c r="P22" s="2"/>
    </row>
    <row r="23" spans="1:16" x14ac:dyDescent="0.25">
      <c r="A23" s="2"/>
      <c r="P23" s="2"/>
    </row>
    <row r="24" spans="1:16" x14ac:dyDescent="0.25">
      <c r="A24" s="2"/>
      <c r="C24" s="115" t="s">
        <v>207</v>
      </c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7"/>
      <c r="P24" s="2"/>
    </row>
    <row r="25" spans="1:16" x14ac:dyDescent="0.25">
      <c r="A25" s="2"/>
      <c r="P25" s="2"/>
    </row>
    <row r="26" spans="1:16" x14ac:dyDescent="0.25">
      <c r="A26" s="2"/>
      <c r="P26" s="2"/>
    </row>
    <row r="27" spans="1:16" x14ac:dyDescent="0.25">
      <c r="A27" s="2"/>
      <c r="P27" s="2"/>
    </row>
    <row r="28" spans="1:16" x14ac:dyDescent="0.25">
      <c r="A28" s="2"/>
      <c r="P28" s="2"/>
    </row>
    <row r="29" spans="1:16" x14ac:dyDescent="0.25">
      <c r="A29" s="2"/>
      <c r="P29" s="2"/>
    </row>
    <row r="30" spans="1:16" x14ac:dyDescent="0.25">
      <c r="A30" s="2"/>
      <c r="P30" s="2"/>
    </row>
    <row r="31" spans="1:16" x14ac:dyDescent="0.25">
      <c r="A31" s="2"/>
      <c r="P31" s="2"/>
    </row>
    <row r="32" spans="1:16" x14ac:dyDescent="0.25">
      <c r="A32" s="2"/>
      <c r="P32" s="2"/>
    </row>
    <row r="33" spans="1:16" ht="9.9499999999999993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">
    <mergeCell ref="C14:N14"/>
    <mergeCell ref="C6:N6"/>
    <mergeCell ref="C24:N2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J60"/>
  <sheetViews>
    <sheetView showGridLines="0" zoomScale="85" zoomScaleNormal="85" workbookViewId="0">
      <selection activeCell="B54" sqref="B54"/>
    </sheetView>
  </sheetViews>
  <sheetFormatPr defaultRowHeight="15" x14ac:dyDescent="0.25"/>
  <cols>
    <col min="1" max="1" width="9.140625" style="5"/>
    <col min="2" max="2" width="26.5703125" style="5" bestFit="1" customWidth="1"/>
    <col min="3" max="5" width="15.28515625" style="5" bestFit="1" customWidth="1"/>
    <col min="6" max="6" width="19.28515625" style="5" bestFit="1" customWidth="1"/>
    <col min="7" max="7" width="13.7109375" style="5" bestFit="1" customWidth="1"/>
    <col min="8" max="8" width="15.140625" style="5" customWidth="1"/>
    <col min="9" max="10" width="13.7109375" style="5" bestFit="1" customWidth="1"/>
    <col min="11" max="16384" width="9.140625" style="5"/>
  </cols>
  <sheetData>
    <row r="2" spans="2:10" x14ac:dyDescent="0.25">
      <c r="B2" s="121" t="s">
        <v>195</v>
      </c>
      <c r="C2" s="122"/>
      <c r="D2" s="122"/>
      <c r="E2" s="122"/>
      <c r="F2" s="122"/>
      <c r="G2" s="122"/>
      <c r="H2" s="122"/>
      <c r="I2" s="122"/>
      <c r="J2" s="123"/>
    </row>
    <row r="3" spans="2:10" x14ac:dyDescent="0.25">
      <c r="B3" s="38"/>
      <c r="C3" s="39"/>
      <c r="D3" s="39"/>
      <c r="E3" s="39"/>
      <c r="F3" s="39"/>
      <c r="G3" s="39"/>
      <c r="H3" s="39"/>
      <c r="I3" s="39"/>
      <c r="J3" s="40"/>
    </row>
    <row r="4" spans="2:10" x14ac:dyDescent="0.25">
      <c r="B4" s="4" t="s">
        <v>154</v>
      </c>
      <c r="C4" s="124" t="s">
        <v>146</v>
      </c>
      <c r="D4" s="125"/>
      <c r="E4" s="126"/>
      <c r="F4" s="124" t="s">
        <v>147</v>
      </c>
      <c r="G4" s="125"/>
      <c r="H4" s="125"/>
      <c r="I4" s="125"/>
      <c r="J4" s="126"/>
    </row>
    <row r="5" spans="2:10" ht="14.25" customHeight="1" x14ac:dyDescent="0.25">
      <c r="B5" s="113" t="s">
        <v>203</v>
      </c>
      <c r="C5" s="6">
        <f t="shared" ref="C5:D5" ca="1" si="0">D5-1</f>
        <v>2019</v>
      </c>
      <c r="D5" s="6">
        <f t="shared" ca="1" si="0"/>
        <v>2020</v>
      </c>
      <c r="E5" s="58">
        <f ca="1">F5-1</f>
        <v>2021</v>
      </c>
      <c r="F5" s="6">
        <f ca="1">YEAR(TODAY())</f>
        <v>2022</v>
      </c>
      <c r="G5" s="6">
        <f ca="1">F5+1</f>
        <v>2023</v>
      </c>
      <c r="H5" s="6">
        <f t="shared" ref="H5:J5" ca="1" si="1">G5+1</f>
        <v>2024</v>
      </c>
      <c r="I5" s="6">
        <f t="shared" ca="1" si="1"/>
        <v>2025</v>
      </c>
      <c r="J5" s="6">
        <f t="shared" ca="1" si="1"/>
        <v>2026</v>
      </c>
    </row>
    <row r="6" spans="2:10" hidden="1" x14ac:dyDescent="0.25">
      <c r="B6" s="16"/>
      <c r="C6" s="73"/>
      <c r="D6" s="73"/>
      <c r="E6" s="73"/>
      <c r="F6" s="73"/>
      <c r="G6" s="73"/>
      <c r="H6" s="73"/>
      <c r="I6" s="73"/>
      <c r="J6" s="74"/>
    </row>
    <row r="7" spans="2:10" ht="45.75" customHeight="1" x14ac:dyDescent="0.25">
      <c r="B7" s="11" t="s">
        <v>1</v>
      </c>
      <c r="C7" s="144"/>
      <c r="D7" s="144"/>
      <c r="E7" s="144"/>
      <c r="F7" s="144"/>
      <c r="G7" s="144"/>
      <c r="H7" s="144"/>
      <c r="I7" s="144"/>
      <c r="J7" s="145"/>
    </row>
    <row r="8" spans="2:10" x14ac:dyDescent="0.25">
      <c r="B8" s="7" t="s">
        <v>150</v>
      </c>
      <c r="C8" s="108" cm="1">
        <f t="array" ref="C8">_xlfn.IFS($B$5="K",'Historic Data'!BC54/1000,$B$5="M", 'Historic Data'!BC54/1000000,$B$5="normal",'Historic Data'!BC54)</f>
        <v>211617.63098000002</v>
      </c>
      <c r="D8" s="108" cm="1">
        <f t="array" ref="D8">_xlfn.IFS($B$5="K",'Historic Data'!BD54/1000,$B$5="M", 'Historic Data'!BD54/1000000,$B$5="normal",'Historic Data'!BD54)</f>
        <v>225137.38003999999</v>
      </c>
      <c r="E8" s="108" cm="1">
        <f t="array" ref="E8">_xlfn.IFS($B$5="K",'Historic Data'!BE54/1000,$B$5="M", 'Historic Data'!BE54/1000000,$B$5="normal",'Historic Data'!BE54)</f>
        <v>239166.25988999999</v>
      </c>
      <c r="F8" s="108" cm="1">
        <f t="array" ref="F8">_xlfn.IFS($B$5="K",(E8*(1+$F$9))/(1),$B$5="M", (E8*(1+$F$9))/(1),$B$5="normal",E8*(1+$F$9))</f>
        <v>253994.56800318</v>
      </c>
      <c r="G8" s="108" cm="1">
        <f t="array" ref="G8">_xlfn.IFS($B$5="K",(F8*(1+$F$9))/(1),$B$5="M", (F8*(1+$F$9))/(1),$B$5="normal",F8*(1+$F$9))</f>
        <v>269742.23121937719</v>
      </c>
      <c r="H8" s="108" cm="1">
        <f t="array" ref="H8">_xlfn.IFS($B$5="K",(G8*(1+$F$9))/(1),$B$5="M", (G8*(1+$F$9))/(1),$B$5="normal",G8*(1+$F$9))</f>
        <v>286466.24955497857</v>
      </c>
      <c r="I8" s="108" cm="1">
        <f t="array" ref="I8">_xlfn.IFS($B$5="K",(H8*(1+$F$9))/(1),$B$5="M", (H8*(1+$F$9))/(1),$B$5="normal",H8*(1+$F$9))</f>
        <v>304227.15702738723</v>
      </c>
      <c r="J8" s="109" cm="1">
        <f t="array" ref="J8">_xlfn.IFS($B$5="K",(I8*(1+$F$9))/(1),$B$5="M", (I8*(1+$F$9))/(1),$B$5="normal",I8*(1+$F$9))</f>
        <v>323089.24076308525</v>
      </c>
    </row>
    <row r="9" spans="2:10" x14ac:dyDescent="0.25">
      <c r="B9" s="8" t="s">
        <v>197</v>
      </c>
      <c r="C9" s="110"/>
      <c r="D9" s="114">
        <f>(D8-C8)/C8</f>
        <v>6.388763071106171E-2</v>
      </c>
      <c r="E9" s="114">
        <f>(E8-D8)/D8</f>
        <v>6.2312530453661211E-2</v>
      </c>
      <c r="F9" s="114">
        <v>6.2E-2</v>
      </c>
      <c r="G9" s="111"/>
      <c r="H9" s="111"/>
      <c r="I9" s="111"/>
      <c r="J9" s="112"/>
    </row>
    <row r="10" spans="2:10" x14ac:dyDescent="0.25">
      <c r="B10" s="7"/>
      <c r="C10" s="140"/>
      <c r="D10" s="140"/>
      <c r="E10" s="140"/>
      <c r="F10" s="140"/>
      <c r="G10" s="140"/>
      <c r="H10" s="140"/>
      <c r="I10" s="140"/>
      <c r="J10" s="141"/>
    </row>
    <row r="11" spans="2:10" x14ac:dyDescent="0.25">
      <c r="B11" s="7"/>
      <c r="C11" s="91"/>
      <c r="D11" s="91"/>
      <c r="E11" s="91"/>
      <c r="F11" s="91"/>
      <c r="G11" s="91"/>
      <c r="H11" s="91"/>
      <c r="I11" s="91"/>
      <c r="J11" s="93"/>
    </row>
    <row r="12" spans="2:10" ht="36.75" customHeight="1" x14ac:dyDescent="0.25">
      <c r="B12" s="11" t="s">
        <v>6</v>
      </c>
      <c r="C12" s="140"/>
      <c r="D12" s="140"/>
      <c r="E12" s="140"/>
      <c r="F12" s="140"/>
      <c r="G12" s="140"/>
      <c r="H12" s="140"/>
      <c r="I12" s="140"/>
      <c r="J12" s="141"/>
    </row>
    <row r="13" spans="2:10" x14ac:dyDescent="0.25">
      <c r="B13" s="7" t="s">
        <v>150</v>
      </c>
      <c r="C13" s="108" cm="1">
        <f t="array" ref="C13">_xlfn.IFS($B$5="K",'Historic Data'!BC63/1000,$B$5="M", 'Historic Data'!BC63/1000000,$B$5="normal",'Historic Data'!BC63)</f>
        <v>181656.79332000003</v>
      </c>
      <c r="D13" s="108" cm="1">
        <f t="array" ref="D13">_xlfn.IFS($B$5="K",'Historic Data'!BD63/1000,$B$5="M", 'Historic Data'!BD63/1000000,$B$5="normal",'Historic Data'!BD63)</f>
        <v>186112.16336999999</v>
      </c>
      <c r="E13" s="108" cm="1">
        <f t="array" ref="E13">_xlfn.IFS($B$5="K",'Historic Data'!BE63/1000,$B$5="M", 'Historic Data'!BE63/1000000,$B$5="normal",'Historic Data'!BE63)</f>
        <v>190008.34693999999</v>
      </c>
      <c r="F13" s="108" cm="1">
        <f t="array" ref="F13">_xlfn.IFS($B$5="K",(E13*(1+$F$14))/(1),$B$5="M", (E13*(1+$F$14))/(1),$B$5="normal",E13*(1+$F$14))</f>
        <v>195328.58065431999</v>
      </c>
      <c r="G13" s="108" cm="1">
        <f t="array" ref="G13">_xlfn.IFS($B$5="K",(F13*(1+$F$14))/(1),$B$5="M", (F13*(1+$F$14))/(1),$B$5="normal",F13*(1+$F$14))</f>
        <v>200797.78091264094</v>
      </c>
      <c r="H13" s="108" cm="1">
        <f t="array" ref="H13">_xlfn.IFS($B$5="K",(G13*(1+$F$14))/(1),$B$5="M", (G13*(1+$F$14))/(1),$B$5="normal",G13*(1+$F$14))</f>
        <v>206420.11877819488</v>
      </c>
      <c r="I13" s="108" cm="1">
        <f t="array" ref="I13">_xlfn.IFS($B$5="K",(H13*(1+$F$14))/(1),$B$5="M", (H13*(1+$F$14))/(1),$B$5="normal",H13*(1+$F$14))</f>
        <v>212199.88210398433</v>
      </c>
      <c r="J13" s="109" cm="1">
        <f t="array" ref="J13">_xlfn.IFS($B$5="K",(I13*(1+$F$14))/(1),$B$5="M", (I13*(1+$F$14))/(1),$B$5="normal",I13*(1+$F$14))</f>
        <v>218141.4788028959</v>
      </c>
    </row>
    <row r="14" spans="2:10" x14ac:dyDescent="0.25">
      <c r="B14" s="8" t="s">
        <v>197</v>
      </c>
      <c r="C14" s="110"/>
      <c r="D14" s="114">
        <f>(D13-C13)/C13</f>
        <v>2.4526305725057859E-2</v>
      </c>
      <c r="E14" s="114">
        <f>(E13-D13)/D13</f>
        <v>2.0934599326827404E-2</v>
      </c>
      <c r="F14" s="114">
        <v>2.8000000000000001E-2</v>
      </c>
      <c r="G14" s="111"/>
      <c r="H14" s="111"/>
      <c r="I14" s="111"/>
      <c r="J14" s="112"/>
    </row>
    <row r="15" spans="2:10" x14ac:dyDescent="0.25">
      <c r="B15" s="7"/>
      <c r="C15" s="140"/>
      <c r="D15" s="140"/>
      <c r="E15" s="140"/>
      <c r="F15" s="140"/>
      <c r="G15" s="140"/>
      <c r="H15" s="140"/>
      <c r="I15" s="140"/>
      <c r="J15" s="141"/>
    </row>
    <row r="16" spans="2:10" x14ac:dyDescent="0.25">
      <c r="B16" s="7"/>
      <c r="C16" s="91"/>
      <c r="D16" s="91"/>
      <c r="E16" s="91"/>
      <c r="F16" s="91"/>
      <c r="G16" s="91"/>
      <c r="H16" s="91"/>
      <c r="I16" s="91"/>
      <c r="J16" s="93"/>
    </row>
    <row r="17" spans="2:10" ht="39" customHeight="1" x14ac:dyDescent="0.25">
      <c r="B17" s="11" t="s">
        <v>42</v>
      </c>
      <c r="C17" s="140"/>
      <c r="D17" s="140"/>
      <c r="E17" s="140"/>
      <c r="F17" s="140"/>
      <c r="G17" s="140"/>
      <c r="H17" s="140"/>
      <c r="I17" s="140"/>
      <c r="J17" s="141"/>
    </row>
    <row r="18" spans="2:10" x14ac:dyDescent="0.25">
      <c r="B18" s="7" t="s">
        <v>150</v>
      </c>
      <c r="C18" s="108">
        <f>C8-C13</f>
        <v>29960.83765999999</v>
      </c>
      <c r="D18" s="108">
        <f t="shared" ref="D18:J18" si="2">D8-D13</f>
        <v>39025.216669999994</v>
      </c>
      <c r="E18" s="108">
        <f t="shared" si="2"/>
        <v>49157.912949999998</v>
      </c>
      <c r="F18" s="108">
        <f t="shared" si="2"/>
        <v>58665.987348860013</v>
      </c>
      <c r="G18" s="108">
        <f t="shared" si="2"/>
        <v>68944.450306736253</v>
      </c>
      <c r="H18" s="108">
        <f t="shared" si="2"/>
        <v>80046.130776783684</v>
      </c>
      <c r="I18" s="108">
        <f t="shared" si="2"/>
        <v>92027.274923402903</v>
      </c>
      <c r="J18" s="109">
        <f t="shared" si="2"/>
        <v>104947.76196018935</v>
      </c>
    </row>
    <row r="19" spans="2:10" x14ac:dyDescent="0.25">
      <c r="B19" s="8" t="s">
        <v>197</v>
      </c>
      <c r="C19" s="110"/>
      <c r="D19" s="111"/>
      <c r="E19" s="111"/>
      <c r="F19" s="111"/>
      <c r="G19" s="111"/>
      <c r="H19" s="111"/>
      <c r="I19" s="111"/>
      <c r="J19" s="112"/>
    </row>
    <row r="20" spans="2:10" x14ac:dyDescent="0.25">
      <c r="B20" s="12"/>
      <c r="C20" s="142"/>
      <c r="D20" s="142"/>
      <c r="E20" s="142"/>
      <c r="F20" s="142"/>
      <c r="G20" s="142"/>
      <c r="H20" s="142"/>
      <c r="I20" s="142"/>
      <c r="J20" s="143"/>
    </row>
    <row r="21" spans="2:10" x14ac:dyDescent="0.25">
      <c r="C21" s="9"/>
      <c r="D21" s="9"/>
      <c r="E21" s="9"/>
      <c r="F21" s="9"/>
      <c r="G21" s="9"/>
      <c r="H21" s="9"/>
      <c r="I21" s="9"/>
      <c r="J21" s="9"/>
    </row>
    <row r="22" spans="2:10" x14ac:dyDescent="0.25"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121" t="s">
        <v>196</v>
      </c>
      <c r="C23" s="122"/>
      <c r="D23" s="122"/>
      <c r="E23" s="122"/>
      <c r="F23" s="122"/>
      <c r="G23" s="122"/>
      <c r="H23" s="122"/>
      <c r="I23" s="122"/>
      <c r="J23" s="123"/>
    </row>
    <row r="24" spans="2:10" x14ac:dyDescent="0.25">
      <c r="B24" s="38"/>
      <c r="C24" s="39"/>
      <c r="D24" s="39"/>
      <c r="E24" s="39"/>
      <c r="F24" s="39"/>
      <c r="G24" s="39"/>
      <c r="H24" s="39"/>
      <c r="I24" s="39"/>
      <c r="J24" s="40"/>
    </row>
    <row r="25" spans="2:10" x14ac:dyDescent="0.25">
      <c r="B25" s="4" t="s">
        <v>154</v>
      </c>
      <c r="C25" s="124" t="s">
        <v>146</v>
      </c>
      <c r="D25" s="125"/>
      <c r="E25" s="126"/>
      <c r="F25" s="124" t="s">
        <v>147</v>
      </c>
      <c r="G25" s="125"/>
      <c r="H25" s="125"/>
      <c r="I25" s="125"/>
      <c r="J25" s="126"/>
    </row>
    <row r="26" spans="2:10" x14ac:dyDescent="0.25">
      <c r="B26" s="76" t="str">
        <f>B5</f>
        <v>K</v>
      </c>
      <c r="C26" s="6">
        <f t="shared" ref="C26:D26" ca="1" si="3">D26-1</f>
        <v>2019</v>
      </c>
      <c r="D26" s="6">
        <f t="shared" ca="1" si="3"/>
        <v>2020</v>
      </c>
      <c r="E26" s="58">
        <f ca="1">F26-1</f>
        <v>2021</v>
      </c>
      <c r="F26" s="6">
        <f ca="1">YEAR(TODAY())</f>
        <v>2022</v>
      </c>
      <c r="G26" s="6">
        <f ca="1">F26+1</f>
        <v>2023</v>
      </c>
      <c r="H26" s="6">
        <f t="shared" ref="H26:J26" ca="1" si="4">G26+1</f>
        <v>2024</v>
      </c>
      <c r="I26" s="6">
        <f t="shared" ca="1" si="4"/>
        <v>2025</v>
      </c>
      <c r="J26" s="6">
        <f t="shared" ca="1" si="4"/>
        <v>2026</v>
      </c>
    </row>
    <row r="27" spans="2:10" x14ac:dyDescent="0.25">
      <c r="B27" s="15"/>
      <c r="C27" s="95"/>
      <c r="D27" s="96"/>
      <c r="E27" s="97"/>
      <c r="F27" s="95"/>
      <c r="G27" s="96"/>
      <c r="H27" s="96"/>
      <c r="I27" s="96"/>
      <c r="J27" s="97"/>
    </row>
    <row r="28" spans="2:10" x14ac:dyDescent="0.25">
      <c r="B28" s="19" t="s">
        <v>160</v>
      </c>
      <c r="C28" s="94" cm="1">
        <f t="array" ref="C28">_xlfn.IFS($B$5="K",'Historic Data'!BC50/1000,$B$5="M", 'Historic Data'!BC50/1000000,$B$5="normal",'Historic Data'!BC50)</f>
        <v>114414.258</v>
      </c>
      <c r="D28" s="94" cm="1">
        <f t="array" ref="D28">_xlfn.IFS($B$5="K",'Historic Data'!BD50/1000,$B$5="M", 'Historic Data'!BD50/1000000,$B$5="normal",'Historic Data'!BD50)</f>
        <v>122423.25605</v>
      </c>
      <c r="E28" s="94" cm="1">
        <f t="array" ref="E28">_xlfn.IFS($B$5="K",'Historic Data'!BE50/1000,$B$5="M", 'Historic Data'!BE50/1000000,$B$5="normal",'Historic Data'!BE50)</f>
        <v>130992.88400000001</v>
      </c>
      <c r="F28" s="94"/>
      <c r="G28" s="91"/>
      <c r="H28" s="91"/>
      <c r="I28" s="91"/>
      <c r="J28" s="93"/>
    </row>
    <row r="29" spans="2:10" x14ac:dyDescent="0.25">
      <c r="B29" s="19" t="s">
        <v>161</v>
      </c>
      <c r="C29" s="94" cm="1">
        <f t="array" ref="C29">_xlfn.IFS($B$5="K",'Historic Data'!BC51/1000,$B$5="M", 'Historic Data'!BC51/1000000,$B$5="normal",'Historic Data'!BC51)</f>
        <v>31892.258989999998</v>
      </c>
      <c r="D29" s="94" cm="1">
        <f t="array" ref="D29">_xlfn.IFS($B$5="K",'Historic Data'!BD51/1000,$B$5="M", 'Historic Data'!BD51/1000000,$B$5="normal",'Historic Data'!BD51)</f>
        <v>33805.794549999999</v>
      </c>
      <c r="E29" s="94" cm="1">
        <f t="array" ref="E29">_xlfn.IFS($B$5="K",'Historic Data'!BE51/1000,$B$5="M", 'Historic Data'!BE51/1000000,$B$5="normal",'Historic Data'!BE51)</f>
        <v>35834.142220000002</v>
      </c>
      <c r="F29" s="94"/>
      <c r="G29" s="91"/>
      <c r="H29" s="91"/>
      <c r="I29" s="91"/>
      <c r="J29" s="93"/>
    </row>
    <row r="30" spans="2:10" x14ac:dyDescent="0.25">
      <c r="B30" s="19" t="s">
        <v>162</v>
      </c>
      <c r="C30" s="94" cm="1">
        <f t="array" ref="C30">_xlfn.IFS($B$5="K",'Historic Data'!BC52/1000,$B$5="M", 'Historic Data'!BC52/1000000,$B$5="normal",'Historic Data'!BC52)</f>
        <v>43667.463000000003</v>
      </c>
      <c r="D30" s="94" cm="1">
        <f t="array" ref="D30">_xlfn.IFS($B$5="K",'Historic Data'!BD52/1000,$B$5="M", 'Historic Data'!BD52/1000000,$B$5="normal",'Historic Data'!BD52)</f>
        <v>45850.836170000002</v>
      </c>
      <c r="E30" s="94" cm="1">
        <f t="array" ref="E30">_xlfn.IFS($B$5="K",'Historic Data'!BE52/1000,$B$5="M", 'Historic Data'!BE52/1000000,$B$5="normal",'Historic Data'!BE52)</f>
        <v>47801.886349999993</v>
      </c>
      <c r="F30" s="94"/>
      <c r="G30" s="91"/>
      <c r="H30" s="91"/>
      <c r="I30" s="91"/>
      <c r="J30" s="93"/>
    </row>
    <row r="31" spans="2:10" x14ac:dyDescent="0.25">
      <c r="B31" s="19" t="s">
        <v>2</v>
      </c>
      <c r="C31" s="94" cm="1">
        <f t="array" ref="C31">_xlfn.IFS($B$5="K",'Historic Data'!BC53/1000,$B$5="M", 'Historic Data'!BC53/1000000,$B$5="normal",'Historic Data'!BC53)</f>
        <v>21643.650989999998</v>
      </c>
      <c r="D31" s="94" cm="1">
        <f t="array" ref="D31">_xlfn.IFS($B$5="K",'Historic Data'!BD53/1000,$B$5="M", 'Historic Data'!BD53/1000000,$B$5="normal",'Historic Data'!BD53)</f>
        <v>23057.493269999999</v>
      </c>
      <c r="E31" s="94" cm="1">
        <f t="array" ref="E31">_xlfn.IFS($B$5="K",'Historic Data'!BE53/1000,$B$5="M", 'Historic Data'!BE53/1000000,$B$5="normal",'Historic Data'!BE53)</f>
        <v>24537.347320000001</v>
      </c>
      <c r="F31" s="102"/>
      <c r="G31" s="103"/>
      <c r="H31" s="103"/>
      <c r="I31" s="103"/>
      <c r="J31" s="104"/>
    </row>
    <row r="32" spans="2:10" x14ac:dyDescent="0.25">
      <c r="B32" s="20" t="s">
        <v>180</v>
      </c>
      <c r="C32" s="99" cm="1">
        <f t="array" ref="C32">_xlfn.IFS($B$5="K",'Historic Data'!BC54/1000,$B$5="M", 'Historic Data'!BC54/1000000,$B$5="normal",'Historic Data'!BC54)</f>
        <v>211617.63098000002</v>
      </c>
      <c r="D32" s="99" cm="1">
        <f t="array" ref="D32">_xlfn.IFS($B$5="K",'Historic Data'!BD54/1000,$B$5="M", 'Historic Data'!BD54/1000000,$B$5="normal",'Historic Data'!BD54)</f>
        <v>225137.38003999999</v>
      </c>
      <c r="E32" s="100" cm="1">
        <f t="array" ref="E32">_xlfn.IFS($B$5="K",'Historic Data'!BE54/1000,$B$5="M", 'Historic Data'!BE54/1000000,$B$5="normal",'Historic Data'!BE54)</f>
        <v>239166.25988999999</v>
      </c>
      <c r="F32" s="105"/>
      <c r="G32" s="106"/>
      <c r="H32" s="106"/>
      <c r="I32" s="106"/>
      <c r="J32" s="107"/>
    </row>
    <row r="33" spans="2:10" x14ac:dyDescent="0.25">
      <c r="B33" s="19"/>
      <c r="C33" s="94"/>
      <c r="D33" s="91"/>
      <c r="E33" s="93"/>
      <c r="F33" s="94"/>
      <c r="G33" s="91"/>
      <c r="H33" s="91"/>
      <c r="I33" s="91"/>
      <c r="J33" s="93"/>
    </row>
    <row r="34" spans="2:10" x14ac:dyDescent="0.25">
      <c r="B34" s="19" t="s">
        <v>7</v>
      </c>
      <c r="C34" s="94" cm="1">
        <f t="array" ref="C34">_xlfn.IFS($B$5="K",'Historic Data'!BC56/1000,$B$5="M", 'Historic Data'!BC56/1000000,$B$5="normal",'Historic Data'!BC56)</f>
        <v>64626.421190000001</v>
      </c>
      <c r="D34" s="94" cm="1">
        <f t="array" ref="D34">_xlfn.IFS($B$5="K",'Historic Data'!BD56/1000,$B$5="M", 'Historic Data'!BD56/1000000,$B$5="normal",'Historic Data'!BD56)</f>
        <v>64704.472849999998</v>
      </c>
      <c r="E34" s="94" cm="1">
        <f t="array" ref="E34">_xlfn.IFS($B$5="K",'Historic Data'!BE56/1000,$B$5="M", 'Historic Data'!BE56/1000000,$B$5="normal",'Historic Data'!BE56)</f>
        <v>66472.257400000002</v>
      </c>
      <c r="F34" s="94"/>
      <c r="G34" s="91"/>
      <c r="H34" s="91"/>
      <c r="I34" s="91"/>
      <c r="J34" s="93"/>
    </row>
    <row r="35" spans="2:10" x14ac:dyDescent="0.25">
      <c r="B35" s="19" t="s">
        <v>17</v>
      </c>
      <c r="C35" s="94" cm="1">
        <f t="array" ref="C35">_xlfn.IFS($B$5="K",'Historic Data'!BC57/1000,$B$5="M", 'Historic Data'!BC57/1000000,$B$5="normal",'Historic Data'!BC57)</f>
        <v>29200.913090000009</v>
      </c>
      <c r="D35" s="94" cm="1">
        <f t="array" ref="D35">_xlfn.IFS($B$5="K",'Historic Data'!BD57/1000,$B$5="M", 'Historic Data'!BD57/1000000,$B$5="normal",'Historic Data'!BD57)</f>
        <v>29920.36046</v>
      </c>
      <c r="E35" s="94" cm="1">
        <f t="array" ref="E35">_xlfn.IFS($B$5="K",'Historic Data'!BE57/1000,$B$5="M", 'Historic Data'!BE57/1000000,$B$5="normal",'Historic Data'!BE57)</f>
        <v>30155.031329999998</v>
      </c>
      <c r="F35" s="94"/>
      <c r="G35" s="91"/>
      <c r="H35" s="91"/>
      <c r="I35" s="91"/>
      <c r="J35" s="93"/>
    </row>
    <row r="36" spans="2:10" x14ac:dyDescent="0.25">
      <c r="B36" s="19" t="s">
        <v>13</v>
      </c>
      <c r="C36" s="94" cm="1">
        <f t="array" ref="C36">_xlfn.IFS($B$5="K",'Historic Data'!BC58/1000,$B$5="M", 'Historic Data'!BC58/1000000,$B$5="normal",'Historic Data'!BC58)</f>
        <v>30017.044029999997</v>
      </c>
      <c r="D36" s="94" cm="1">
        <f t="array" ref="D36">_xlfn.IFS($B$5="K",'Historic Data'!BD58/1000,$B$5="M", 'Historic Data'!BD58/1000000,$B$5="normal",'Historic Data'!BD58)</f>
        <v>31064.890670000001</v>
      </c>
      <c r="E36" s="94" cm="1">
        <f t="array" ref="E36">_xlfn.IFS($B$5="K",'Historic Data'!BE58/1000,$B$5="M", 'Historic Data'!BE58/1000000,$B$5="normal",'Historic Data'!BE58)</f>
        <v>32548.640459999999</v>
      </c>
      <c r="F36" s="94"/>
      <c r="G36" s="91"/>
      <c r="H36" s="91"/>
      <c r="I36" s="91"/>
      <c r="J36" s="93"/>
    </row>
    <row r="37" spans="2:10" x14ac:dyDescent="0.25">
      <c r="B37" s="19" t="s">
        <v>41</v>
      </c>
      <c r="C37" s="94" cm="1">
        <f t="array" ref="C37">_xlfn.IFS($B$5="K",'Historic Data'!BC59/1000,$B$5="M", 'Historic Data'!BC59/1000000,$B$5="normal",'Historic Data'!BC59)</f>
        <v>15516.309019999999</v>
      </c>
      <c r="D37" s="94" cm="1">
        <f t="array" ref="D37">_xlfn.IFS($B$5="K",'Historic Data'!BD59/1000,$B$5="M", 'Historic Data'!BD59/1000000,$B$5="normal",'Historic Data'!BD59)</f>
        <v>16602.835019999999</v>
      </c>
      <c r="E37" s="94" cm="1">
        <f t="array" ref="E37">_xlfn.IFS($B$5="K",'Historic Data'!BE59/1000,$B$5="M", 'Historic Data'!BE59/1000000,$B$5="normal",'Historic Data'!BE59)</f>
        <v>16297.23941</v>
      </c>
      <c r="F37" s="94"/>
      <c r="G37" s="91"/>
      <c r="H37" s="91"/>
      <c r="I37" s="91"/>
      <c r="J37" s="93"/>
    </row>
    <row r="38" spans="2:10" x14ac:dyDescent="0.25">
      <c r="B38" s="19" t="s">
        <v>40</v>
      </c>
      <c r="C38" s="94" cm="1">
        <f t="array" ref="C38">_xlfn.IFS($B$5="K",'Historic Data'!BC60/1000,$B$5="M", 'Historic Data'!BC60/1000000,$B$5="normal",'Historic Data'!BC60)</f>
        <v>11735.570079999998</v>
      </c>
      <c r="D38" s="94" cm="1">
        <f t="array" ref="D38">_xlfn.IFS($B$5="K",'Historic Data'!BD60/1000,$B$5="M", 'Historic Data'!BD60/1000000,$B$5="normal",'Historic Data'!BD60)</f>
        <v>12204.992779999999</v>
      </c>
      <c r="E38" s="94" cm="1">
        <f t="array" ref="E38">_xlfn.IFS($B$5="K",'Historic Data'!BE60/1000,$B$5="M", 'Historic Data'!BE60/1000000,$B$5="normal",'Historic Data'!BE60)</f>
        <v>12184.402400000001</v>
      </c>
      <c r="F38" s="94"/>
      <c r="G38" s="91"/>
      <c r="H38" s="91"/>
      <c r="I38" s="91"/>
      <c r="J38" s="93"/>
    </row>
    <row r="39" spans="2:10" x14ac:dyDescent="0.25">
      <c r="B39" s="19" t="s">
        <v>39</v>
      </c>
      <c r="C39" s="94" cm="1">
        <f t="array" ref="C39">_xlfn.IFS($B$5="K",'Historic Data'!BC61/1000,$B$5="M", 'Historic Data'!BC61/1000000,$B$5="normal",'Historic Data'!BC61)</f>
        <v>5491.47901</v>
      </c>
      <c r="D39" s="94" cm="1">
        <f t="array" ref="D39">_xlfn.IFS($B$5="K",'Historic Data'!BD61/1000,$B$5="M", 'Historic Data'!BD61/1000000,$B$5="normal",'Historic Data'!BD61)</f>
        <v>5656.223359999999</v>
      </c>
      <c r="E39" s="94" cm="1">
        <f t="array" ref="E39">_xlfn.IFS($B$5="K",'Historic Data'!BE61/1000,$B$5="M", 'Historic Data'!BE61/1000000,$B$5="normal",'Historic Data'!BE61)</f>
        <v>5825.9100699999999</v>
      </c>
      <c r="F39" s="94"/>
      <c r="G39" s="91"/>
      <c r="H39" s="91"/>
      <c r="I39" s="91"/>
      <c r="J39" s="93"/>
    </row>
    <row r="40" spans="2:10" x14ac:dyDescent="0.25">
      <c r="B40" s="19" t="s">
        <v>37</v>
      </c>
      <c r="C40" s="94" cm="1">
        <f t="array" ref="C40">_xlfn.IFS($B$5="K",'Historic Data'!BC62/1000,$B$5="M", 'Historic Data'!BC62/1000000,$B$5="normal",'Historic Data'!BC62)</f>
        <v>25069.0569</v>
      </c>
      <c r="D40" s="94" cm="1">
        <f t="array" ref="D40">_xlfn.IFS($B$5="K",'Historic Data'!BD62/1000,$B$5="M", 'Historic Data'!BD62/1000000,$B$5="normal",'Historic Data'!BD62)</f>
        <v>25958.388230000004</v>
      </c>
      <c r="E40" s="94" cm="1">
        <f t="array" ref="E40">_xlfn.IFS($B$5="K",'Historic Data'!BE62/1000,$B$5="M", 'Historic Data'!BE62/1000000,$B$5="normal",'Historic Data'!BE62)</f>
        <v>26524.865869999998</v>
      </c>
      <c r="F40" s="102"/>
      <c r="G40" s="103"/>
      <c r="H40" s="103"/>
      <c r="I40" s="103"/>
      <c r="J40" s="104"/>
    </row>
    <row r="41" spans="2:10" x14ac:dyDescent="0.25">
      <c r="B41" s="20" t="s">
        <v>181</v>
      </c>
      <c r="C41" s="99" cm="1">
        <f t="array" ref="C41">_xlfn.IFS($B$5="K",'Historic Data'!BC63/1000,$B$5="M", 'Historic Data'!BC63/1000000,$B$5="normal",'Historic Data'!BC63)</f>
        <v>181656.79332000003</v>
      </c>
      <c r="D41" s="99" cm="1">
        <f t="array" ref="D41">_xlfn.IFS($B$5="K",'Historic Data'!BD63/1000,$B$5="M", 'Historic Data'!BD63/1000000,$B$5="normal",'Historic Data'!BD63)</f>
        <v>186112.16336999999</v>
      </c>
      <c r="E41" s="100" cm="1">
        <f t="array" ref="E41">_xlfn.IFS($B$5="K",'Historic Data'!BE63/1000,$B$5="M", 'Historic Data'!BE63/1000000,$B$5="normal",'Historic Data'!BE63)</f>
        <v>190008.34693999999</v>
      </c>
      <c r="F41" s="21"/>
      <c r="G41" s="22"/>
      <c r="H41" s="22"/>
      <c r="I41" s="22"/>
      <c r="J41" s="23"/>
    </row>
    <row r="42" spans="2:10" x14ac:dyDescent="0.25">
      <c r="B42" s="19"/>
      <c r="C42" s="7"/>
      <c r="D42" s="9"/>
      <c r="E42" s="10"/>
      <c r="F42" s="7"/>
      <c r="G42" s="9"/>
      <c r="H42" s="9"/>
      <c r="I42" s="9"/>
      <c r="J42" s="10"/>
    </row>
    <row r="43" spans="2:10" x14ac:dyDescent="0.25">
      <c r="B43" s="20" t="s">
        <v>42</v>
      </c>
      <c r="C43" s="106" cm="1">
        <f t="array" ref="C43">_xlfn.IFS($B$5="K",'Historic Data'!BC65/1000,$B$5="M",'Historic Data'!BC65/1000000,$B$5="normal",'Historic Data'!BC65)</f>
        <v>29960.837659999997</v>
      </c>
      <c r="D43" s="106" cm="1">
        <f t="array" ref="D43">_xlfn.IFS($B$5="K",'Historic Data'!BD65/1000,$B$5="M",'Historic Data'!BD65/1000000,$B$5="normal",'Historic Data'!BD65)</f>
        <v>39025.216669999987</v>
      </c>
      <c r="E43" s="106" cm="1">
        <f t="array" ref="E43">_xlfn.IFS($B$5="K",'Historic Data'!BE65/1000,$B$5="M",'Historic Data'!BE65/1000000,$B$5="normal",'Historic Data'!BE65)</f>
        <v>49157.912949999991</v>
      </c>
      <c r="F43" s="21"/>
      <c r="G43" s="22"/>
      <c r="H43" s="22"/>
      <c r="I43" s="22"/>
      <c r="J43" s="23"/>
    </row>
    <row r="46" spans="2:10" x14ac:dyDescent="0.25">
      <c r="B46" s="124" t="s">
        <v>165</v>
      </c>
      <c r="C46" s="125"/>
      <c r="D46" s="125"/>
      <c r="E46" s="126"/>
      <c r="F46" s="124" t="s">
        <v>166</v>
      </c>
      <c r="G46" s="125"/>
      <c r="H46" s="125"/>
      <c r="I46" s="125"/>
      <c r="J46" s="126"/>
    </row>
    <row r="47" spans="2:10" x14ac:dyDescent="0.25">
      <c r="B47" s="16"/>
      <c r="C47" s="17"/>
      <c r="D47" s="17"/>
      <c r="E47" s="18"/>
      <c r="F47" s="16"/>
      <c r="G47" s="17"/>
      <c r="H47" s="17"/>
      <c r="I47" s="17"/>
      <c r="J47" s="18"/>
    </row>
    <row r="48" spans="2:10" x14ac:dyDescent="0.25">
      <c r="B48" s="7"/>
      <c r="C48" s="9"/>
      <c r="D48" s="9"/>
      <c r="E48" s="10"/>
      <c r="F48" s="7"/>
      <c r="G48" s="24" t="s">
        <v>1</v>
      </c>
      <c r="H48" s="25" t="s">
        <v>6</v>
      </c>
      <c r="I48" s="24" t="s">
        <v>42</v>
      </c>
      <c r="J48" s="10"/>
    </row>
    <row r="49" spans="2:10" x14ac:dyDescent="0.25">
      <c r="B49" s="26" t="s">
        <v>178</v>
      </c>
      <c r="C49" s="55" t="s">
        <v>163</v>
      </c>
      <c r="D49" s="55" t="s">
        <v>164</v>
      </c>
      <c r="E49" s="54" t="s">
        <v>197</v>
      </c>
      <c r="F49" s="7"/>
      <c r="G49" s="9"/>
      <c r="H49" s="9"/>
      <c r="I49" s="9"/>
      <c r="J49" s="10"/>
    </row>
    <row r="50" spans="2:10" x14ac:dyDescent="0.25">
      <c r="B50" s="77" t="s">
        <v>1</v>
      </c>
      <c r="C50" s="78"/>
      <c r="D50" s="78"/>
      <c r="E50" s="75"/>
      <c r="F50" s="11" t="s">
        <v>168</v>
      </c>
      <c r="G50" s="146">
        <v>239</v>
      </c>
      <c r="H50" s="146">
        <v>190</v>
      </c>
      <c r="I50" s="148">
        <f>($G$50*($G$54*I58))-($H$50*($H$54*I58))</f>
        <v>140</v>
      </c>
      <c r="J50" s="10"/>
    </row>
    <row r="51" spans="2:10" x14ac:dyDescent="0.25">
      <c r="B51" s="27" t="s">
        <v>151</v>
      </c>
      <c r="C51" s="9"/>
      <c r="D51" s="9"/>
      <c r="E51" s="10"/>
      <c r="F51" s="7"/>
      <c r="G51" s="9"/>
      <c r="H51" s="9"/>
      <c r="I51" s="9"/>
      <c r="J51" s="10"/>
    </row>
    <row r="52" spans="2:10" x14ac:dyDescent="0.25">
      <c r="B52" s="127"/>
      <c r="C52" s="128"/>
      <c r="D52" s="128"/>
      <c r="E52" s="129"/>
      <c r="F52" s="11" t="s">
        <v>167</v>
      </c>
      <c r="G52" s="79">
        <v>5</v>
      </c>
      <c r="H52" s="9"/>
      <c r="I52" s="59"/>
      <c r="J52" s="10"/>
    </row>
    <row r="53" spans="2:10" x14ac:dyDescent="0.25">
      <c r="B53" s="27"/>
      <c r="C53" s="9"/>
      <c r="D53" s="9"/>
      <c r="E53" s="10"/>
      <c r="F53" s="7"/>
      <c r="G53" s="9"/>
      <c r="H53" s="9"/>
      <c r="I53" s="9"/>
      <c r="J53" s="10"/>
    </row>
    <row r="54" spans="2:10" x14ac:dyDescent="0.25">
      <c r="B54" s="7"/>
      <c r="C54" s="9"/>
      <c r="D54" s="9"/>
      <c r="E54" s="10"/>
      <c r="F54" s="11" t="s">
        <v>198</v>
      </c>
      <c r="G54" s="147">
        <v>6.2E-2</v>
      </c>
      <c r="H54" s="147">
        <v>2.8000000000000001E-2</v>
      </c>
      <c r="I54" s="59"/>
      <c r="J54" s="10"/>
    </row>
    <row r="55" spans="2:10" x14ac:dyDescent="0.25">
      <c r="B55" s="26" t="s">
        <v>179</v>
      </c>
      <c r="C55" s="55" t="s">
        <v>163</v>
      </c>
      <c r="D55" s="55" t="s">
        <v>164</v>
      </c>
      <c r="E55" s="54" t="s">
        <v>197</v>
      </c>
      <c r="F55" s="7"/>
      <c r="G55" s="9"/>
      <c r="H55" s="9"/>
      <c r="I55" s="9"/>
      <c r="J55" s="10"/>
    </row>
    <row r="56" spans="2:10" x14ac:dyDescent="0.25">
      <c r="B56" s="77" t="s">
        <v>6</v>
      </c>
      <c r="C56" s="78"/>
      <c r="D56" s="78"/>
      <c r="E56" s="75"/>
      <c r="F56" s="11" t="s">
        <v>169</v>
      </c>
      <c r="G56" s="9"/>
      <c r="H56" s="9"/>
      <c r="I56" s="9"/>
      <c r="J56" s="10"/>
    </row>
    <row r="57" spans="2:10" x14ac:dyDescent="0.25">
      <c r="B57" s="27" t="s">
        <v>151</v>
      </c>
      <c r="C57" s="9"/>
      <c r="D57" s="9"/>
      <c r="E57" s="10"/>
      <c r="J57" s="10"/>
    </row>
    <row r="58" spans="2:10" x14ac:dyDescent="0.25">
      <c r="B58" s="127"/>
      <c r="C58" s="128"/>
      <c r="D58" s="128"/>
      <c r="E58" s="129"/>
      <c r="F58" s="7"/>
      <c r="G58" s="9"/>
      <c r="H58" s="28" t="s">
        <v>170</v>
      </c>
      <c r="I58" s="149">
        <v>14.739945251631923</v>
      </c>
      <c r="J58" s="10"/>
    </row>
    <row r="59" spans="2:10" x14ac:dyDescent="0.25">
      <c r="B59" s="7"/>
      <c r="C59" s="9"/>
      <c r="D59" s="9"/>
      <c r="E59" s="10"/>
      <c r="F59" s="7"/>
      <c r="G59" s="9"/>
      <c r="H59" s="9"/>
      <c r="I59" s="9"/>
      <c r="J59" s="10"/>
    </row>
    <row r="60" spans="2:10" x14ac:dyDescent="0.25">
      <c r="B60" s="12"/>
      <c r="C60" s="13"/>
      <c r="D60" s="13"/>
      <c r="E60" s="14"/>
      <c r="F60" s="12"/>
      <c r="G60" s="13"/>
      <c r="H60" s="13"/>
      <c r="I60" s="13"/>
      <c r="J60" s="14"/>
    </row>
  </sheetData>
  <mergeCells count="16">
    <mergeCell ref="B58:E58"/>
    <mergeCell ref="C4:E4"/>
    <mergeCell ref="F4:J4"/>
    <mergeCell ref="C25:E25"/>
    <mergeCell ref="F25:J25"/>
    <mergeCell ref="C10:J10"/>
    <mergeCell ref="C15:J15"/>
    <mergeCell ref="C20:J20"/>
    <mergeCell ref="C7:J7"/>
    <mergeCell ref="C12:J12"/>
    <mergeCell ref="C17:J17"/>
    <mergeCell ref="B2:J2"/>
    <mergeCell ref="B23:J23"/>
    <mergeCell ref="B46:E46"/>
    <mergeCell ref="F46:J46"/>
    <mergeCell ref="B52:E52"/>
  </mergeCells>
  <conditionalFormatting sqref="C8:E8">
    <cfRule type="expression" priority="2">
      <formula>"$B$5=""K"""</formula>
    </cfRule>
  </conditionalFormatting>
  <conditionalFormatting sqref="B6">
    <cfRule type="expression" dxfId="4" priority="1">
      <formula>$B$5="K"</formula>
    </cfRule>
  </conditionalFormatting>
  <dataValidations count="6">
    <dataValidation type="list" allowBlank="1" showInputMessage="1" showErrorMessage="1" promptTitle="Units" prompt="Thousands, Millions" sqref="B5" xr:uid="{D38A6647-73D8-4021-89A8-3BE917D7DED2}">
      <formula1>"normal, K,M"</formula1>
    </dataValidation>
    <dataValidation allowBlank="1" showInputMessage="1" showErrorMessage="1" promptTitle="Units" prompt="Thousands, Millions_x000a_" sqref="B26" xr:uid="{E957E210-48AC-4F5B-904B-456C7E22FA88}"/>
    <dataValidation allowBlank="1" showInputMessage="1" showErrorMessage="1" promptTitle="Revenue Detail" prompt="Codes starting with 1 or 2 relate to revenue" sqref="B49" xr:uid="{9CFEBE52-A54A-49A8-87B0-A174974480CF}"/>
    <dataValidation allowBlank="1" showInputMessage="1" showErrorMessage="1" promptTitle="Expense Detail" prompt="Codes starting with 3 - 9 relate to expense" sqref="B55" xr:uid="{7E372CAB-A885-4E29-AD5F-1765EF921A22}"/>
    <dataValidation type="list" allowBlank="1" showInputMessage="1" showErrorMessage="1" promptTitle="Revenue Detail" prompt="Codes starting with 1 or 2 relate to revenue, codes starting with 3 - 9 relate to expense" sqref="B50" xr:uid="{6D159826-097C-4ABA-ABDE-C1C08E3DA536}">
      <formula1>"Revenue, Expense"</formula1>
    </dataValidation>
    <dataValidation type="list" allowBlank="1" showInputMessage="1" showErrorMessage="1" promptTitle="Expense Detail" prompt="Codes starting with 1 or 2 relate to revenue, codes starting with 3 - 9 relate to expense" sqref="B56" xr:uid="{9FB5FAF8-22E7-4852-AD4D-20DFA86A1026}">
      <formula1>"Revenue, Expense"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  <headerFooter>
    <oddFooter>&amp;LMarket Disciple&amp;CStrategic Information&amp;R&amp;D&amp;T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15F95D0-744C-4585-B0E3-458A2CAC5D0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Summary!C18:J18</xm:f>
              <xm:sqref>C17</xm:sqref>
            </x14:sparkline>
          </x14:sparklines>
        </x14:sparklineGroup>
        <x14:sparklineGroup displayEmptyCellsAs="gap" xr2:uid="{F16DB8AA-4749-4503-935D-39F7E4BE014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Summary!C13:J13</xm:f>
              <xm:sqref>C12</xm:sqref>
            </x14:sparkline>
          </x14:sparklines>
        </x14:sparklineGroup>
        <x14:sparklineGroup displayEmptyCellsAs="gap" xr2:uid="{209DEBDB-CC8A-4FAF-A3A0-DF3A1A0635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Summary!C8:J8</xm:f>
              <xm:sqref>C7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3:L52"/>
  <sheetViews>
    <sheetView showGridLines="0" zoomScaleNormal="100" workbookViewId="0">
      <selection activeCell="D52" sqref="D52"/>
    </sheetView>
  </sheetViews>
  <sheetFormatPr defaultRowHeight="15" x14ac:dyDescent="0.25"/>
  <cols>
    <col min="1" max="2" width="9.140625" style="5"/>
    <col min="3" max="3" width="26.5703125" style="5" bestFit="1" customWidth="1"/>
    <col min="4" max="11" width="12.7109375" style="5" customWidth="1"/>
    <col min="12" max="16384" width="9.140625" style="5"/>
  </cols>
  <sheetData>
    <row r="3" spans="2:12" x14ac:dyDescent="0.25">
      <c r="D3" s="124" t="s">
        <v>146</v>
      </c>
      <c r="E3" s="125"/>
      <c r="F3" s="126"/>
      <c r="G3" s="124" t="s">
        <v>147</v>
      </c>
      <c r="H3" s="125"/>
      <c r="I3" s="125"/>
      <c r="J3" s="125"/>
      <c r="K3" s="126"/>
    </row>
    <row r="4" spans="2:12" x14ac:dyDescent="0.25">
      <c r="D4" s="6">
        <f t="shared" ref="D4:E4" ca="1" si="0">E4-1</f>
        <v>2019</v>
      </c>
      <c r="E4" s="6">
        <f t="shared" ca="1" si="0"/>
        <v>2020</v>
      </c>
      <c r="F4" s="58">
        <f ca="1">G4-1</f>
        <v>2021</v>
      </c>
      <c r="G4" s="6">
        <f ca="1">YEAR(TODAY())</f>
        <v>2022</v>
      </c>
      <c r="H4" s="6">
        <f ca="1">G4+1</f>
        <v>2023</v>
      </c>
      <c r="I4" s="6">
        <f t="shared" ref="I4:K4" ca="1" si="1">H4+1</f>
        <v>2024</v>
      </c>
      <c r="J4" s="6">
        <f t="shared" ca="1" si="1"/>
        <v>2025</v>
      </c>
      <c r="K4" s="6">
        <f t="shared" ca="1" si="1"/>
        <v>2026</v>
      </c>
    </row>
    <row r="6" spans="2:12" x14ac:dyDescent="0.25">
      <c r="B6" s="130" t="s">
        <v>148</v>
      </c>
      <c r="C6" s="131"/>
    </row>
    <row r="7" spans="2:12" x14ac:dyDescent="0.25">
      <c r="B7" s="45"/>
      <c r="C7" s="46"/>
      <c r="D7" s="16"/>
      <c r="E7" s="17"/>
      <c r="F7" s="18"/>
      <c r="G7" s="16"/>
      <c r="H7" s="17"/>
      <c r="I7" s="17"/>
      <c r="J7" s="17"/>
      <c r="K7" s="18"/>
    </row>
    <row r="8" spans="2:12" x14ac:dyDescent="0.25">
      <c r="B8" s="7" t="s">
        <v>1</v>
      </c>
      <c r="C8" s="10" t="s">
        <v>160</v>
      </c>
      <c r="D8" s="7"/>
      <c r="E8" s="9"/>
      <c r="F8" s="10"/>
      <c r="G8" s="7"/>
      <c r="H8" s="9"/>
      <c r="I8" s="9"/>
      <c r="J8" s="9"/>
      <c r="K8" s="10"/>
      <c r="L8" s="9"/>
    </row>
    <row r="9" spans="2:12" x14ac:dyDescent="0.25">
      <c r="B9" s="7" t="s">
        <v>1</v>
      </c>
      <c r="C9" s="10" t="s">
        <v>161</v>
      </c>
      <c r="D9" s="7"/>
      <c r="E9" s="9"/>
      <c r="F9" s="10"/>
      <c r="G9" s="7"/>
      <c r="H9" s="9"/>
      <c r="I9" s="9"/>
      <c r="J9" s="9"/>
      <c r="K9" s="10"/>
      <c r="L9" s="9"/>
    </row>
    <row r="10" spans="2:12" x14ac:dyDescent="0.25">
      <c r="B10" s="7" t="s">
        <v>1</v>
      </c>
      <c r="C10" s="10" t="s">
        <v>162</v>
      </c>
      <c r="D10" s="7"/>
      <c r="E10" s="9"/>
      <c r="F10" s="10"/>
      <c r="G10" s="7"/>
      <c r="H10" s="9"/>
      <c r="I10" s="9"/>
      <c r="J10" s="9"/>
      <c r="K10" s="10"/>
      <c r="L10" s="9"/>
    </row>
    <row r="11" spans="2:12" x14ac:dyDescent="0.25">
      <c r="B11" s="7" t="s">
        <v>1</v>
      </c>
      <c r="C11" s="10" t="s">
        <v>2</v>
      </c>
      <c r="D11" s="7"/>
      <c r="E11" s="9"/>
      <c r="F11" s="10"/>
      <c r="G11" s="12"/>
      <c r="H11" s="13"/>
      <c r="I11" s="13"/>
      <c r="J11" s="13"/>
      <c r="K11" s="14"/>
    </row>
    <row r="12" spans="2:12" x14ac:dyDescent="0.25">
      <c r="B12" s="21" t="s">
        <v>1</v>
      </c>
      <c r="C12" s="23" t="s">
        <v>145</v>
      </c>
      <c r="D12" s="21"/>
      <c r="E12" s="22"/>
      <c r="F12" s="23"/>
      <c r="G12" s="21"/>
      <c r="H12" s="22"/>
      <c r="I12" s="22"/>
      <c r="J12" s="22"/>
      <c r="K12" s="23"/>
    </row>
    <row r="13" spans="2:12" x14ac:dyDescent="0.25">
      <c r="B13" s="7"/>
      <c r="C13" s="10"/>
      <c r="D13" s="7"/>
      <c r="E13" s="9"/>
      <c r="F13" s="10"/>
      <c r="G13" s="7"/>
      <c r="H13" s="9"/>
      <c r="I13" s="9"/>
      <c r="J13" s="9"/>
      <c r="K13" s="10"/>
    </row>
    <row r="14" spans="2:12" x14ac:dyDescent="0.25">
      <c r="B14" s="7" t="s">
        <v>6</v>
      </c>
      <c r="C14" s="10" t="s">
        <v>7</v>
      </c>
      <c r="D14" s="7"/>
      <c r="E14" s="9"/>
      <c r="F14" s="10"/>
      <c r="G14" s="7"/>
      <c r="H14" s="9"/>
      <c r="I14" s="9"/>
      <c r="J14" s="9"/>
      <c r="K14" s="10"/>
    </row>
    <row r="15" spans="2:12" x14ac:dyDescent="0.25">
      <c r="B15" s="7" t="s">
        <v>6</v>
      </c>
      <c r="C15" s="10" t="s">
        <v>17</v>
      </c>
      <c r="D15" s="7"/>
      <c r="E15" s="9"/>
      <c r="F15" s="10"/>
      <c r="G15" s="7"/>
      <c r="H15" s="9"/>
      <c r="I15" s="9"/>
      <c r="J15" s="9"/>
      <c r="K15" s="10"/>
    </row>
    <row r="16" spans="2:12" x14ac:dyDescent="0.25">
      <c r="B16" s="7" t="s">
        <v>6</v>
      </c>
      <c r="C16" s="10" t="s">
        <v>13</v>
      </c>
      <c r="D16" s="7"/>
      <c r="E16" s="9"/>
      <c r="F16" s="10"/>
      <c r="G16" s="7"/>
      <c r="H16" s="9"/>
      <c r="I16" s="9"/>
      <c r="J16" s="9"/>
      <c r="K16" s="10"/>
    </row>
    <row r="17" spans="2:11" x14ac:dyDescent="0.25">
      <c r="B17" s="7" t="s">
        <v>6</v>
      </c>
      <c r="C17" s="10" t="s">
        <v>41</v>
      </c>
      <c r="D17" s="7"/>
      <c r="E17" s="9"/>
      <c r="F17" s="10"/>
      <c r="G17" s="7"/>
      <c r="H17" s="9"/>
      <c r="I17" s="9"/>
      <c r="J17" s="9"/>
      <c r="K17" s="10"/>
    </row>
    <row r="18" spans="2:11" x14ac:dyDescent="0.25">
      <c r="B18" s="7" t="s">
        <v>6</v>
      </c>
      <c r="C18" s="10" t="s">
        <v>40</v>
      </c>
      <c r="D18" s="7"/>
      <c r="E18" s="9"/>
      <c r="F18" s="10"/>
      <c r="G18" s="7"/>
      <c r="H18" s="9"/>
      <c r="I18" s="9"/>
      <c r="J18" s="9"/>
      <c r="K18" s="10"/>
    </row>
    <row r="19" spans="2:11" x14ac:dyDescent="0.25">
      <c r="B19" s="7" t="s">
        <v>6</v>
      </c>
      <c r="C19" s="10" t="s">
        <v>39</v>
      </c>
      <c r="D19" s="7"/>
      <c r="E19" s="9"/>
      <c r="F19" s="10"/>
      <c r="G19" s="7"/>
      <c r="H19" s="9"/>
      <c r="I19" s="9"/>
      <c r="J19" s="9"/>
      <c r="K19" s="10"/>
    </row>
    <row r="20" spans="2:11" x14ac:dyDescent="0.25">
      <c r="B20" s="7" t="s">
        <v>6</v>
      </c>
      <c r="C20" s="10" t="s">
        <v>37</v>
      </c>
      <c r="D20" s="12"/>
      <c r="E20" s="13"/>
      <c r="F20" s="14"/>
      <c r="G20" s="12"/>
      <c r="H20" s="13"/>
      <c r="I20" s="13"/>
      <c r="J20" s="13"/>
      <c r="K20" s="14"/>
    </row>
    <row r="21" spans="2:11" x14ac:dyDescent="0.25">
      <c r="B21" s="21" t="s">
        <v>6</v>
      </c>
      <c r="C21" s="23" t="s">
        <v>145</v>
      </c>
      <c r="D21" s="21"/>
      <c r="E21" s="22"/>
      <c r="F21" s="23"/>
      <c r="G21" s="21"/>
      <c r="H21" s="22"/>
      <c r="I21" s="22"/>
      <c r="J21" s="22"/>
      <c r="K21" s="23"/>
    </row>
    <row r="22" spans="2:11" x14ac:dyDescent="0.25">
      <c r="B22" s="7"/>
      <c r="C22" s="10"/>
      <c r="D22" s="7"/>
      <c r="E22" s="9"/>
      <c r="F22" s="10"/>
      <c r="G22" s="7"/>
      <c r="H22" s="9"/>
      <c r="I22" s="9"/>
      <c r="J22" s="9"/>
      <c r="K22" s="10"/>
    </row>
    <row r="23" spans="2:11" x14ac:dyDescent="0.25">
      <c r="B23" s="21" t="s">
        <v>42</v>
      </c>
      <c r="C23" s="23"/>
      <c r="D23" s="21"/>
      <c r="E23" s="22"/>
      <c r="F23" s="23"/>
      <c r="G23" s="21"/>
      <c r="H23" s="22"/>
      <c r="I23" s="22"/>
      <c r="J23" s="22"/>
      <c r="K23" s="23"/>
    </row>
    <row r="24" spans="2:11" x14ac:dyDescent="0.25">
      <c r="B24" s="12"/>
      <c r="C24" s="14"/>
      <c r="D24" s="12"/>
      <c r="E24" s="13"/>
      <c r="F24" s="14"/>
      <c r="G24" s="12"/>
      <c r="H24" s="13"/>
      <c r="I24" s="13"/>
      <c r="J24" s="13"/>
      <c r="K24" s="14"/>
    </row>
    <row r="27" spans="2:11" x14ac:dyDescent="0.25">
      <c r="B27" s="130" t="s">
        <v>149</v>
      </c>
      <c r="C27" s="131"/>
    </row>
    <row r="28" spans="2:11" x14ac:dyDescent="0.25">
      <c r="B28" s="45"/>
      <c r="C28" s="46"/>
      <c r="D28" s="47"/>
      <c r="E28" s="48"/>
      <c r="F28" s="49"/>
      <c r="G28" s="47"/>
      <c r="H28" s="48"/>
      <c r="I28" s="48"/>
      <c r="J28" s="48"/>
      <c r="K28" s="49"/>
    </row>
    <row r="29" spans="2:11" x14ac:dyDescent="0.25">
      <c r="B29" s="7" t="s">
        <v>1</v>
      </c>
      <c r="C29" s="10" t="s">
        <v>160</v>
      </c>
      <c r="D29" s="60"/>
      <c r="E29" s="9"/>
      <c r="F29" s="10"/>
      <c r="G29" s="30"/>
      <c r="H29" s="29"/>
      <c r="I29" s="29"/>
      <c r="J29" s="29"/>
      <c r="K29" s="31"/>
    </row>
    <row r="30" spans="2:11" x14ac:dyDescent="0.25">
      <c r="B30" s="7" t="s">
        <v>1</v>
      </c>
      <c r="C30" s="10" t="s">
        <v>161</v>
      </c>
      <c r="D30" s="60"/>
      <c r="E30" s="9"/>
      <c r="F30" s="10"/>
      <c r="G30" s="30"/>
      <c r="H30" s="29"/>
      <c r="I30" s="29"/>
      <c r="J30" s="29"/>
      <c r="K30" s="31"/>
    </row>
    <row r="31" spans="2:11" x14ac:dyDescent="0.25">
      <c r="B31" s="7" t="s">
        <v>1</v>
      </c>
      <c r="C31" s="10" t="s">
        <v>162</v>
      </c>
      <c r="D31" s="60"/>
      <c r="E31" s="9"/>
      <c r="F31" s="10"/>
      <c r="G31" s="30"/>
      <c r="H31" s="29"/>
      <c r="I31" s="29"/>
      <c r="J31" s="29"/>
      <c r="K31" s="31"/>
    </row>
    <row r="32" spans="2:11" x14ac:dyDescent="0.25">
      <c r="B32" s="7" t="s">
        <v>1</v>
      </c>
      <c r="C32" s="10" t="s">
        <v>2</v>
      </c>
      <c r="D32" s="60"/>
      <c r="E32" s="9"/>
      <c r="F32" s="10"/>
      <c r="G32" s="30"/>
      <c r="H32" s="29"/>
      <c r="I32" s="29"/>
      <c r="J32" s="29"/>
      <c r="K32" s="31"/>
    </row>
    <row r="33" spans="2:11" x14ac:dyDescent="0.25">
      <c r="B33" s="21" t="s">
        <v>1</v>
      </c>
      <c r="C33" s="23" t="s">
        <v>145</v>
      </c>
      <c r="D33" s="61"/>
      <c r="E33" s="64"/>
      <c r="F33" s="65"/>
      <c r="G33" s="61"/>
      <c r="H33" s="64"/>
      <c r="I33" s="64"/>
      <c r="J33" s="64"/>
      <c r="K33" s="65"/>
    </row>
    <row r="34" spans="2:11" x14ac:dyDescent="0.25">
      <c r="B34" s="7"/>
      <c r="C34" s="10"/>
      <c r="D34" s="7"/>
      <c r="E34" s="9"/>
      <c r="F34" s="10"/>
      <c r="G34" s="32"/>
      <c r="H34" s="33"/>
      <c r="I34" s="33"/>
      <c r="J34" s="33"/>
      <c r="K34" s="34"/>
    </row>
    <row r="35" spans="2:11" x14ac:dyDescent="0.25">
      <c r="B35" s="7" t="s">
        <v>6</v>
      </c>
      <c r="C35" s="10" t="s">
        <v>7</v>
      </c>
      <c r="D35" s="60"/>
      <c r="E35" s="9"/>
      <c r="F35" s="10"/>
      <c r="G35" s="30"/>
      <c r="H35" s="35"/>
      <c r="I35" s="35"/>
      <c r="J35" s="29"/>
      <c r="K35" s="31"/>
    </row>
    <row r="36" spans="2:11" x14ac:dyDescent="0.25">
      <c r="B36" s="7" t="s">
        <v>6</v>
      </c>
      <c r="C36" s="10" t="s">
        <v>17</v>
      </c>
      <c r="D36" s="60"/>
      <c r="E36" s="9"/>
      <c r="F36" s="10"/>
      <c r="G36" s="30"/>
      <c r="H36" s="35"/>
      <c r="I36" s="35"/>
      <c r="J36" s="29"/>
      <c r="K36" s="31"/>
    </row>
    <row r="37" spans="2:11" x14ac:dyDescent="0.25">
      <c r="B37" s="7" t="s">
        <v>6</v>
      </c>
      <c r="C37" s="10" t="s">
        <v>13</v>
      </c>
      <c r="D37" s="60"/>
      <c r="E37" s="9"/>
      <c r="F37" s="10"/>
      <c r="G37" s="30"/>
      <c r="H37" s="29"/>
      <c r="I37" s="29"/>
      <c r="J37" s="29"/>
      <c r="K37" s="31"/>
    </row>
    <row r="38" spans="2:11" x14ac:dyDescent="0.25">
      <c r="B38" s="7" t="s">
        <v>6</v>
      </c>
      <c r="C38" s="10" t="s">
        <v>41</v>
      </c>
      <c r="D38" s="60"/>
      <c r="E38" s="9"/>
      <c r="F38" s="10"/>
      <c r="G38" s="30"/>
      <c r="H38" s="29"/>
      <c r="I38" s="29"/>
      <c r="J38" s="29"/>
      <c r="K38" s="31"/>
    </row>
    <row r="39" spans="2:11" x14ac:dyDescent="0.25">
      <c r="B39" s="7" t="s">
        <v>6</v>
      </c>
      <c r="C39" s="10" t="s">
        <v>40</v>
      </c>
      <c r="D39" s="60"/>
      <c r="E39" s="9"/>
      <c r="F39" s="10"/>
      <c r="G39" s="30"/>
      <c r="H39" s="29"/>
      <c r="I39" s="29"/>
      <c r="J39" s="29"/>
      <c r="K39" s="31"/>
    </row>
    <row r="40" spans="2:11" x14ac:dyDescent="0.25">
      <c r="B40" s="7" t="s">
        <v>6</v>
      </c>
      <c r="C40" s="10" t="s">
        <v>39</v>
      </c>
      <c r="D40" s="60"/>
      <c r="E40" s="9"/>
      <c r="F40" s="10"/>
      <c r="G40" s="30"/>
      <c r="H40" s="29"/>
      <c r="I40" s="29"/>
      <c r="J40" s="29"/>
      <c r="K40" s="31"/>
    </row>
    <row r="41" spans="2:11" x14ac:dyDescent="0.25">
      <c r="B41" s="7" t="s">
        <v>6</v>
      </c>
      <c r="C41" s="10" t="s">
        <v>37</v>
      </c>
      <c r="D41" s="62"/>
      <c r="E41" s="13"/>
      <c r="F41" s="14"/>
      <c r="G41" s="30"/>
      <c r="H41" s="29"/>
      <c r="I41" s="29"/>
      <c r="J41" s="29"/>
      <c r="K41" s="31"/>
    </row>
    <row r="42" spans="2:11" x14ac:dyDescent="0.25">
      <c r="B42" s="21" t="s">
        <v>6</v>
      </c>
      <c r="C42" s="23" t="s">
        <v>145</v>
      </c>
      <c r="D42" s="61"/>
      <c r="E42" s="64"/>
      <c r="F42" s="65"/>
      <c r="G42" s="66"/>
      <c r="H42" s="67"/>
      <c r="I42" s="67"/>
      <c r="J42" s="67"/>
      <c r="K42" s="68"/>
    </row>
    <row r="43" spans="2:11" x14ac:dyDescent="0.25">
      <c r="B43" s="7"/>
      <c r="C43" s="10"/>
      <c r="D43" s="7"/>
      <c r="E43" s="9"/>
      <c r="F43" s="10"/>
      <c r="G43" s="7"/>
      <c r="H43" s="9"/>
      <c r="I43" s="9"/>
      <c r="J43" s="9"/>
      <c r="K43" s="10"/>
    </row>
    <row r="44" spans="2:11" x14ac:dyDescent="0.25">
      <c r="B44" s="21" t="s">
        <v>42</v>
      </c>
      <c r="C44" s="23"/>
      <c r="D44" s="61"/>
      <c r="E44" s="64"/>
      <c r="F44" s="65"/>
      <c r="G44" s="66"/>
      <c r="H44" s="67"/>
      <c r="I44" s="67"/>
      <c r="J44" s="67"/>
      <c r="K44" s="68"/>
    </row>
    <row r="45" spans="2:11" x14ac:dyDescent="0.25">
      <c r="B45" s="12"/>
      <c r="C45" s="14"/>
      <c r="D45" s="12"/>
      <c r="E45" s="13"/>
      <c r="F45" s="14"/>
      <c r="G45" s="12"/>
      <c r="H45" s="13"/>
      <c r="I45" s="13"/>
      <c r="J45" s="13"/>
      <c r="K45" s="14"/>
    </row>
    <row r="48" spans="2:11" customFormat="1" x14ac:dyDescent="0.25">
      <c r="B48" s="132" t="s">
        <v>199</v>
      </c>
      <c r="C48" s="133"/>
    </row>
    <row r="50" spans="3:5" x14ac:dyDescent="0.25">
      <c r="C50" s="36" t="s">
        <v>150</v>
      </c>
      <c r="D50" s="36" t="s">
        <v>153</v>
      </c>
    </row>
    <row r="51" spans="3:5" x14ac:dyDescent="0.25">
      <c r="C51" s="5" t="s">
        <v>152</v>
      </c>
      <c r="D51" s="80">
        <v>1000</v>
      </c>
      <c r="E51" s="5" t="s">
        <v>203</v>
      </c>
    </row>
    <row r="52" spans="3:5" x14ac:dyDescent="0.25">
      <c r="C52" s="5" t="s">
        <v>155</v>
      </c>
      <c r="D52" s="80">
        <v>1000000</v>
      </c>
      <c r="E52" s="5" t="s">
        <v>204</v>
      </c>
    </row>
  </sheetData>
  <mergeCells count="5">
    <mergeCell ref="D3:F3"/>
    <mergeCell ref="G3:K3"/>
    <mergeCell ref="B6:C6"/>
    <mergeCell ref="B27:C27"/>
    <mergeCell ref="B48:C4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 r:id="rId1"/>
  <headerFooter>
    <oddFooter>&amp;LMarket Disciple&amp;CStrategic Information&amp;R&amp;D&amp;T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JO7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73" sqref="E73"/>
    </sheetView>
  </sheetViews>
  <sheetFormatPr defaultRowHeight="15" x14ac:dyDescent="0.25"/>
  <cols>
    <col min="1" max="1" width="9" style="5" bestFit="1" customWidth="1"/>
    <col min="2" max="2" width="19.28515625" style="5" bestFit="1" customWidth="1"/>
    <col min="3" max="4" width="26.5703125" style="5" bestFit="1" customWidth="1"/>
    <col min="5" max="22" width="15.28515625" style="5" bestFit="1" customWidth="1"/>
    <col min="23" max="24" width="15" style="5" customWidth="1"/>
    <col min="25" max="25" width="14.85546875" style="5" customWidth="1"/>
    <col min="26" max="38" width="15.28515625" style="5" bestFit="1" customWidth="1"/>
    <col min="39" max="39" width="16.28515625" style="5" bestFit="1" customWidth="1"/>
    <col min="40" max="40" width="15.28515625" style="5" bestFit="1" customWidth="1"/>
    <col min="41" max="41" width="12.7109375" style="5" customWidth="1"/>
    <col min="42" max="53" width="15.28515625" style="5" bestFit="1" customWidth="1"/>
    <col min="54" max="54" width="9.140625" style="5"/>
    <col min="55" max="57" width="16.28515625" style="5" bestFit="1" customWidth="1"/>
    <col min="58" max="58" width="9.140625" style="5" customWidth="1"/>
    <col min="59" max="59" width="9.140625" style="5"/>
    <col min="60" max="61" width="11" style="5" bestFit="1" customWidth="1"/>
    <col min="62" max="16384" width="9.140625" style="5"/>
  </cols>
  <sheetData>
    <row r="1" spans="1:275" x14ac:dyDescent="0.25">
      <c r="E1" s="135">
        <f ca="1">$BC$2</f>
        <v>2019</v>
      </c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6"/>
      <c r="Q1" s="135">
        <f ca="1">$BD$2</f>
        <v>2020</v>
      </c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6"/>
      <c r="AC1" s="135">
        <f ca="1">$BE$2</f>
        <v>2021</v>
      </c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6"/>
      <c r="AP1" s="137">
        <f ca="1">$BC$2</f>
        <v>2019</v>
      </c>
      <c r="AQ1" s="138"/>
      <c r="AR1" s="138"/>
      <c r="AS1" s="139"/>
      <c r="AT1" s="137">
        <f ca="1">$BD$2</f>
        <v>2020</v>
      </c>
      <c r="AU1" s="138"/>
      <c r="AV1" s="138"/>
      <c r="AW1" s="139"/>
      <c r="AX1" s="137">
        <f ca="1">$BE$2</f>
        <v>2021</v>
      </c>
      <c r="AY1" s="138"/>
      <c r="AZ1" s="138"/>
      <c r="BA1" s="139"/>
      <c r="BB1" s="41"/>
      <c r="BC1" s="134" t="s">
        <v>144</v>
      </c>
      <c r="BD1" s="134"/>
      <c r="BE1" s="134"/>
    </row>
    <row r="2" spans="1:275" x14ac:dyDescent="0.25">
      <c r="A2" s="5" t="s">
        <v>0</v>
      </c>
      <c r="B2" s="5" t="s">
        <v>171</v>
      </c>
      <c r="C2" s="5" t="s">
        <v>172</v>
      </c>
      <c r="D2" s="5" t="s">
        <v>173</v>
      </c>
      <c r="E2" s="70" t="s">
        <v>48</v>
      </c>
      <c r="F2" s="70" t="s">
        <v>49</v>
      </c>
      <c r="G2" s="70" t="s">
        <v>50</v>
      </c>
      <c r="H2" s="70" t="s">
        <v>51</v>
      </c>
      <c r="I2" s="70" t="s">
        <v>52</v>
      </c>
      <c r="J2" s="70" t="s">
        <v>53</v>
      </c>
      <c r="K2" s="70" t="s">
        <v>54</v>
      </c>
      <c r="L2" s="70" t="s">
        <v>55</v>
      </c>
      <c r="M2" s="70" t="s">
        <v>56</v>
      </c>
      <c r="N2" s="70" t="s">
        <v>57</v>
      </c>
      <c r="O2" s="70" t="s">
        <v>58</v>
      </c>
      <c r="P2" s="71" t="s">
        <v>59</v>
      </c>
      <c r="Q2" s="70" t="s">
        <v>48</v>
      </c>
      <c r="R2" s="70" t="s">
        <v>49</v>
      </c>
      <c r="S2" s="70" t="s">
        <v>50</v>
      </c>
      <c r="T2" s="70" t="s">
        <v>51</v>
      </c>
      <c r="U2" s="70" t="s">
        <v>52</v>
      </c>
      <c r="V2" s="70" t="s">
        <v>53</v>
      </c>
      <c r="W2" s="70" t="s">
        <v>54</v>
      </c>
      <c r="X2" s="70" t="s">
        <v>55</v>
      </c>
      <c r="Y2" s="70" t="s">
        <v>56</v>
      </c>
      <c r="Z2" s="70" t="s">
        <v>57</v>
      </c>
      <c r="AA2" s="70" t="s">
        <v>58</v>
      </c>
      <c r="AB2" s="71" t="s">
        <v>59</v>
      </c>
      <c r="AC2" s="70" t="s">
        <v>48</v>
      </c>
      <c r="AD2" s="70" t="s">
        <v>49</v>
      </c>
      <c r="AE2" s="70" t="s">
        <v>50</v>
      </c>
      <c r="AF2" s="70" t="s">
        <v>51</v>
      </c>
      <c r="AG2" s="70" t="s">
        <v>52</v>
      </c>
      <c r="AH2" s="70" t="s">
        <v>53</v>
      </c>
      <c r="AI2" s="70" t="s">
        <v>54</v>
      </c>
      <c r="AJ2" s="70" t="s">
        <v>55</v>
      </c>
      <c r="AK2" s="70" t="s">
        <v>56</v>
      </c>
      <c r="AL2" s="70" t="s">
        <v>57</v>
      </c>
      <c r="AM2" s="70" t="s">
        <v>58</v>
      </c>
      <c r="AN2" s="71" t="s">
        <v>59</v>
      </c>
      <c r="AP2" s="42" t="str">
        <f ca="1">"Q1 "&amp;$BC$2</f>
        <v>Q1 2019</v>
      </c>
      <c r="AQ2" s="57" t="str">
        <f ca="1">"Q2 "&amp;$BC$2</f>
        <v>Q2 2019</v>
      </c>
      <c r="AR2" s="57" t="str">
        <f ca="1">"Q3 "&amp;$BC$2</f>
        <v>Q3 2019</v>
      </c>
      <c r="AS2" s="57" t="str">
        <f ca="1">"Q4 "&amp;$BC$2</f>
        <v>Q4 2019</v>
      </c>
      <c r="AT2" s="57" t="str">
        <f ca="1">"Q1 "&amp;$BD$2</f>
        <v>Q1 2020</v>
      </c>
      <c r="AU2" s="57" t="str">
        <f ca="1">"Q2 "&amp;$BD$2</f>
        <v>Q2 2020</v>
      </c>
      <c r="AV2" s="57" t="str">
        <f ca="1">"Q3 "&amp;$BD$2</f>
        <v>Q3 2020</v>
      </c>
      <c r="AW2" s="57" t="str">
        <f ca="1">"Q4 "&amp;$BD$2</f>
        <v>Q4 2020</v>
      </c>
      <c r="AX2" s="57" t="str">
        <f ca="1">"Q1 "&amp;$BE$2</f>
        <v>Q1 2021</v>
      </c>
      <c r="AY2" s="57" t="str">
        <f ca="1">"Q2 "&amp;$BE$2</f>
        <v>Q2 2021</v>
      </c>
      <c r="AZ2" s="57" t="str">
        <f ca="1">"Q3 "&amp;$BE$2</f>
        <v>Q3 2021</v>
      </c>
      <c r="BA2" s="56" t="str">
        <f ca="1">"Q4 "&amp;$BE$2</f>
        <v>Q4 2021</v>
      </c>
      <c r="BB2" s="41"/>
      <c r="BC2" s="43">
        <f ca="1">YEAR(TODAY())-3</f>
        <v>2019</v>
      </c>
      <c r="BD2" s="43">
        <f ca="1">BC2+1</f>
        <v>2020</v>
      </c>
      <c r="BE2" s="56">
        <f ca="1">BD2+1</f>
        <v>2021</v>
      </c>
    </row>
    <row r="3" spans="1:275" x14ac:dyDescent="0.25">
      <c r="A3" s="37" t="s">
        <v>70</v>
      </c>
      <c r="B3" s="37" t="str" cm="1">
        <f t="array" ref="B3">_xlfn.IFS(LEFT(A3,1)="E","Expense",LEFT(A3,1)="R","Revenue")</f>
        <v>Expense</v>
      </c>
      <c r="C3" s="37" t="str">
        <f>VLOOKUP(MID(A3,2,2),$C$69:$D$79,2,FALSE)</f>
        <v>Facilities</v>
      </c>
      <c r="D3" s="37" t="str">
        <f>VLOOKUP(MID(A3,4,4),'Code Breakdown'!$I$2:$J$44,2,FALSE)</f>
        <v>Rent</v>
      </c>
      <c r="E3" s="69">
        <v>1513734.72</v>
      </c>
      <c r="F3" s="69">
        <v>1468772.31</v>
      </c>
      <c r="G3" s="69">
        <v>1528722.2</v>
      </c>
      <c r="H3" s="69">
        <v>1528722.2</v>
      </c>
      <c r="I3" s="69">
        <v>1498747.25</v>
      </c>
      <c r="J3" s="69">
        <v>1513734.72</v>
      </c>
      <c r="K3" s="69">
        <v>1513734.72</v>
      </c>
      <c r="L3" s="69">
        <v>1483759.78</v>
      </c>
      <c r="M3" s="69">
        <v>1438797.36</v>
      </c>
      <c r="N3" s="69">
        <v>1528722.2</v>
      </c>
      <c r="O3" s="69">
        <v>1468772.31</v>
      </c>
      <c r="P3" s="72">
        <v>1498747.25</v>
      </c>
      <c r="Q3" s="69">
        <v>1528722.2</v>
      </c>
      <c r="R3" s="69">
        <v>1513434.97</v>
      </c>
      <c r="S3" s="69">
        <v>1498147.75</v>
      </c>
      <c r="T3" s="69">
        <v>1513434.97</v>
      </c>
      <c r="U3" s="69">
        <v>1559296.64</v>
      </c>
      <c r="V3" s="69">
        <v>1559296.64</v>
      </c>
      <c r="W3" s="69">
        <v>1544009.42</v>
      </c>
      <c r="X3" s="69">
        <v>1498147.75</v>
      </c>
      <c r="Y3" s="69">
        <v>1544009.42</v>
      </c>
      <c r="Z3" s="69">
        <v>1559296.64</v>
      </c>
      <c r="AA3" s="69">
        <v>1498147.75</v>
      </c>
      <c r="AB3" s="72">
        <v>1528722.2</v>
      </c>
      <c r="AC3" s="69">
        <v>1498147.75</v>
      </c>
      <c r="AD3" s="69">
        <v>1559296.64</v>
      </c>
      <c r="AE3" s="69">
        <v>1544009.42</v>
      </c>
      <c r="AF3" s="69">
        <v>1559296.64</v>
      </c>
      <c r="AG3" s="69">
        <v>1513434.97</v>
      </c>
      <c r="AH3" s="69">
        <v>1498147.75</v>
      </c>
      <c r="AI3" s="69">
        <v>1544009.42</v>
      </c>
      <c r="AJ3" s="69">
        <v>1559296.64</v>
      </c>
      <c r="AK3" s="69">
        <v>1604135</v>
      </c>
      <c r="AL3" s="69">
        <v>1544009.42</v>
      </c>
      <c r="AM3" s="69">
        <v>1513434.97</v>
      </c>
      <c r="AN3" s="72">
        <v>1559296.64</v>
      </c>
      <c r="AP3" s="81">
        <f>SUM($E3:$G3)</f>
        <v>4511229.2300000004</v>
      </c>
      <c r="AQ3" s="82">
        <f>SUM($H3:$J3)</f>
        <v>4541204.17</v>
      </c>
      <c r="AR3" s="82">
        <f>SUM($K3:$M3)</f>
        <v>4436291.8600000003</v>
      </c>
      <c r="AS3" s="83">
        <f>SUM($N3:$P3)</f>
        <v>4496241.76</v>
      </c>
      <c r="AT3" s="81">
        <f>SUM($Q3:$S3)</f>
        <v>4540304.92</v>
      </c>
      <c r="AU3" s="82">
        <f>SUM($T3:$V3)</f>
        <v>4632028.25</v>
      </c>
      <c r="AV3" s="82">
        <f>SUM($W3:$Y3)</f>
        <v>4586166.59</v>
      </c>
      <c r="AW3" s="83">
        <f>SUM($Z3:$AB3)</f>
        <v>4586166.59</v>
      </c>
      <c r="AX3" s="81">
        <f>SUM($AC3:$AE3)</f>
        <v>4601453.8099999996</v>
      </c>
      <c r="AY3" s="82">
        <f>SUM($AF3:$AH3)</f>
        <v>4570879.3599999994</v>
      </c>
      <c r="AZ3" s="82">
        <f>SUM($AI3:$AK3)</f>
        <v>4707441.0599999996</v>
      </c>
      <c r="BA3" s="83">
        <f>SUM($AL3:$AN3)</f>
        <v>4616741.0299999993</v>
      </c>
      <c r="BC3" s="81">
        <f>SUM(AP3:AS3)</f>
        <v>17984967.020000003</v>
      </c>
      <c r="BD3" s="82">
        <f>SUM(AT3:AW3)</f>
        <v>18344666.350000001</v>
      </c>
      <c r="BE3" s="83">
        <f>SUM(AX3:BA3)</f>
        <v>18496515.259999998</v>
      </c>
    </row>
    <row r="4" spans="1:275" x14ac:dyDescent="0.25">
      <c r="A4" s="44" t="s">
        <v>192</v>
      </c>
      <c r="B4" s="37" t="str" cm="1">
        <f t="array" ref="B4">_xlfn.IFS(LEFT(A4,1)="E","Expense",LEFT(A4,1)="R","Revenue")</f>
        <v>Revenue</v>
      </c>
      <c r="C4" s="37" t="str">
        <f>VLOOKUP(MID(A4,2,2),$C$69:$D$79,2,FALSE)</f>
        <v>Core - Software</v>
      </c>
      <c r="D4" s="37" t="str">
        <f>VLOOKUP(MID(A4,4,4),'Code Breakdown'!$I$2:$J$44,2,FALSE)</f>
        <v>Maintenance</v>
      </c>
      <c r="E4" s="69">
        <v>492880.37000000011</v>
      </c>
      <c r="F4" s="69">
        <v>441585.11999999988</v>
      </c>
      <c r="G4" s="69">
        <v>451807</v>
      </c>
      <c r="H4" s="69">
        <v>542168.39999999991</v>
      </c>
      <c r="I4" s="69">
        <v>521873.33000000007</v>
      </c>
      <c r="J4" s="69">
        <v>387263.1399999999</v>
      </c>
      <c r="K4" s="69">
        <v>451807</v>
      </c>
      <c r="L4" s="69">
        <v>637845.1799999997</v>
      </c>
      <c r="M4" s="69">
        <v>259996.78000000003</v>
      </c>
      <c r="N4" s="69">
        <v>531537.64999999991</v>
      </c>
      <c r="O4" s="69">
        <v>441585.11999999988</v>
      </c>
      <c r="P4" s="72">
        <v>637845.1799999997</v>
      </c>
      <c r="Q4" s="69">
        <v>507086.91999999993</v>
      </c>
      <c r="R4" s="69">
        <v>583918.27</v>
      </c>
      <c r="S4" s="69">
        <v>458792.92999999993</v>
      </c>
      <c r="T4" s="69">
        <v>468080.23</v>
      </c>
      <c r="U4" s="69">
        <v>614650.80999999959</v>
      </c>
      <c r="V4" s="69">
        <v>563429.90999999968</v>
      </c>
      <c r="W4" s="69">
        <v>442075.77</v>
      </c>
      <c r="X4" s="69">
        <v>422572.4299999997</v>
      </c>
      <c r="Y4" s="69">
        <v>670768.64999999991</v>
      </c>
      <c r="Z4" s="69">
        <v>362204.93999999994</v>
      </c>
      <c r="AA4" s="69">
        <v>563429.90999999968</v>
      </c>
      <c r="AB4" s="72">
        <v>458792.92999999993</v>
      </c>
      <c r="AC4" s="69">
        <v>583918.27</v>
      </c>
      <c r="AD4" s="69">
        <v>507086.91999999993</v>
      </c>
      <c r="AE4" s="69">
        <v>422572.4299999997</v>
      </c>
      <c r="AF4" s="69">
        <v>540892.71</v>
      </c>
      <c r="AG4" s="69">
        <v>450743.9299999997</v>
      </c>
      <c r="AH4" s="69">
        <v>553185.73</v>
      </c>
      <c r="AI4" s="69">
        <v>535258.40999999968</v>
      </c>
      <c r="AJ4" s="69">
        <v>583918.27</v>
      </c>
      <c r="AK4" s="69">
        <v>609071.66999999993</v>
      </c>
      <c r="AL4" s="69">
        <v>676115.89000000013</v>
      </c>
      <c r="AM4" s="69">
        <v>390066.85999999987</v>
      </c>
      <c r="AN4" s="72">
        <v>468080.23</v>
      </c>
      <c r="AP4" s="81">
        <f t="shared" ref="AP4:AP45" si="0">SUM($E4:$G4)</f>
        <v>1386272.49</v>
      </c>
      <c r="AQ4" s="82">
        <f t="shared" ref="AQ4:AQ45" si="1">SUM($H4:$J4)</f>
        <v>1451304.8699999999</v>
      </c>
      <c r="AR4" s="82">
        <f t="shared" ref="AR4:AR45" si="2">SUM($K4:$M4)</f>
        <v>1349648.9599999997</v>
      </c>
      <c r="AS4" s="83">
        <f t="shared" ref="AS4:AS45" si="3">SUM($N4:$P4)</f>
        <v>1610967.9499999995</v>
      </c>
      <c r="AT4" s="81">
        <f t="shared" ref="AT4:AT45" si="4">SUM($Q4:$S4)</f>
        <v>1549798.1199999999</v>
      </c>
      <c r="AU4" s="82">
        <f t="shared" ref="AU4:AU45" si="5">SUM($T4:$V4)</f>
        <v>1646160.9499999993</v>
      </c>
      <c r="AV4" s="82">
        <f t="shared" ref="AV4:AV45" si="6">SUM($W4:$Y4)</f>
        <v>1535416.8499999996</v>
      </c>
      <c r="AW4" s="83">
        <f t="shared" ref="AW4:AW45" si="7">SUM($Z4:$AB4)</f>
        <v>1384427.7799999996</v>
      </c>
      <c r="AX4" s="81">
        <f t="shared" ref="AX4:AX45" si="8">SUM($AC4:$AE4)</f>
        <v>1513577.6199999996</v>
      </c>
      <c r="AY4" s="82">
        <f t="shared" ref="AY4:AY45" si="9">SUM($AF4:$AH4)</f>
        <v>1544822.3699999996</v>
      </c>
      <c r="AZ4" s="82">
        <f t="shared" ref="AZ4:AZ45" si="10">SUM($AI4:$AK4)</f>
        <v>1728248.3499999996</v>
      </c>
      <c r="BA4" s="83">
        <f t="shared" ref="BA4:BA45" si="11">SUM($AL4:$AN4)</f>
        <v>1534262.98</v>
      </c>
      <c r="BC4" s="81">
        <f t="shared" ref="BC4:BC45" si="12">SUM(AP4:AS4)</f>
        <v>5798194.2699999986</v>
      </c>
      <c r="BD4" s="82">
        <f t="shared" ref="BD4:BD45" si="13">SUM(AT4:AW4)</f>
        <v>6115803.6999999983</v>
      </c>
      <c r="BE4" s="83">
        <f t="shared" ref="BE4:BE45" si="14">SUM(AX4:BA4)</f>
        <v>6320911.3199999984</v>
      </c>
    </row>
    <row r="5" spans="1:275" x14ac:dyDescent="0.25">
      <c r="A5" s="37" t="s">
        <v>68</v>
      </c>
      <c r="B5" s="37" t="str" cm="1">
        <f t="array" ref="B5">_xlfn.IFS(LEFT(A5,1)="E","Expense",LEFT(A5,1)="R","Revenue")</f>
        <v>Expense</v>
      </c>
      <c r="C5" s="37" t="str">
        <f>VLOOKUP(MID(A5,2,2),$C$69:$D$79,2,FALSE)</f>
        <v>Staff</v>
      </c>
      <c r="D5" s="37" t="str">
        <f>VLOOKUP(MID(A5,4,4),'Code Breakdown'!$I$2:$J$44,2,FALSE)</f>
        <v>Offshore - bonus</v>
      </c>
      <c r="E5" s="69">
        <v>63072.92</v>
      </c>
      <c r="F5" s="69">
        <v>68806.83</v>
      </c>
      <c r="G5" s="69">
        <v>58221.16</v>
      </c>
      <c r="H5" s="69">
        <v>58221.16</v>
      </c>
      <c r="I5" s="69">
        <v>63072.92</v>
      </c>
      <c r="J5" s="69">
        <v>68806.83</v>
      </c>
      <c r="K5" s="69">
        <v>58221.16</v>
      </c>
      <c r="L5" s="69">
        <v>63072.92</v>
      </c>
      <c r="M5" s="69">
        <v>61575.41</v>
      </c>
      <c r="N5" s="69">
        <v>58221.16</v>
      </c>
      <c r="O5" s="69">
        <v>63072.92</v>
      </c>
      <c r="P5" s="72">
        <v>58221.16</v>
      </c>
      <c r="Q5" s="69">
        <v>60550.01</v>
      </c>
      <c r="R5" s="69">
        <v>65595.839999999997</v>
      </c>
      <c r="S5" s="69">
        <v>71559.100000000006</v>
      </c>
      <c r="T5" s="69">
        <v>60550.01</v>
      </c>
      <c r="U5" s="69">
        <v>71559.100000000006</v>
      </c>
      <c r="V5" s="69">
        <v>60550.01</v>
      </c>
      <c r="W5" s="69">
        <v>60550.01</v>
      </c>
      <c r="X5" s="69">
        <v>60550.01</v>
      </c>
      <c r="Y5" s="69">
        <v>72017.81</v>
      </c>
      <c r="Z5" s="69">
        <v>71559.100000000006</v>
      </c>
      <c r="AA5" s="69">
        <v>71559.100000000006</v>
      </c>
      <c r="AB5" s="72">
        <v>60550.01</v>
      </c>
      <c r="AC5" s="69">
        <v>71559.100000000006</v>
      </c>
      <c r="AD5" s="69">
        <v>71559.100000000006</v>
      </c>
      <c r="AE5" s="69">
        <v>71559.100000000006</v>
      </c>
      <c r="AF5" s="69">
        <v>60550.01</v>
      </c>
      <c r="AG5" s="69">
        <v>60550.01</v>
      </c>
      <c r="AH5" s="69">
        <v>65595.839999999997</v>
      </c>
      <c r="AI5" s="69">
        <v>65595.839999999997</v>
      </c>
      <c r="AJ5" s="69">
        <v>71559.100000000006</v>
      </c>
      <c r="AK5" s="69">
        <v>77357.22</v>
      </c>
      <c r="AL5" s="69">
        <v>71559.100000000006</v>
      </c>
      <c r="AM5" s="69">
        <v>65595.839999999997</v>
      </c>
      <c r="AN5" s="72">
        <v>65595.839999999997</v>
      </c>
      <c r="AP5" s="81">
        <f t="shared" si="0"/>
        <v>190100.91</v>
      </c>
      <c r="AQ5" s="82">
        <f t="shared" si="1"/>
        <v>190100.91</v>
      </c>
      <c r="AR5" s="82">
        <f t="shared" si="2"/>
        <v>182869.49</v>
      </c>
      <c r="AS5" s="83">
        <f t="shared" si="3"/>
        <v>179515.24</v>
      </c>
      <c r="AT5" s="81">
        <f t="shared" si="4"/>
        <v>197704.95</v>
      </c>
      <c r="AU5" s="82">
        <f t="shared" si="5"/>
        <v>192659.12000000002</v>
      </c>
      <c r="AV5" s="82">
        <f t="shared" si="6"/>
        <v>193117.83000000002</v>
      </c>
      <c r="AW5" s="83">
        <f t="shared" si="7"/>
        <v>203668.21000000002</v>
      </c>
      <c r="AX5" s="81">
        <f t="shared" si="8"/>
        <v>214677.30000000002</v>
      </c>
      <c r="AY5" s="82">
        <f t="shared" si="9"/>
        <v>186695.86</v>
      </c>
      <c r="AZ5" s="82">
        <f t="shared" si="10"/>
        <v>214512.16</v>
      </c>
      <c r="BA5" s="83">
        <f t="shared" si="11"/>
        <v>202750.78</v>
      </c>
      <c r="BC5" s="81">
        <f t="shared" si="12"/>
        <v>742586.55</v>
      </c>
      <c r="BD5" s="82">
        <f t="shared" si="13"/>
        <v>787150.1100000001</v>
      </c>
      <c r="BE5" s="83">
        <f t="shared" si="14"/>
        <v>818636.10000000009</v>
      </c>
    </row>
    <row r="6" spans="1:275" x14ac:dyDescent="0.25">
      <c r="A6" s="5" t="s">
        <v>61</v>
      </c>
      <c r="B6" s="37" t="str" cm="1">
        <f t="array" ref="B6">_xlfn.IFS(LEFT(A6,1)="E","Expense",LEFT(A6,1)="R","Revenue")</f>
        <v>Revenue</v>
      </c>
      <c r="C6" s="37" t="str">
        <f>VLOOKUP(MID(A6,2,2),$C$69:$D$79,2,FALSE)</f>
        <v>Non-core</v>
      </c>
      <c r="D6" s="37" t="str">
        <f>VLOOKUP(MID(A6,4,4),'Code Breakdown'!$I$2:$J$44,2,FALSE)</f>
        <v>Other - recurring</v>
      </c>
      <c r="E6" s="69">
        <v>425938</v>
      </c>
      <c r="F6" s="69">
        <v>387216.36</v>
      </c>
      <c r="G6" s="69">
        <v>304241.43</v>
      </c>
      <c r="H6" s="69">
        <v>425938</v>
      </c>
      <c r="I6" s="69">
        <v>327644.62</v>
      </c>
      <c r="J6" s="69">
        <v>425938</v>
      </c>
      <c r="K6" s="69">
        <v>354948.33</v>
      </c>
      <c r="L6" s="69">
        <v>354948.33</v>
      </c>
      <c r="M6" s="69">
        <v>218146.07</v>
      </c>
      <c r="N6" s="69">
        <v>425938</v>
      </c>
      <c r="O6" s="69">
        <v>304241.43</v>
      </c>
      <c r="P6" s="72">
        <v>304241.43</v>
      </c>
      <c r="Q6" s="69">
        <v>447234.9</v>
      </c>
      <c r="R6" s="69">
        <v>406577.18</v>
      </c>
      <c r="S6" s="69">
        <v>319453.5</v>
      </c>
      <c r="T6" s="69">
        <v>344026.85</v>
      </c>
      <c r="U6" s="69">
        <v>319453.5</v>
      </c>
      <c r="V6" s="69">
        <v>319453.5</v>
      </c>
      <c r="W6" s="69">
        <v>372695.75</v>
      </c>
      <c r="X6" s="69">
        <v>319453.5</v>
      </c>
      <c r="Y6" s="69">
        <v>322953.34000000003</v>
      </c>
      <c r="Z6" s="69">
        <v>447234.9</v>
      </c>
      <c r="AA6" s="69">
        <v>447234.9</v>
      </c>
      <c r="AB6" s="72">
        <v>406577.18</v>
      </c>
      <c r="AC6" s="69">
        <v>344026.85</v>
      </c>
      <c r="AD6" s="69">
        <v>319453.5</v>
      </c>
      <c r="AE6" s="69">
        <v>406577.18</v>
      </c>
      <c r="AF6" s="69">
        <v>406577.18</v>
      </c>
      <c r="AG6" s="69">
        <v>319453.5</v>
      </c>
      <c r="AH6" s="69">
        <v>372695.75</v>
      </c>
      <c r="AI6" s="69">
        <v>447234.9</v>
      </c>
      <c r="AJ6" s="69">
        <v>447234.9</v>
      </c>
      <c r="AK6" s="69">
        <v>576386.44999999995</v>
      </c>
      <c r="AL6" s="69">
        <v>319453.5</v>
      </c>
      <c r="AM6" s="69">
        <v>372695.75</v>
      </c>
      <c r="AN6" s="72">
        <v>319453.5</v>
      </c>
      <c r="AP6" s="81">
        <f t="shared" si="0"/>
        <v>1117395.79</v>
      </c>
      <c r="AQ6" s="82">
        <f t="shared" si="1"/>
        <v>1179520.6200000001</v>
      </c>
      <c r="AR6" s="82">
        <f t="shared" si="2"/>
        <v>928042.73</v>
      </c>
      <c r="AS6" s="83">
        <f t="shared" si="3"/>
        <v>1034420.8599999999</v>
      </c>
      <c r="AT6" s="81">
        <f t="shared" si="4"/>
        <v>1173265.58</v>
      </c>
      <c r="AU6" s="82">
        <f t="shared" si="5"/>
        <v>982933.85</v>
      </c>
      <c r="AV6" s="82">
        <f t="shared" si="6"/>
        <v>1015102.5900000001</v>
      </c>
      <c r="AW6" s="83">
        <f t="shared" si="7"/>
        <v>1301046.98</v>
      </c>
      <c r="AX6" s="81">
        <f t="shared" si="8"/>
        <v>1070057.53</v>
      </c>
      <c r="AY6" s="82">
        <f t="shared" si="9"/>
        <v>1098726.43</v>
      </c>
      <c r="AZ6" s="82">
        <f t="shared" si="10"/>
        <v>1470856.25</v>
      </c>
      <c r="BA6" s="83">
        <f t="shared" si="11"/>
        <v>1011602.75</v>
      </c>
      <c r="BC6" s="81">
        <f t="shared" si="12"/>
        <v>4259380</v>
      </c>
      <c r="BD6" s="82">
        <f t="shared" si="13"/>
        <v>4472349</v>
      </c>
      <c r="BE6" s="83">
        <f t="shared" si="14"/>
        <v>4651242.96</v>
      </c>
    </row>
    <row r="7" spans="1:275" x14ac:dyDescent="0.25">
      <c r="A7" s="44" t="s">
        <v>191</v>
      </c>
      <c r="B7" s="37" t="str" cm="1">
        <f t="array" ref="B7">_xlfn.IFS(LEFT(A7,1)="E","Expense",LEFT(A7,1)="R","Revenue")</f>
        <v>Revenue</v>
      </c>
      <c r="C7" s="37" t="str">
        <f>VLOOKUP(MID(A7,2,2),$C$69:$D$79,2,FALSE)</f>
        <v>Core - Software</v>
      </c>
      <c r="D7" s="37" t="str">
        <f>VLOOKUP(MID(A7,4,4),'Code Breakdown'!$I$2:$J$44,2,FALSE)</f>
        <v>Licensing</v>
      </c>
      <c r="E7" s="69">
        <v>2406415.9</v>
      </c>
      <c r="F7" s="69">
        <v>2011665.57</v>
      </c>
      <c r="G7" s="69">
        <v>2205881.25</v>
      </c>
      <c r="H7" s="69">
        <v>2647057.5</v>
      </c>
      <c r="I7" s="69">
        <v>2377422.94</v>
      </c>
      <c r="J7" s="69">
        <v>1890755.36</v>
      </c>
      <c r="K7" s="69">
        <v>2205881.25</v>
      </c>
      <c r="L7" s="69">
        <v>2551380.7200000002</v>
      </c>
      <c r="M7" s="69">
        <v>1108407.3400000001</v>
      </c>
      <c r="N7" s="69">
        <v>2126150.6</v>
      </c>
      <c r="O7" s="69">
        <v>2011665.57</v>
      </c>
      <c r="P7" s="72">
        <v>2551380.7200000002</v>
      </c>
      <c r="Q7" s="69">
        <v>2310062.63</v>
      </c>
      <c r="R7" s="69">
        <v>2489335.7799999998</v>
      </c>
      <c r="S7" s="69">
        <v>1955906.68</v>
      </c>
      <c r="T7" s="69">
        <v>2132365.5</v>
      </c>
      <c r="U7" s="69">
        <v>2458603.2400000002</v>
      </c>
      <c r="V7" s="69">
        <v>2253719.64</v>
      </c>
      <c r="W7" s="69">
        <v>2158369.96</v>
      </c>
      <c r="X7" s="69">
        <v>2394577.12</v>
      </c>
      <c r="Y7" s="69">
        <v>3274929.31</v>
      </c>
      <c r="Z7" s="69">
        <v>2052494.67</v>
      </c>
      <c r="AA7" s="69">
        <v>2253719.64</v>
      </c>
      <c r="AB7" s="72">
        <v>1955906.68</v>
      </c>
      <c r="AC7" s="69">
        <v>2489335.7799999998</v>
      </c>
      <c r="AD7" s="69">
        <v>2310062.63</v>
      </c>
      <c r="AE7" s="69">
        <v>2394577.12</v>
      </c>
      <c r="AF7" s="69">
        <v>2839686.74</v>
      </c>
      <c r="AG7" s="69">
        <v>2366405.62</v>
      </c>
      <c r="AH7" s="69">
        <v>2520068.3199999998</v>
      </c>
      <c r="AI7" s="69">
        <v>2281891.14</v>
      </c>
      <c r="AJ7" s="69">
        <v>2489335.7799999998</v>
      </c>
      <c r="AK7" s="69">
        <v>2774659.84</v>
      </c>
      <c r="AL7" s="69">
        <v>2704463.56</v>
      </c>
      <c r="AM7" s="69">
        <v>2210378.87</v>
      </c>
      <c r="AN7" s="72">
        <v>2132365.5</v>
      </c>
      <c r="AP7" s="81">
        <f t="shared" si="0"/>
        <v>6623962.7199999997</v>
      </c>
      <c r="AQ7" s="82">
        <f t="shared" si="1"/>
        <v>6915235.7999999998</v>
      </c>
      <c r="AR7" s="82">
        <f t="shared" si="2"/>
        <v>5865669.3100000005</v>
      </c>
      <c r="AS7" s="83">
        <f t="shared" si="3"/>
        <v>6689196.8900000006</v>
      </c>
      <c r="AT7" s="81">
        <f t="shared" si="4"/>
        <v>6755305.0899999999</v>
      </c>
      <c r="AU7" s="82">
        <f t="shared" si="5"/>
        <v>6844688.3800000008</v>
      </c>
      <c r="AV7" s="82">
        <f t="shared" si="6"/>
        <v>7827876.3900000006</v>
      </c>
      <c r="AW7" s="83">
        <f t="shared" si="7"/>
        <v>6262120.9900000002</v>
      </c>
      <c r="AX7" s="81">
        <f t="shared" si="8"/>
        <v>7193975.5300000003</v>
      </c>
      <c r="AY7" s="82">
        <f t="shared" si="9"/>
        <v>7726160.6799999997</v>
      </c>
      <c r="AZ7" s="82">
        <f t="shared" si="10"/>
        <v>7545886.7599999998</v>
      </c>
      <c r="BA7" s="83">
        <f t="shared" si="11"/>
        <v>7047207.9299999997</v>
      </c>
      <c r="BC7" s="81">
        <f t="shared" si="12"/>
        <v>26094064.719999999</v>
      </c>
      <c r="BD7" s="82">
        <f t="shared" si="13"/>
        <v>27689990.850000001</v>
      </c>
      <c r="BE7" s="83">
        <f t="shared" si="14"/>
        <v>29513230.899999999</v>
      </c>
    </row>
    <row r="8" spans="1:275" x14ac:dyDescent="0.25">
      <c r="A8" s="5" t="s">
        <v>60</v>
      </c>
      <c r="B8" s="37" t="str" cm="1">
        <f t="array" ref="B8">_xlfn.IFS(LEFT(A8,1)="E","Expense",LEFT(A8,1)="R","Revenue")</f>
        <v>Revenue</v>
      </c>
      <c r="C8" s="37" t="str">
        <f>VLOOKUP(MID(A8,2,2),$C$69:$D$79,2,FALSE)</f>
        <v>Non-core</v>
      </c>
      <c r="D8" s="37" t="str">
        <f>VLOOKUP(MID(A8,4,4),'Code Breakdown'!$I$2:$J$44,2,FALSE)</f>
        <v>Consultancy</v>
      </c>
      <c r="E8" s="69">
        <v>1578170.3</v>
      </c>
      <c r="F8" s="69">
        <v>1315141.92</v>
      </c>
      <c r="G8" s="69">
        <v>1315141.92</v>
      </c>
      <c r="H8" s="69">
        <v>1213977.1499999999</v>
      </c>
      <c r="I8" s="69">
        <v>1315141.92</v>
      </c>
      <c r="J8" s="69">
        <v>1213977.1499999999</v>
      </c>
      <c r="K8" s="69">
        <v>1578170.3</v>
      </c>
      <c r="L8" s="69">
        <v>1578170.3</v>
      </c>
      <c r="M8" s="69">
        <v>754400.09</v>
      </c>
      <c r="N8" s="69">
        <v>1213977.1499999999</v>
      </c>
      <c r="O8" s="69">
        <v>1578170.3</v>
      </c>
      <c r="P8" s="72">
        <v>1127264.5</v>
      </c>
      <c r="Q8" s="69">
        <v>1206173.02</v>
      </c>
      <c r="R8" s="69">
        <v>1688642.22</v>
      </c>
      <c r="S8" s="69">
        <v>1688642.22</v>
      </c>
      <c r="T8" s="69">
        <v>1535129.29</v>
      </c>
      <c r="U8" s="69">
        <v>1535129.29</v>
      </c>
      <c r="V8" s="69">
        <v>1407201.85</v>
      </c>
      <c r="W8" s="69">
        <v>1535129.29</v>
      </c>
      <c r="X8" s="69">
        <v>1535129.29</v>
      </c>
      <c r="Y8" s="69">
        <v>714987.87</v>
      </c>
      <c r="Z8" s="69">
        <v>1535129.29</v>
      </c>
      <c r="AA8" s="69">
        <v>1206173.02</v>
      </c>
      <c r="AB8" s="72">
        <v>1298955.55</v>
      </c>
      <c r="AC8" s="69">
        <v>1298955.55</v>
      </c>
      <c r="AD8" s="69">
        <v>1407201.85</v>
      </c>
      <c r="AE8" s="69">
        <v>1298955.55</v>
      </c>
      <c r="AF8" s="69">
        <v>1298955.55</v>
      </c>
      <c r="AG8" s="69">
        <v>1535129.29</v>
      </c>
      <c r="AH8" s="69">
        <v>1206173.02</v>
      </c>
      <c r="AI8" s="69">
        <v>1298955.55</v>
      </c>
      <c r="AJ8" s="69">
        <v>1298955.55</v>
      </c>
      <c r="AK8" s="69">
        <v>2902462.77</v>
      </c>
      <c r="AL8" s="69">
        <v>1298955.55</v>
      </c>
      <c r="AM8" s="69">
        <v>1535129.29</v>
      </c>
      <c r="AN8" s="72">
        <v>1688642.22</v>
      </c>
      <c r="AP8" s="81">
        <f t="shared" si="0"/>
        <v>4208454.1399999997</v>
      </c>
      <c r="AQ8" s="82">
        <f t="shared" si="1"/>
        <v>3743096.2199999997</v>
      </c>
      <c r="AR8" s="82">
        <f t="shared" si="2"/>
        <v>3910740.69</v>
      </c>
      <c r="AS8" s="83">
        <f t="shared" si="3"/>
        <v>3919411.95</v>
      </c>
      <c r="AT8" s="81">
        <f t="shared" si="4"/>
        <v>4583457.46</v>
      </c>
      <c r="AU8" s="82">
        <f t="shared" si="5"/>
        <v>4477460.43</v>
      </c>
      <c r="AV8" s="82">
        <f t="shared" si="6"/>
        <v>3785246.45</v>
      </c>
      <c r="AW8" s="83">
        <f t="shared" si="7"/>
        <v>4040257.8600000003</v>
      </c>
      <c r="AX8" s="81">
        <f t="shared" si="8"/>
        <v>4005112.95</v>
      </c>
      <c r="AY8" s="82">
        <f t="shared" si="9"/>
        <v>4040257.86</v>
      </c>
      <c r="AZ8" s="82">
        <f t="shared" si="10"/>
        <v>5500373.8700000001</v>
      </c>
      <c r="BA8" s="83">
        <f t="shared" si="11"/>
        <v>4522727.0599999996</v>
      </c>
      <c r="BC8" s="81">
        <f t="shared" si="12"/>
        <v>15781703</v>
      </c>
      <c r="BD8" s="82">
        <f t="shared" si="13"/>
        <v>16886422.199999999</v>
      </c>
      <c r="BE8" s="83">
        <f t="shared" si="14"/>
        <v>18068471.739999998</v>
      </c>
    </row>
    <row r="9" spans="1:275" x14ac:dyDescent="0.25">
      <c r="A9" s="37" t="s">
        <v>64</v>
      </c>
      <c r="B9" s="37" t="str" cm="1">
        <f t="array" ref="B9">_xlfn.IFS(LEFT(A9,1)="E","Expense",LEFT(A9,1)="R","Revenue")</f>
        <v>Expense</v>
      </c>
      <c r="C9" s="37" t="str">
        <f>VLOOKUP(MID(A9,2,2),$C$69:$D$79,2,FALSE)</f>
        <v>Staff</v>
      </c>
      <c r="D9" s="37" t="str">
        <f>VLOOKUP(MID(A9,4,4),'Code Breakdown'!$I$2:$J$44,2,FALSE)</f>
        <v>FTE - fringe</v>
      </c>
      <c r="E9" s="69">
        <v>495002.38</v>
      </c>
      <c r="F9" s="69">
        <v>495002.38</v>
      </c>
      <c r="G9" s="69">
        <v>495002.38</v>
      </c>
      <c r="H9" s="69">
        <v>495002.38</v>
      </c>
      <c r="I9" s="69">
        <v>495002.38</v>
      </c>
      <c r="J9" s="69">
        <v>453752.18</v>
      </c>
      <c r="K9" s="69">
        <v>495002.38</v>
      </c>
      <c r="L9" s="69">
        <v>453752.18</v>
      </c>
      <c r="M9" s="69">
        <v>480654.65</v>
      </c>
      <c r="N9" s="69">
        <v>453752.18</v>
      </c>
      <c r="O9" s="69">
        <v>418848.16</v>
      </c>
      <c r="P9" s="72">
        <v>418848.16</v>
      </c>
      <c r="Q9" s="69">
        <v>462827.22</v>
      </c>
      <c r="R9" s="69">
        <v>504902.42</v>
      </c>
      <c r="S9" s="69">
        <v>462827.22</v>
      </c>
      <c r="T9" s="69">
        <v>462827.22</v>
      </c>
      <c r="U9" s="69">
        <v>427225.13</v>
      </c>
      <c r="V9" s="69">
        <v>462827.22</v>
      </c>
      <c r="W9" s="69">
        <v>462827.22</v>
      </c>
      <c r="X9" s="69">
        <v>504902.42</v>
      </c>
      <c r="Y9" s="69">
        <v>449881</v>
      </c>
      <c r="Z9" s="69">
        <v>462827.22</v>
      </c>
      <c r="AA9" s="69">
        <v>427225.13</v>
      </c>
      <c r="AB9" s="72">
        <v>462827.22</v>
      </c>
      <c r="AC9" s="69">
        <v>504902.42</v>
      </c>
      <c r="AD9" s="69">
        <v>504902.42</v>
      </c>
      <c r="AE9" s="69">
        <v>427225.13</v>
      </c>
      <c r="AF9" s="69">
        <v>462827.22</v>
      </c>
      <c r="AG9" s="69">
        <v>427225.13</v>
      </c>
      <c r="AH9" s="69">
        <v>427225.13</v>
      </c>
      <c r="AI9" s="69">
        <v>462827.22</v>
      </c>
      <c r="AJ9" s="69">
        <v>504902.42</v>
      </c>
      <c r="AK9" s="69">
        <v>428260.82</v>
      </c>
      <c r="AL9" s="69">
        <v>504902.42</v>
      </c>
      <c r="AM9" s="69">
        <v>504902.42</v>
      </c>
      <c r="AN9" s="72">
        <v>504902.42</v>
      </c>
      <c r="AP9" s="81">
        <f t="shared" si="0"/>
        <v>1485007.1400000001</v>
      </c>
      <c r="AQ9" s="82">
        <f t="shared" si="1"/>
        <v>1443756.94</v>
      </c>
      <c r="AR9" s="82">
        <f t="shared" si="2"/>
        <v>1429409.21</v>
      </c>
      <c r="AS9" s="83">
        <f t="shared" si="3"/>
        <v>1291448.5</v>
      </c>
      <c r="AT9" s="81">
        <f t="shared" si="4"/>
        <v>1430556.8599999999</v>
      </c>
      <c r="AU9" s="82">
        <f t="shared" si="5"/>
        <v>1352879.5699999998</v>
      </c>
      <c r="AV9" s="82">
        <f t="shared" si="6"/>
        <v>1417610.64</v>
      </c>
      <c r="AW9" s="83">
        <f t="shared" si="7"/>
        <v>1352879.5699999998</v>
      </c>
      <c r="AX9" s="81">
        <f t="shared" si="8"/>
        <v>1437029.97</v>
      </c>
      <c r="AY9" s="82">
        <f t="shared" si="9"/>
        <v>1317277.48</v>
      </c>
      <c r="AZ9" s="82">
        <f t="shared" si="10"/>
        <v>1395990.46</v>
      </c>
      <c r="BA9" s="83">
        <f t="shared" si="11"/>
        <v>1514707.26</v>
      </c>
      <c r="BC9" s="81">
        <f t="shared" si="12"/>
        <v>5649621.79</v>
      </c>
      <c r="BD9" s="82">
        <f t="shared" si="13"/>
        <v>5553926.6399999987</v>
      </c>
      <c r="BE9" s="83">
        <f t="shared" si="14"/>
        <v>5665005.1699999999</v>
      </c>
    </row>
    <row r="10" spans="1:275" x14ac:dyDescent="0.25">
      <c r="A10" s="5" t="s">
        <v>84</v>
      </c>
      <c r="B10" s="37" t="str" cm="1">
        <f t="array" ref="B10">_xlfn.IFS(LEFT(A10,1)="E","Expense",LEFT(A10,1)="R","Revenue")</f>
        <v>Expense</v>
      </c>
      <c r="C10" s="37" t="str">
        <f>VLOOKUP(MID(A10,2,2),$C$69:$D$79,2,FALSE)</f>
        <v>Travel &amp; Entertainment</v>
      </c>
      <c r="D10" s="37" t="str">
        <f>VLOOKUP(MID(A10,4,4),'Code Breakdown'!$I$2:$J$44,2,FALSE)</f>
        <v>Entertainment</v>
      </c>
      <c r="E10" s="69">
        <v>265632.46000000002</v>
      </c>
      <c r="F10" s="69">
        <v>287768.5</v>
      </c>
      <c r="G10" s="69">
        <v>345322.2</v>
      </c>
      <c r="H10" s="69">
        <v>265632.46000000002</v>
      </c>
      <c r="I10" s="69">
        <v>287768.5</v>
      </c>
      <c r="J10" s="69">
        <v>287768.5</v>
      </c>
      <c r="K10" s="69">
        <v>265632.46000000002</v>
      </c>
      <c r="L10" s="69">
        <v>265632.46000000002</v>
      </c>
      <c r="M10" s="69">
        <v>400978.53</v>
      </c>
      <c r="N10" s="69">
        <v>287768.5</v>
      </c>
      <c r="O10" s="69">
        <v>246658.71</v>
      </c>
      <c r="P10" s="72">
        <v>246658.71</v>
      </c>
      <c r="Q10" s="69">
        <v>352228.64</v>
      </c>
      <c r="R10" s="69">
        <v>320207.86</v>
      </c>
      <c r="S10" s="69">
        <v>293523.87</v>
      </c>
      <c r="T10" s="69">
        <v>352228.64</v>
      </c>
      <c r="U10" s="69">
        <v>251591.89</v>
      </c>
      <c r="V10" s="69">
        <v>320207.86</v>
      </c>
      <c r="W10" s="69">
        <v>270945.11</v>
      </c>
      <c r="X10" s="69">
        <v>251591.89</v>
      </c>
      <c r="Y10" s="69">
        <v>271121.05</v>
      </c>
      <c r="Z10" s="69">
        <v>251591.89</v>
      </c>
      <c r="AA10" s="69">
        <v>293523.87</v>
      </c>
      <c r="AB10" s="72">
        <v>293523.87</v>
      </c>
      <c r="AC10" s="69">
        <v>293523.87</v>
      </c>
      <c r="AD10" s="69">
        <v>320207.86</v>
      </c>
      <c r="AE10" s="69">
        <v>251591.89</v>
      </c>
      <c r="AF10" s="69">
        <v>270945.11</v>
      </c>
      <c r="AG10" s="69">
        <v>270945.11</v>
      </c>
      <c r="AH10" s="69">
        <v>251591.89</v>
      </c>
      <c r="AI10" s="69">
        <v>320207.86</v>
      </c>
      <c r="AJ10" s="69">
        <v>251591.89</v>
      </c>
      <c r="AK10" s="69">
        <v>375886.49</v>
      </c>
      <c r="AL10" s="69">
        <v>352228.64</v>
      </c>
      <c r="AM10" s="69">
        <v>352228.64</v>
      </c>
      <c r="AN10" s="72">
        <v>352228.64</v>
      </c>
      <c r="AP10" s="81">
        <f t="shared" si="0"/>
        <v>898723.15999999992</v>
      </c>
      <c r="AQ10" s="82">
        <f t="shared" si="1"/>
        <v>841169.46</v>
      </c>
      <c r="AR10" s="82">
        <f t="shared" si="2"/>
        <v>932243.45000000007</v>
      </c>
      <c r="AS10" s="83">
        <f t="shared" si="3"/>
        <v>781085.91999999993</v>
      </c>
      <c r="AT10" s="81">
        <f t="shared" si="4"/>
        <v>965960.37</v>
      </c>
      <c r="AU10" s="82">
        <f t="shared" si="5"/>
        <v>924028.39</v>
      </c>
      <c r="AV10" s="82">
        <f t="shared" si="6"/>
        <v>793658.05</v>
      </c>
      <c r="AW10" s="83">
        <f t="shared" si="7"/>
        <v>838639.63</v>
      </c>
      <c r="AX10" s="81">
        <f t="shared" si="8"/>
        <v>865323.62</v>
      </c>
      <c r="AY10" s="82">
        <f t="shared" si="9"/>
        <v>793482.11</v>
      </c>
      <c r="AZ10" s="82">
        <f t="shared" si="10"/>
        <v>947686.24</v>
      </c>
      <c r="BA10" s="83">
        <f t="shared" si="11"/>
        <v>1056685.92</v>
      </c>
      <c r="BC10" s="81">
        <f t="shared" si="12"/>
        <v>3453221.9899999998</v>
      </c>
      <c r="BD10" s="82">
        <f t="shared" si="13"/>
        <v>3522286.44</v>
      </c>
      <c r="BE10" s="83">
        <f t="shared" si="14"/>
        <v>3663177.8899999997</v>
      </c>
    </row>
    <row r="11" spans="1:275" x14ac:dyDescent="0.25">
      <c r="A11" s="37" t="s">
        <v>74</v>
      </c>
      <c r="B11" s="37" t="str" cm="1">
        <f t="array" ref="B11">_xlfn.IFS(LEFT(A11,1)="E","Expense",LEFT(A11,1)="R","Revenue")</f>
        <v>Expense</v>
      </c>
      <c r="C11" s="37" t="str">
        <f>VLOOKUP(MID(A11,2,2),$C$69:$D$79,2,FALSE)</f>
        <v>Facilities</v>
      </c>
      <c r="D11" s="37" t="str">
        <f>VLOOKUP(MID(A11,4,4),'Code Breakdown'!$I$2:$J$44,2,FALSE)</f>
        <v>Insurance</v>
      </c>
      <c r="E11" s="69">
        <v>31698.43</v>
      </c>
      <c r="F11" s="69">
        <v>32992.239999999998</v>
      </c>
      <c r="G11" s="69">
        <v>32992.239999999998</v>
      </c>
      <c r="H11" s="69">
        <v>32668.79</v>
      </c>
      <c r="I11" s="69">
        <v>32021.88</v>
      </c>
      <c r="J11" s="69">
        <v>32992.239999999998</v>
      </c>
      <c r="K11" s="69">
        <v>32992.239999999998</v>
      </c>
      <c r="L11" s="69">
        <v>32021.88</v>
      </c>
      <c r="M11" s="69">
        <v>31698.43</v>
      </c>
      <c r="N11" s="69">
        <v>32021.88</v>
      </c>
      <c r="O11" s="69">
        <v>32021.88</v>
      </c>
      <c r="P11" s="72">
        <v>32021.88</v>
      </c>
      <c r="Q11" s="69">
        <v>32332.400000000001</v>
      </c>
      <c r="R11" s="69">
        <v>32332.400000000001</v>
      </c>
      <c r="S11" s="69">
        <v>32992.239999999998</v>
      </c>
      <c r="T11" s="69">
        <v>32332.400000000001</v>
      </c>
      <c r="U11" s="69">
        <v>33652.080000000002</v>
      </c>
      <c r="V11" s="69">
        <v>33322.160000000003</v>
      </c>
      <c r="W11" s="69">
        <v>32662.32</v>
      </c>
      <c r="X11" s="69">
        <v>32992.239999999998</v>
      </c>
      <c r="Y11" s="69">
        <v>34311.93</v>
      </c>
      <c r="Z11" s="69">
        <v>33322.160000000003</v>
      </c>
      <c r="AA11" s="69">
        <v>32662.32</v>
      </c>
      <c r="AB11" s="72">
        <v>32992.239999999998</v>
      </c>
      <c r="AC11" s="69">
        <v>33322.160000000003</v>
      </c>
      <c r="AD11" s="69">
        <v>32332.400000000001</v>
      </c>
      <c r="AE11" s="69">
        <v>32662.32</v>
      </c>
      <c r="AF11" s="69">
        <v>32992.239999999998</v>
      </c>
      <c r="AG11" s="69">
        <v>32332.400000000001</v>
      </c>
      <c r="AH11" s="69">
        <v>33652.080000000002</v>
      </c>
      <c r="AI11" s="69">
        <v>32662.32</v>
      </c>
      <c r="AJ11" s="69">
        <v>32992.239999999998</v>
      </c>
      <c r="AK11" s="69">
        <v>36547</v>
      </c>
      <c r="AL11" s="69">
        <v>33322.160000000003</v>
      </c>
      <c r="AM11" s="69">
        <v>32662.32</v>
      </c>
      <c r="AN11" s="72">
        <v>32332.400000000001</v>
      </c>
      <c r="AP11" s="81">
        <f t="shared" si="0"/>
        <v>97682.91</v>
      </c>
      <c r="AQ11" s="82">
        <f t="shared" si="1"/>
        <v>97682.91</v>
      </c>
      <c r="AR11" s="82">
        <f t="shared" si="2"/>
        <v>96712.549999999988</v>
      </c>
      <c r="AS11" s="83">
        <f t="shared" si="3"/>
        <v>96065.64</v>
      </c>
      <c r="AT11" s="81">
        <f t="shared" si="4"/>
        <v>97657.040000000008</v>
      </c>
      <c r="AU11" s="82">
        <f t="shared" si="5"/>
        <v>99306.640000000014</v>
      </c>
      <c r="AV11" s="82">
        <f t="shared" si="6"/>
        <v>99966.489999999991</v>
      </c>
      <c r="AW11" s="83">
        <f t="shared" si="7"/>
        <v>98976.72</v>
      </c>
      <c r="AX11" s="81">
        <f t="shared" si="8"/>
        <v>98316.88</v>
      </c>
      <c r="AY11" s="82">
        <f t="shared" si="9"/>
        <v>98976.72</v>
      </c>
      <c r="AZ11" s="82">
        <f t="shared" si="10"/>
        <v>102201.56</v>
      </c>
      <c r="BA11" s="83">
        <f t="shared" si="11"/>
        <v>98316.88</v>
      </c>
      <c r="BC11" s="81">
        <f t="shared" si="12"/>
        <v>388144.01</v>
      </c>
      <c r="BD11" s="82">
        <f t="shared" si="13"/>
        <v>395906.89</v>
      </c>
      <c r="BE11" s="83">
        <f t="shared" si="14"/>
        <v>397812.04000000004</v>
      </c>
    </row>
    <row r="12" spans="1:275" s="37" customFormat="1" x14ac:dyDescent="0.25">
      <c r="A12" s="5" t="s">
        <v>77</v>
      </c>
      <c r="B12" s="37" t="str" cm="1">
        <f t="array" ref="B12">_xlfn.IFS(LEFT(A12,1)="E","Expense",LEFT(A12,1)="R","Revenue")</f>
        <v>Expense</v>
      </c>
      <c r="C12" s="37" t="str">
        <f>VLOOKUP(MID(A12,2,2),$C$69:$D$79,2,FALSE)</f>
        <v>IT</v>
      </c>
      <c r="D12" s="37" t="str">
        <f>VLOOKUP(MID(A12,4,4),'Code Breakdown'!$I$2:$J$44,2,FALSE)</f>
        <v>Development</v>
      </c>
      <c r="E12" s="69">
        <v>989068.07</v>
      </c>
      <c r="F12" s="69">
        <v>1384695.3</v>
      </c>
      <c r="G12" s="69">
        <v>1153912.75</v>
      </c>
      <c r="H12" s="69">
        <v>989068.07</v>
      </c>
      <c r="I12" s="69">
        <v>1065150.23</v>
      </c>
      <c r="J12" s="69">
        <v>1258813.9099999999</v>
      </c>
      <c r="K12" s="69">
        <v>989068.07</v>
      </c>
      <c r="L12" s="69">
        <v>1153912.75</v>
      </c>
      <c r="M12" s="69">
        <v>1028723.02</v>
      </c>
      <c r="N12" s="69">
        <v>1384695.3</v>
      </c>
      <c r="O12" s="69">
        <v>1384695.3</v>
      </c>
      <c r="P12" s="72">
        <v>1065150.23</v>
      </c>
      <c r="Q12" s="69">
        <v>1309166.47</v>
      </c>
      <c r="R12" s="69">
        <v>1309166.47</v>
      </c>
      <c r="S12" s="69">
        <v>1440083.11</v>
      </c>
      <c r="T12" s="69">
        <v>1440083.11</v>
      </c>
      <c r="U12" s="69">
        <v>1028630.79</v>
      </c>
      <c r="V12" s="69">
        <v>1028630.79</v>
      </c>
      <c r="W12" s="69">
        <v>1200069.26</v>
      </c>
      <c r="X12" s="69">
        <v>1309166.47</v>
      </c>
      <c r="Y12" s="69">
        <v>782689.37</v>
      </c>
      <c r="Z12" s="69">
        <v>1309166.47</v>
      </c>
      <c r="AA12" s="69">
        <v>1440083.11</v>
      </c>
      <c r="AB12" s="72">
        <v>1107756.24</v>
      </c>
      <c r="AC12" s="69">
        <v>1309166.47</v>
      </c>
      <c r="AD12" s="69">
        <v>1028630.79</v>
      </c>
      <c r="AE12" s="69">
        <v>1200069.26</v>
      </c>
      <c r="AF12" s="69">
        <v>1028630.79</v>
      </c>
      <c r="AG12" s="69">
        <v>1028630.79</v>
      </c>
      <c r="AH12" s="69">
        <v>1440083.11</v>
      </c>
      <c r="AI12" s="69">
        <v>1309166.47</v>
      </c>
      <c r="AJ12" s="69">
        <v>1309166.47</v>
      </c>
      <c r="AK12" s="69">
        <v>1986863.92</v>
      </c>
      <c r="AL12" s="69">
        <v>1200069.26</v>
      </c>
      <c r="AM12" s="69">
        <v>1107756.24</v>
      </c>
      <c r="AN12" s="72">
        <v>1028630.79</v>
      </c>
      <c r="AO12" s="5"/>
      <c r="AP12" s="81">
        <f t="shared" si="0"/>
        <v>3527676.12</v>
      </c>
      <c r="AQ12" s="82">
        <f t="shared" si="1"/>
        <v>3313032.21</v>
      </c>
      <c r="AR12" s="82">
        <f t="shared" si="2"/>
        <v>3171703.84</v>
      </c>
      <c r="AS12" s="83">
        <f t="shared" si="3"/>
        <v>3834540.83</v>
      </c>
      <c r="AT12" s="81">
        <f t="shared" si="4"/>
        <v>4058416.05</v>
      </c>
      <c r="AU12" s="82">
        <f t="shared" si="5"/>
        <v>3497344.6900000004</v>
      </c>
      <c r="AV12" s="82">
        <f t="shared" si="6"/>
        <v>3291925.1</v>
      </c>
      <c r="AW12" s="83">
        <f t="shared" si="7"/>
        <v>3857005.8200000003</v>
      </c>
      <c r="AX12" s="81">
        <f t="shared" si="8"/>
        <v>3537866.5199999996</v>
      </c>
      <c r="AY12" s="82">
        <f t="shared" si="9"/>
        <v>3497344.6900000004</v>
      </c>
      <c r="AZ12" s="82">
        <f t="shared" si="10"/>
        <v>4605196.8599999994</v>
      </c>
      <c r="BA12" s="83">
        <f t="shared" si="11"/>
        <v>3336456.29</v>
      </c>
      <c r="BB12" s="5"/>
      <c r="BC12" s="81">
        <f t="shared" si="12"/>
        <v>13846953</v>
      </c>
      <c r="BD12" s="82">
        <f t="shared" si="13"/>
        <v>14704691.66</v>
      </c>
      <c r="BE12" s="83">
        <f t="shared" si="14"/>
        <v>14976864.359999999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</row>
    <row r="13" spans="1:275" s="37" customFormat="1" x14ac:dyDescent="0.25">
      <c r="A13" s="5" t="s">
        <v>88</v>
      </c>
      <c r="B13" s="37" t="str" cm="1">
        <f t="array" ref="B13">_xlfn.IFS(LEFT(A13,1)="E","Expense",LEFT(A13,1)="R","Revenue")</f>
        <v>Expense</v>
      </c>
      <c r="C13" s="37" t="str">
        <f>VLOOKUP(MID(A13,2,2),$C$69:$D$79,2,FALSE)</f>
        <v>One-off</v>
      </c>
      <c r="D13" s="37" t="str">
        <f>VLOOKUP(MID(A13,4,4),'Code Breakdown'!$I$2:$J$44,2,FALSE)</f>
        <v>Other one-off</v>
      </c>
      <c r="E13" s="69">
        <v>0</v>
      </c>
      <c r="F13" s="69">
        <v>0</v>
      </c>
      <c r="G13" s="69">
        <v>0</v>
      </c>
      <c r="H13" s="69">
        <v>522953.1</v>
      </c>
      <c r="I13" s="69">
        <v>0</v>
      </c>
      <c r="J13" s="69">
        <v>0</v>
      </c>
      <c r="K13" s="69">
        <v>1423594.55</v>
      </c>
      <c r="L13" s="69">
        <v>0</v>
      </c>
      <c r="M13" s="69">
        <v>0</v>
      </c>
      <c r="N13" s="69">
        <v>0</v>
      </c>
      <c r="O13" s="69">
        <v>0</v>
      </c>
      <c r="P13" s="72">
        <v>958747.35</v>
      </c>
      <c r="Q13" s="69">
        <v>0</v>
      </c>
      <c r="R13" s="69">
        <v>748113.46</v>
      </c>
      <c r="S13" s="69">
        <v>0</v>
      </c>
      <c r="T13" s="69">
        <v>0</v>
      </c>
      <c r="U13" s="69">
        <v>0</v>
      </c>
      <c r="V13" s="69">
        <v>0</v>
      </c>
      <c r="W13" s="69">
        <v>1107207.92</v>
      </c>
      <c r="X13" s="69">
        <v>0</v>
      </c>
      <c r="Y13" s="69">
        <v>1137132.46</v>
      </c>
      <c r="Z13" s="69">
        <v>0</v>
      </c>
      <c r="AA13" s="69">
        <v>0</v>
      </c>
      <c r="AB13" s="72">
        <v>0</v>
      </c>
      <c r="AC13" s="69">
        <v>0</v>
      </c>
      <c r="AD13" s="69">
        <v>770556.87</v>
      </c>
      <c r="AE13" s="69">
        <v>0</v>
      </c>
      <c r="AF13" s="69">
        <v>0</v>
      </c>
      <c r="AG13" s="69">
        <v>0</v>
      </c>
      <c r="AH13" s="69">
        <v>0</v>
      </c>
      <c r="AI13" s="69">
        <v>1140424.1599999999</v>
      </c>
      <c r="AJ13" s="69">
        <v>0</v>
      </c>
      <c r="AK13" s="69">
        <v>1171246.44</v>
      </c>
      <c r="AL13" s="69">
        <v>0</v>
      </c>
      <c r="AM13" s="69">
        <v>0</v>
      </c>
      <c r="AN13" s="72">
        <v>0</v>
      </c>
      <c r="AO13" s="5"/>
      <c r="AP13" s="81">
        <f t="shared" si="0"/>
        <v>0</v>
      </c>
      <c r="AQ13" s="82">
        <f t="shared" si="1"/>
        <v>522953.1</v>
      </c>
      <c r="AR13" s="82">
        <f t="shared" si="2"/>
        <v>1423594.55</v>
      </c>
      <c r="AS13" s="83">
        <f t="shared" si="3"/>
        <v>958747.35</v>
      </c>
      <c r="AT13" s="81">
        <f t="shared" si="4"/>
        <v>748113.46</v>
      </c>
      <c r="AU13" s="82">
        <f t="shared" si="5"/>
        <v>0</v>
      </c>
      <c r="AV13" s="82">
        <f t="shared" si="6"/>
        <v>2244340.38</v>
      </c>
      <c r="AW13" s="83">
        <f t="shared" si="7"/>
        <v>0</v>
      </c>
      <c r="AX13" s="81">
        <f t="shared" si="8"/>
        <v>770556.87</v>
      </c>
      <c r="AY13" s="82">
        <f t="shared" si="9"/>
        <v>0</v>
      </c>
      <c r="AZ13" s="82">
        <f t="shared" si="10"/>
        <v>2311670.5999999996</v>
      </c>
      <c r="BA13" s="83">
        <f t="shared" si="11"/>
        <v>0</v>
      </c>
      <c r="BB13" s="5"/>
      <c r="BC13" s="81">
        <f t="shared" si="12"/>
        <v>2905295</v>
      </c>
      <c r="BD13" s="82">
        <f t="shared" si="13"/>
        <v>2992453.84</v>
      </c>
      <c r="BE13" s="83">
        <f t="shared" si="14"/>
        <v>3082227.4699999997</v>
      </c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</row>
    <row r="14" spans="1:275" s="37" customFormat="1" x14ac:dyDescent="0.25">
      <c r="A14" s="44" t="s">
        <v>156</v>
      </c>
      <c r="B14" s="37" t="str" cm="1">
        <f t="array" ref="B14">_xlfn.IFS(LEFT(A14,1)="E","Expense",LEFT(A14,1)="R","Revenue")</f>
        <v>Revenue</v>
      </c>
      <c r="C14" s="37" t="str">
        <f>VLOOKUP(MID(A14,2,2),$C$69:$D$79,2,FALSE)</f>
        <v>Core - Media</v>
      </c>
      <c r="D14" s="37" t="str">
        <f>VLOOKUP(MID(A14,4,4),'Code Breakdown'!$I$2:$J$44,2,FALSE)</f>
        <v>New clients</v>
      </c>
      <c r="E14" s="69">
        <v>1634489.4</v>
      </c>
      <c r="F14" s="69">
        <v>1906904.3</v>
      </c>
      <c r="G14" s="69">
        <v>1307591.52</v>
      </c>
      <c r="H14" s="69">
        <v>1716213.87</v>
      </c>
      <c r="I14" s="69">
        <v>1620868.66</v>
      </c>
      <c r="J14" s="69">
        <v>1225867.05</v>
      </c>
      <c r="K14" s="69">
        <v>1945042.39</v>
      </c>
      <c r="L14" s="69">
        <v>1811559.09</v>
      </c>
      <c r="M14" s="69">
        <v>1792737.69</v>
      </c>
      <c r="N14" s="69">
        <v>1634489.4</v>
      </c>
      <c r="O14" s="69">
        <v>1560194.43</v>
      </c>
      <c r="P14" s="72">
        <v>1872233.31</v>
      </c>
      <c r="Q14" s="69">
        <v>1669408.04</v>
      </c>
      <c r="R14" s="69">
        <v>1734329.46</v>
      </c>
      <c r="S14" s="69">
        <v>2225877.38</v>
      </c>
      <c r="T14" s="69">
        <v>1600919.5</v>
      </c>
      <c r="U14" s="69">
        <v>1836348.84</v>
      </c>
      <c r="V14" s="69">
        <v>1883434.71</v>
      </c>
      <c r="W14" s="69">
        <v>1486568.11</v>
      </c>
      <c r="X14" s="69">
        <v>2203618.61</v>
      </c>
      <c r="Y14" s="69">
        <v>1721589.78</v>
      </c>
      <c r="Z14" s="69">
        <v>1486568.11</v>
      </c>
      <c r="AA14" s="69">
        <v>1789262.97</v>
      </c>
      <c r="AB14" s="72">
        <v>1669408.04</v>
      </c>
      <c r="AC14" s="69">
        <v>1836348.84</v>
      </c>
      <c r="AD14" s="69">
        <v>1958772.1</v>
      </c>
      <c r="AE14" s="69">
        <v>1486568.11</v>
      </c>
      <c r="AF14" s="69">
        <v>2326041.87</v>
      </c>
      <c r="AG14" s="69">
        <v>2225877.38</v>
      </c>
      <c r="AH14" s="69">
        <v>2326041.87</v>
      </c>
      <c r="AI14" s="69">
        <v>1399122.93</v>
      </c>
      <c r="AJ14" s="69">
        <v>2081195.35</v>
      </c>
      <c r="AK14" s="69">
        <v>2041076.56</v>
      </c>
      <c r="AL14" s="69">
        <v>2114583.5099999998</v>
      </c>
      <c r="AM14" s="69">
        <v>1734329.46</v>
      </c>
      <c r="AN14" s="72">
        <v>2225877.38</v>
      </c>
      <c r="AO14" s="5"/>
      <c r="AP14" s="81">
        <f t="shared" si="0"/>
        <v>4848985.2200000007</v>
      </c>
      <c r="AQ14" s="82">
        <f t="shared" si="1"/>
        <v>4562949.58</v>
      </c>
      <c r="AR14" s="82">
        <f t="shared" si="2"/>
        <v>5549339.1699999999</v>
      </c>
      <c r="AS14" s="83">
        <f t="shared" si="3"/>
        <v>5066917.1400000006</v>
      </c>
      <c r="AT14" s="81">
        <f t="shared" si="4"/>
        <v>5629614.8799999999</v>
      </c>
      <c r="AU14" s="82">
        <f t="shared" si="5"/>
        <v>5320703.05</v>
      </c>
      <c r="AV14" s="82">
        <f t="shared" si="6"/>
        <v>5411776.5</v>
      </c>
      <c r="AW14" s="83">
        <f t="shared" si="7"/>
        <v>4945239.12</v>
      </c>
      <c r="AX14" s="81">
        <f t="shared" si="8"/>
        <v>5281689.0500000007</v>
      </c>
      <c r="AY14" s="82">
        <f t="shared" si="9"/>
        <v>6877961.1200000001</v>
      </c>
      <c r="AZ14" s="82">
        <f t="shared" si="10"/>
        <v>5521394.8399999999</v>
      </c>
      <c r="BA14" s="83">
        <f t="shared" si="11"/>
        <v>6074790.3499999996</v>
      </c>
      <c r="BB14" s="5"/>
      <c r="BC14" s="81">
        <f t="shared" si="12"/>
        <v>20028191.109999999</v>
      </c>
      <c r="BD14" s="82">
        <f t="shared" si="13"/>
        <v>21307333.550000001</v>
      </c>
      <c r="BE14" s="83">
        <f t="shared" si="14"/>
        <v>23755835.359999999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</row>
    <row r="15" spans="1:275" s="37" customFormat="1" x14ac:dyDescent="0.25">
      <c r="A15" s="5" t="s">
        <v>93</v>
      </c>
      <c r="B15" s="37" t="str" cm="1">
        <f t="array" ref="B15">_xlfn.IFS(LEFT(A15,1)="E","Expense",LEFT(A15,1)="R","Revenue")</f>
        <v>Expense</v>
      </c>
      <c r="C15" s="37" t="str">
        <f>VLOOKUP(MID(A15,2,2),$C$69:$D$79,2,FALSE)</f>
        <v>Other</v>
      </c>
      <c r="D15" s="37" t="str">
        <f>VLOOKUP(MID(A15,4,4),'Code Breakdown'!$I$2:$J$44,2,FALSE)</f>
        <v>Administration</v>
      </c>
      <c r="E15" s="69">
        <v>140782.46</v>
      </c>
      <c r="F15" s="69">
        <v>152514.32999999999</v>
      </c>
      <c r="G15" s="69">
        <v>152514.32999999999</v>
      </c>
      <c r="H15" s="69">
        <v>166379.26999999999</v>
      </c>
      <c r="I15" s="69">
        <v>130726.57</v>
      </c>
      <c r="J15" s="69">
        <v>166379.26999999999</v>
      </c>
      <c r="K15" s="69">
        <v>183017.2</v>
      </c>
      <c r="L15" s="69">
        <v>140782.46</v>
      </c>
      <c r="M15" s="69">
        <v>194840.49</v>
      </c>
      <c r="N15" s="69">
        <v>130726.57</v>
      </c>
      <c r="O15" s="69">
        <v>130726.57</v>
      </c>
      <c r="P15" s="72">
        <v>140782.46</v>
      </c>
      <c r="Q15" s="69">
        <v>158614.91</v>
      </c>
      <c r="R15" s="69">
        <v>173034.44</v>
      </c>
      <c r="S15" s="69">
        <v>158614.91</v>
      </c>
      <c r="T15" s="69">
        <v>190337.89</v>
      </c>
      <c r="U15" s="69">
        <v>135955.63</v>
      </c>
      <c r="V15" s="69">
        <v>158614.91</v>
      </c>
      <c r="W15" s="69">
        <v>190337.89</v>
      </c>
      <c r="X15" s="69">
        <v>190337.89</v>
      </c>
      <c r="Y15" s="69">
        <v>130468</v>
      </c>
      <c r="Z15" s="69">
        <v>190337.89</v>
      </c>
      <c r="AA15" s="69">
        <v>173034.44</v>
      </c>
      <c r="AB15" s="72">
        <v>146413.76000000001</v>
      </c>
      <c r="AC15" s="69">
        <v>190337.89</v>
      </c>
      <c r="AD15" s="69">
        <v>190337.89</v>
      </c>
      <c r="AE15" s="69">
        <v>146413.76000000001</v>
      </c>
      <c r="AF15" s="69">
        <v>146413.76000000001</v>
      </c>
      <c r="AG15" s="69">
        <v>146413.76000000001</v>
      </c>
      <c r="AH15" s="69">
        <v>158614.91</v>
      </c>
      <c r="AI15" s="69">
        <v>173034.44</v>
      </c>
      <c r="AJ15" s="69">
        <v>190337.89</v>
      </c>
      <c r="AK15" s="69">
        <v>126834.88</v>
      </c>
      <c r="AL15" s="69">
        <v>135955.63</v>
      </c>
      <c r="AM15" s="69">
        <v>146413.76000000001</v>
      </c>
      <c r="AN15" s="72">
        <v>190337.89</v>
      </c>
      <c r="AO15" s="5"/>
      <c r="AP15" s="81">
        <f t="shared" si="0"/>
        <v>445811.12</v>
      </c>
      <c r="AQ15" s="82">
        <f t="shared" si="1"/>
        <v>463485.11</v>
      </c>
      <c r="AR15" s="82">
        <f t="shared" si="2"/>
        <v>518640.15</v>
      </c>
      <c r="AS15" s="83">
        <f t="shared" si="3"/>
        <v>402235.6</v>
      </c>
      <c r="AT15" s="81">
        <f t="shared" si="4"/>
        <v>490264.26</v>
      </c>
      <c r="AU15" s="82">
        <f t="shared" si="5"/>
        <v>484908.43000000005</v>
      </c>
      <c r="AV15" s="82">
        <f t="shared" si="6"/>
        <v>511143.78</v>
      </c>
      <c r="AW15" s="83">
        <f t="shared" si="7"/>
        <v>509786.09</v>
      </c>
      <c r="AX15" s="81">
        <f t="shared" si="8"/>
        <v>527089.54</v>
      </c>
      <c r="AY15" s="82">
        <f t="shared" si="9"/>
        <v>451442.43000000005</v>
      </c>
      <c r="AZ15" s="82">
        <f t="shared" si="10"/>
        <v>490207.21</v>
      </c>
      <c r="BA15" s="83">
        <f t="shared" si="11"/>
        <v>472707.28</v>
      </c>
      <c r="BB15" s="5"/>
      <c r="BC15" s="81">
        <f t="shared" si="12"/>
        <v>1830171.98</v>
      </c>
      <c r="BD15" s="82">
        <f t="shared" si="13"/>
        <v>1996102.5600000003</v>
      </c>
      <c r="BE15" s="83">
        <f t="shared" si="14"/>
        <v>1941446.4600000002</v>
      </c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</row>
    <row r="16" spans="1:275" s="37" customFormat="1" x14ac:dyDescent="0.25">
      <c r="A16" s="37" t="s">
        <v>67</v>
      </c>
      <c r="B16" s="37" t="str" cm="1">
        <f t="array" ref="B16">_xlfn.IFS(LEFT(A16,1)="E","Expense",LEFT(A16,1)="R","Revenue")</f>
        <v>Expense</v>
      </c>
      <c r="C16" s="37" t="str">
        <f>VLOOKUP(MID(A16,2,2),$C$69:$D$79,2,FALSE)</f>
        <v>Staff</v>
      </c>
      <c r="D16" s="37" t="str">
        <f>VLOOKUP(MID(A16,4,4),'Code Breakdown'!$I$2:$J$44,2,FALSE)</f>
        <v>Offshore - fringe</v>
      </c>
      <c r="E16" s="69">
        <v>93938.4</v>
      </c>
      <c r="F16" s="69">
        <v>102478.25</v>
      </c>
      <c r="G16" s="69">
        <v>86712.37</v>
      </c>
      <c r="H16" s="69">
        <v>86712.37</v>
      </c>
      <c r="I16" s="69">
        <v>93938.4</v>
      </c>
      <c r="J16" s="69">
        <v>102478.25</v>
      </c>
      <c r="K16" s="69">
        <v>86712.37</v>
      </c>
      <c r="L16" s="69">
        <v>93938.4</v>
      </c>
      <c r="M16" s="69">
        <v>91708.05</v>
      </c>
      <c r="N16" s="69">
        <v>86712.37</v>
      </c>
      <c r="O16" s="69">
        <v>93938.4</v>
      </c>
      <c r="P16" s="72">
        <v>86712.37</v>
      </c>
      <c r="Q16" s="69">
        <v>90180.86</v>
      </c>
      <c r="R16" s="69">
        <v>97695.93</v>
      </c>
      <c r="S16" s="69">
        <v>106577.38</v>
      </c>
      <c r="T16" s="69">
        <v>90180.86</v>
      </c>
      <c r="U16" s="69">
        <v>106577.38</v>
      </c>
      <c r="V16" s="69">
        <v>90180.86</v>
      </c>
      <c r="W16" s="69">
        <v>90180.86</v>
      </c>
      <c r="X16" s="69">
        <v>90180.86</v>
      </c>
      <c r="Y16" s="69">
        <v>107260.57</v>
      </c>
      <c r="Z16" s="69">
        <v>106577.38</v>
      </c>
      <c r="AA16" s="69">
        <v>106577.38</v>
      </c>
      <c r="AB16" s="72">
        <v>90180.86</v>
      </c>
      <c r="AC16" s="69">
        <v>106577.38</v>
      </c>
      <c r="AD16" s="69">
        <v>106577.38</v>
      </c>
      <c r="AE16" s="69">
        <v>106577.38</v>
      </c>
      <c r="AF16" s="69">
        <v>90180.86</v>
      </c>
      <c r="AG16" s="69">
        <v>90180.86</v>
      </c>
      <c r="AH16" s="69">
        <v>97695.93</v>
      </c>
      <c r="AI16" s="69">
        <v>97695.93</v>
      </c>
      <c r="AJ16" s="69">
        <v>106577.38</v>
      </c>
      <c r="AK16" s="69">
        <v>115212.88</v>
      </c>
      <c r="AL16" s="69">
        <v>106577.38</v>
      </c>
      <c r="AM16" s="69">
        <v>97695.93</v>
      </c>
      <c r="AN16" s="72">
        <v>97695.93</v>
      </c>
      <c r="AO16" s="5"/>
      <c r="AP16" s="81">
        <f t="shared" si="0"/>
        <v>283129.02</v>
      </c>
      <c r="AQ16" s="82">
        <f t="shared" si="1"/>
        <v>283129.02</v>
      </c>
      <c r="AR16" s="82">
        <f t="shared" si="2"/>
        <v>272358.82</v>
      </c>
      <c r="AS16" s="83">
        <f t="shared" si="3"/>
        <v>267363.14</v>
      </c>
      <c r="AT16" s="81">
        <f t="shared" si="4"/>
        <v>294454.17</v>
      </c>
      <c r="AU16" s="82">
        <f t="shared" si="5"/>
        <v>286939.09999999998</v>
      </c>
      <c r="AV16" s="82">
        <f t="shared" si="6"/>
        <v>287622.29000000004</v>
      </c>
      <c r="AW16" s="83">
        <f t="shared" si="7"/>
        <v>303335.62</v>
      </c>
      <c r="AX16" s="81">
        <f t="shared" si="8"/>
        <v>319732.14</v>
      </c>
      <c r="AY16" s="82">
        <f t="shared" si="9"/>
        <v>278057.65000000002</v>
      </c>
      <c r="AZ16" s="82">
        <f t="shared" si="10"/>
        <v>319486.19</v>
      </c>
      <c r="BA16" s="83">
        <f t="shared" si="11"/>
        <v>301969.24</v>
      </c>
      <c r="BB16" s="5"/>
      <c r="BC16" s="81">
        <f t="shared" si="12"/>
        <v>1105980</v>
      </c>
      <c r="BD16" s="82">
        <f t="shared" si="13"/>
        <v>1172351.1800000002</v>
      </c>
      <c r="BE16" s="83">
        <f t="shared" si="14"/>
        <v>1219245.22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</row>
    <row r="17" spans="1:275" s="37" customFormat="1" x14ac:dyDescent="0.25">
      <c r="A17" s="37" t="s">
        <v>72</v>
      </c>
      <c r="B17" s="37" t="str" cm="1">
        <f t="array" ref="B17">_xlfn.IFS(LEFT(A17,1)="E","Expense",LEFT(A17,1)="R","Revenue")</f>
        <v>Expense</v>
      </c>
      <c r="C17" s="37" t="str">
        <f>VLOOKUP(MID(A17,2,2),$C$69:$D$79,2,FALSE)</f>
        <v>Facilities</v>
      </c>
      <c r="D17" s="37" t="str">
        <f>VLOOKUP(MID(A17,4,4),'Code Breakdown'!$I$2:$J$44,2,FALSE)</f>
        <v>Electricity</v>
      </c>
      <c r="E17" s="69">
        <v>236638.22</v>
      </c>
      <c r="F17" s="69">
        <v>234247.93</v>
      </c>
      <c r="G17" s="69">
        <v>243809.07</v>
      </c>
      <c r="H17" s="69">
        <v>236638.22</v>
      </c>
      <c r="I17" s="69">
        <v>243809.07</v>
      </c>
      <c r="J17" s="69">
        <v>234247.93</v>
      </c>
      <c r="K17" s="69">
        <v>241418.79</v>
      </c>
      <c r="L17" s="69">
        <v>234247.93</v>
      </c>
      <c r="M17" s="69">
        <v>236638.22</v>
      </c>
      <c r="N17" s="69">
        <v>241418.79</v>
      </c>
      <c r="O17" s="69">
        <v>241418.79</v>
      </c>
      <c r="P17" s="72">
        <v>243809.07</v>
      </c>
      <c r="Q17" s="69">
        <v>243737.36</v>
      </c>
      <c r="R17" s="69">
        <v>248661.35</v>
      </c>
      <c r="S17" s="69">
        <v>251123.34</v>
      </c>
      <c r="T17" s="69">
        <v>243737.36</v>
      </c>
      <c r="U17" s="69">
        <v>246199.36</v>
      </c>
      <c r="V17" s="69">
        <v>243737.36</v>
      </c>
      <c r="W17" s="69">
        <v>241275.37</v>
      </c>
      <c r="X17" s="69">
        <v>246199.36</v>
      </c>
      <c r="Y17" s="69">
        <v>263433.31</v>
      </c>
      <c r="Z17" s="69">
        <v>241275.37</v>
      </c>
      <c r="AA17" s="69">
        <v>241275.37</v>
      </c>
      <c r="AB17" s="72">
        <v>243737.36</v>
      </c>
      <c r="AC17" s="69">
        <v>251123.34</v>
      </c>
      <c r="AD17" s="69">
        <v>243737.36</v>
      </c>
      <c r="AE17" s="69">
        <v>246199.36</v>
      </c>
      <c r="AF17" s="69">
        <v>248661.35</v>
      </c>
      <c r="AG17" s="69">
        <v>241275.37</v>
      </c>
      <c r="AH17" s="69">
        <v>251123.34</v>
      </c>
      <c r="AI17" s="69">
        <v>248661.35</v>
      </c>
      <c r="AJ17" s="69">
        <v>243737.36</v>
      </c>
      <c r="AK17" s="69">
        <v>247944</v>
      </c>
      <c r="AL17" s="69">
        <v>251123.34</v>
      </c>
      <c r="AM17" s="69">
        <v>248661.35</v>
      </c>
      <c r="AN17" s="72">
        <v>241275.37</v>
      </c>
      <c r="AO17" s="5"/>
      <c r="AP17" s="81">
        <f t="shared" si="0"/>
        <v>714695.22</v>
      </c>
      <c r="AQ17" s="82">
        <f t="shared" si="1"/>
        <v>714695.22</v>
      </c>
      <c r="AR17" s="82">
        <f t="shared" si="2"/>
        <v>712304.94</v>
      </c>
      <c r="AS17" s="83">
        <f t="shared" si="3"/>
        <v>726646.65</v>
      </c>
      <c r="AT17" s="81">
        <f t="shared" si="4"/>
        <v>743522.04999999993</v>
      </c>
      <c r="AU17" s="82">
        <f t="shared" si="5"/>
        <v>733674.08</v>
      </c>
      <c r="AV17" s="82">
        <f t="shared" si="6"/>
        <v>750908.04</v>
      </c>
      <c r="AW17" s="83">
        <f t="shared" si="7"/>
        <v>726288.1</v>
      </c>
      <c r="AX17" s="81">
        <f t="shared" si="8"/>
        <v>741060.05999999994</v>
      </c>
      <c r="AY17" s="82">
        <f t="shared" si="9"/>
        <v>741060.05999999994</v>
      </c>
      <c r="AZ17" s="82">
        <f t="shared" si="10"/>
        <v>740342.71</v>
      </c>
      <c r="BA17" s="83">
        <f t="shared" si="11"/>
        <v>741060.06</v>
      </c>
      <c r="BB17" s="5"/>
      <c r="BC17" s="81">
        <f t="shared" si="12"/>
        <v>2868342.03</v>
      </c>
      <c r="BD17" s="82">
        <f t="shared" si="13"/>
        <v>2954392.27</v>
      </c>
      <c r="BE17" s="83">
        <f t="shared" si="14"/>
        <v>2963522.89</v>
      </c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</row>
    <row r="18" spans="1:275" s="37" customFormat="1" x14ac:dyDescent="0.25">
      <c r="A18" s="37" t="s">
        <v>75</v>
      </c>
      <c r="B18" s="37" t="str" cm="1">
        <f t="array" ref="B18">_xlfn.IFS(LEFT(A18,1)="E","Expense",LEFT(A18,1)="R","Revenue")</f>
        <v>Expense</v>
      </c>
      <c r="C18" s="37" t="str">
        <f>VLOOKUP(MID(A18,2,2),$C$69:$D$79,2,FALSE)</f>
        <v>Facilities</v>
      </c>
      <c r="D18" s="37" t="str">
        <f>VLOOKUP(MID(A18,4,4),'Code Breakdown'!$I$2:$J$44,2,FALSE)</f>
        <v>Security</v>
      </c>
      <c r="E18" s="69">
        <v>116099.12</v>
      </c>
      <c r="F18" s="69">
        <v>114960.89</v>
      </c>
      <c r="G18" s="69">
        <v>112684.44</v>
      </c>
      <c r="H18" s="69">
        <v>111546.21</v>
      </c>
      <c r="I18" s="69">
        <v>112684.44</v>
      </c>
      <c r="J18" s="69">
        <v>112684.44</v>
      </c>
      <c r="K18" s="69">
        <v>116099.12</v>
      </c>
      <c r="L18" s="69">
        <v>116099.12</v>
      </c>
      <c r="M18" s="69">
        <v>112684.44</v>
      </c>
      <c r="N18" s="69">
        <v>114960.89</v>
      </c>
      <c r="O18" s="69">
        <v>113822.67</v>
      </c>
      <c r="P18" s="72">
        <v>111546.21</v>
      </c>
      <c r="Q18" s="69">
        <v>120743.08</v>
      </c>
      <c r="R18" s="69">
        <v>119559.33</v>
      </c>
      <c r="S18" s="69">
        <v>117191.82</v>
      </c>
      <c r="T18" s="69">
        <v>119559.33</v>
      </c>
      <c r="U18" s="69">
        <v>116008.06</v>
      </c>
      <c r="V18" s="69">
        <v>117191.82</v>
      </c>
      <c r="W18" s="69">
        <v>117191.82</v>
      </c>
      <c r="X18" s="69">
        <v>119559.33</v>
      </c>
      <c r="Y18" s="69">
        <v>120743.08</v>
      </c>
      <c r="Z18" s="69">
        <v>118375.57</v>
      </c>
      <c r="AA18" s="69">
        <v>117191.82</v>
      </c>
      <c r="AB18" s="72">
        <v>117191.82</v>
      </c>
      <c r="AC18" s="69">
        <v>119559.33</v>
      </c>
      <c r="AD18" s="69">
        <v>118375.57</v>
      </c>
      <c r="AE18" s="69">
        <v>118375.57</v>
      </c>
      <c r="AF18" s="69">
        <v>116008.06</v>
      </c>
      <c r="AG18" s="69">
        <v>116008.06</v>
      </c>
      <c r="AH18" s="69">
        <v>117191.82</v>
      </c>
      <c r="AI18" s="69">
        <v>119559.33</v>
      </c>
      <c r="AJ18" s="69">
        <v>118375.57</v>
      </c>
      <c r="AK18" s="69">
        <v>127618</v>
      </c>
      <c r="AL18" s="69">
        <v>118375.57</v>
      </c>
      <c r="AM18" s="69">
        <v>120743.08</v>
      </c>
      <c r="AN18" s="72">
        <v>118375.57</v>
      </c>
      <c r="AO18" s="5"/>
      <c r="AP18" s="81">
        <f t="shared" si="0"/>
        <v>343744.45</v>
      </c>
      <c r="AQ18" s="82">
        <f t="shared" si="1"/>
        <v>336915.09</v>
      </c>
      <c r="AR18" s="82">
        <f t="shared" si="2"/>
        <v>344882.68</v>
      </c>
      <c r="AS18" s="83">
        <f t="shared" si="3"/>
        <v>340329.77</v>
      </c>
      <c r="AT18" s="81">
        <f t="shared" si="4"/>
        <v>357494.23</v>
      </c>
      <c r="AU18" s="82">
        <f t="shared" si="5"/>
        <v>352759.21</v>
      </c>
      <c r="AV18" s="82">
        <f t="shared" si="6"/>
        <v>357494.23000000004</v>
      </c>
      <c r="AW18" s="83">
        <f t="shared" si="7"/>
        <v>352759.21</v>
      </c>
      <c r="AX18" s="81">
        <f t="shared" si="8"/>
        <v>356310.47000000003</v>
      </c>
      <c r="AY18" s="82">
        <f t="shared" si="9"/>
        <v>349207.94</v>
      </c>
      <c r="AZ18" s="82">
        <f t="shared" si="10"/>
        <v>365552.9</v>
      </c>
      <c r="BA18" s="83">
        <f t="shared" si="11"/>
        <v>357494.22000000003</v>
      </c>
      <c r="BB18" s="5"/>
      <c r="BC18" s="81">
        <f t="shared" si="12"/>
        <v>1365871.99</v>
      </c>
      <c r="BD18" s="82">
        <f t="shared" si="13"/>
        <v>1420506.88</v>
      </c>
      <c r="BE18" s="83">
        <f t="shared" si="14"/>
        <v>1428565.53</v>
      </c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</row>
    <row r="19" spans="1:275" s="37" customFormat="1" x14ac:dyDescent="0.25">
      <c r="A19" s="5" t="s">
        <v>87</v>
      </c>
      <c r="B19" s="37" t="str" cm="1">
        <f t="array" ref="B19">_xlfn.IFS(LEFT(A19,1)="E","Expense",LEFT(A19,1)="R","Revenue")</f>
        <v>Expense</v>
      </c>
      <c r="C19" s="37" t="str">
        <f>VLOOKUP(MID(A19,2,2),$C$69:$D$79,2,FALSE)</f>
        <v>One-off</v>
      </c>
      <c r="D19" s="37" t="str">
        <f>VLOOKUP(MID(A19,4,4),'Code Breakdown'!$I$2:$J$44,2,FALSE)</f>
        <v>Restructuring</v>
      </c>
      <c r="E19" s="69">
        <v>258618.4</v>
      </c>
      <c r="F19" s="69">
        <v>184727.43</v>
      </c>
      <c r="G19" s="69">
        <v>184727.43</v>
      </c>
      <c r="H19" s="69">
        <v>198937.23</v>
      </c>
      <c r="I19" s="69">
        <v>198937.23</v>
      </c>
      <c r="J19" s="69">
        <v>198937.23</v>
      </c>
      <c r="K19" s="69">
        <v>198937.23</v>
      </c>
      <c r="L19" s="69">
        <v>235107.64</v>
      </c>
      <c r="M19" s="69">
        <v>198420.51</v>
      </c>
      <c r="N19" s="69">
        <v>235107.64</v>
      </c>
      <c r="O19" s="69">
        <v>235107.64</v>
      </c>
      <c r="P19" s="72">
        <v>258618.4</v>
      </c>
      <c r="Q19" s="69">
        <v>266376.95</v>
      </c>
      <c r="R19" s="69">
        <v>221980.79</v>
      </c>
      <c r="S19" s="69">
        <v>266376.95</v>
      </c>
      <c r="T19" s="69">
        <v>266376.95</v>
      </c>
      <c r="U19" s="69">
        <v>190269.25</v>
      </c>
      <c r="V19" s="69">
        <v>204905.35</v>
      </c>
      <c r="W19" s="69">
        <v>266376.95</v>
      </c>
      <c r="X19" s="69">
        <v>204905.35</v>
      </c>
      <c r="Y19" s="69">
        <v>138865.51</v>
      </c>
      <c r="Z19" s="69">
        <v>190269.25</v>
      </c>
      <c r="AA19" s="69">
        <v>242160.87</v>
      </c>
      <c r="AB19" s="72">
        <v>204905.35</v>
      </c>
      <c r="AC19" s="69">
        <v>242160.87</v>
      </c>
      <c r="AD19" s="69">
        <v>266376.95</v>
      </c>
      <c r="AE19" s="69">
        <v>221980.79</v>
      </c>
      <c r="AF19" s="69">
        <v>190269.25</v>
      </c>
      <c r="AG19" s="69">
        <v>242160.87</v>
      </c>
      <c r="AH19" s="69">
        <v>221980.79</v>
      </c>
      <c r="AI19" s="69">
        <v>190269.25</v>
      </c>
      <c r="AJ19" s="69">
        <v>221980.79</v>
      </c>
      <c r="AK19" s="69">
        <v>253239.95</v>
      </c>
      <c r="AL19" s="69">
        <v>204905.35</v>
      </c>
      <c r="AM19" s="69">
        <v>221980.79</v>
      </c>
      <c r="AN19" s="72">
        <v>266376.95</v>
      </c>
      <c r="AO19" s="5"/>
      <c r="AP19" s="81">
        <f t="shared" si="0"/>
        <v>628073.26</v>
      </c>
      <c r="AQ19" s="82">
        <f t="shared" si="1"/>
        <v>596811.69000000006</v>
      </c>
      <c r="AR19" s="82">
        <f t="shared" si="2"/>
        <v>632465.38</v>
      </c>
      <c r="AS19" s="83">
        <f t="shared" si="3"/>
        <v>728833.68</v>
      </c>
      <c r="AT19" s="81">
        <f t="shared" si="4"/>
        <v>754734.69</v>
      </c>
      <c r="AU19" s="82">
        <f t="shared" si="5"/>
        <v>661551.55000000005</v>
      </c>
      <c r="AV19" s="82">
        <f t="shared" si="6"/>
        <v>610147.81000000006</v>
      </c>
      <c r="AW19" s="83">
        <f t="shared" si="7"/>
        <v>637335.47</v>
      </c>
      <c r="AX19" s="81">
        <f t="shared" si="8"/>
        <v>730518.61</v>
      </c>
      <c r="AY19" s="82">
        <f t="shared" si="9"/>
        <v>654410.91</v>
      </c>
      <c r="AZ19" s="82">
        <f t="shared" si="10"/>
        <v>665489.99</v>
      </c>
      <c r="BA19" s="83">
        <f t="shared" si="11"/>
        <v>693263.09000000008</v>
      </c>
      <c r="BB19" s="5"/>
      <c r="BC19" s="81">
        <f t="shared" si="12"/>
        <v>2586184.0100000002</v>
      </c>
      <c r="BD19" s="82">
        <f t="shared" si="13"/>
        <v>2663769.52</v>
      </c>
      <c r="BE19" s="83">
        <f t="shared" si="14"/>
        <v>2743682.6</v>
      </c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</row>
    <row r="20" spans="1:275" s="37" customFormat="1" x14ac:dyDescent="0.25">
      <c r="A20" s="44" t="s">
        <v>193</v>
      </c>
      <c r="B20" s="37" t="str" cm="1">
        <f t="array" ref="B20">_xlfn.IFS(LEFT(A20,1)="E","Expense",LEFT(A20,1)="R","Revenue")</f>
        <v>Revenue</v>
      </c>
      <c r="C20" s="37" t="str">
        <f>VLOOKUP(MID(A20,2,2),$C$69:$D$79,2,FALSE)</f>
        <v>Core - Publications</v>
      </c>
      <c r="D20" s="37" t="str">
        <f>VLOOKUP(MID(A20,4,4),'Code Breakdown'!$I$2:$J$44,2,FALSE)</f>
        <v>Subscription</v>
      </c>
      <c r="E20" s="69">
        <v>2401710.4700000002</v>
      </c>
      <c r="F20" s="69">
        <v>2015421.37</v>
      </c>
      <c r="G20" s="69">
        <v>1902653.75</v>
      </c>
      <c r="H20" s="69">
        <v>2540652.39</v>
      </c>
      <c r="I20" s="69">
        <v>2663715.2400000002</v>
      </c>
      <c r="J20" s="69">
        <v>2015421.37</v>
      </c>
      <c r="K20" s="69">
        <v>2183373.15</v>
      </c>
      <c r="L20" s="69">
        <v>2540652.39</v>
      </c>
      <c r="M20" s="69">
        <v>2540390.65</v>
      </c>
      <c r="N20" s="69">
        <v>2365320.91</v>
      </c>
      <c r="O20" s="69">
        <v>2474489.5699999998</v>
      </c>
      <c r="P20" s="72">
        <v>2292541.81</v>
      </c>
      <c r="Q20" s="69">
        <v>2257271.94</v>
      </c>
      <c r="R20" s="69">
        <v>2222002.06</v>
      </c>
      <c r="S20" s="69">
        <v>2500954.7000000002</v>
      </c>
      <c r="T20" s="69">
        <v>2292541.81</v>
      </c>
      <c r="U20" s="69">
        <v>2433621.31</v>
      </c>
      <c r="V20" s="69">
        <v>2980304.35</v>
      </c>
      <c r="W20" s="69">
        <v>2368959.87</v>
      </c>
      <c r="X20" s="69">
        <v>2096038.23</v>
      </c>
      <c r="Y20" s="69">
        <v>2856378.84</v>
      </c>
      <c r="Z20" s="69">
        <v>2500954.7000000002</v>
      </c>
      <c r="AA20" s="69">
        <v>2063287.63</v>
      </c>
      <c r="AB20" s="72">
        <v>2876097.9</v>
      </c>
      <c r="AC20" s="69">
        <v>3117856.86</v>
      </c>
      <c r="AD20" s="69">
        <v>3117856.86</v>
      </c>
      <c r="AE20" s="69">
        <v>2257271.94</v>
      </c>
      <c r="AF20" s="69">
        <v>2834415.32</v>
      </c>
      <c r="AG20" s="69">
        <v>1965035.84</v>
      </c>
      <c r="AH20" s="69">
        <v>2842751.84</v>
      </c>
      <c r="AI20" s="69">
        <v>2709367.59</v>
      </c>
      <c r="AJ20" s="69">
        <v>2292541.81</v>
      </c>
      <c r="AK20" s="69">
        <v>3170641.45</v>
      </c>
      <c r="AL20" s="69">
        <v>2433621.31</v>
      </c>
      <c r="AM20" s="69">
        <v>2751050.17</v>
      </c>
      <c r="AN20" s="72">
        <v>1997786.44</v>
      </c>
      <c r="AO20" s="5"/>
      <c r="AP20" s="81">
        <f t="shared" si="0"/>
        <v>6319785.5899999999</v>
      </c>
      <c r="AQ20" s="82">
        <f t="shared" si="1"/>
        <v>7219789.0000000009</v>
      </c>
      <c r="AR20" s="82">
        <f t="shared" si="2"/>
        <v>7264416.1899999995</v>
      </c>
      <c r="AS20" s="83">
        <f t="shared" si="3"/>
        <v>7132352.290000001</v>
      </c>
      <c r="AT20" s="81">
        <f t="shared" si="4"/>
        <v>6980228.7000000002</v>
      </c>
      <c r="AU20" s="82">
        <f t="shared" si="5"/>
        <v>7706467.4700000007</v>
      </c>
      <c r="AV20" s="82">
        <f t="shared" si="6"/>
        <v>7321376.9399999995</v>
      </c>
      <c r="AW20" s="83">
        <f t="shared" si="7"/>
        <v>7440340.2300000004</v>
      </c>
      <c r="AX20" s="81">
        <f t="shared" si="8"/>
        <v>8492985.6600000001</v>
      </c>
      <c r="AY20" s="82">
        <f t="shared" si="9"/>
        <v>7642203</v>
      </c>
      <c r="AZ20" s="82">
        <f t="shared" si="10"/>
        <v>8172550.8500000006</v>
      </c>
      <c r="BA20" s="83">
        <f t="shared" si="11"/>
        <v>7182457.9199999999</v>
      </c>
      <c r="BB20" s="5"/>
      <c r="BC20" s="81">
        <f t="shared" si="12"/>
        <v>27936343.07</v>
      </c>
      <c r="BD20" s="82">
        <f t="shared" si="13"/>
        <v>29448413.34</v>
      </c>
      <c r="BE20" s="83">
        <f t="shared" si="14"/>
        <v>31490197.43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</row>
    <row r="21" spans="1:275" s="37" customFormat="1" x14ac:dyDescent="0.25">
      <c r="A21" s="37" t="s">
        <v>71</v>
      </c>
      <c r="B21" s="37" t="str" cm="1">
        <f t="array" ref="B21">_xlfn.IFS(LEFT(A21,1)="E","Expense",LEFT(A21,1)="R","Revenue")</f>
        <v>Expense</v>
      </c>
      <c r="C21" s="37" t="str">
        <f>VLOOKUP(MID(A21,2,2),$C$69:$D$79,2,FALSE)</f>
        <v>Facilities</v>
      </c>
      <c r="D21" s="37" t="str">
        <f>VLOOKUP(MID(A21,4,4),'Code Breakdown'!$I$2:$J$44,2,FALSE)</f>
        <v>Gas</v>
      </c>
      <c r="E21" s="69">
        <v>220699.65</v>
      </c>
      <c r="F21" s="69">
        <v>218514.5</v>
      </c>
      <c r="G21" s="69">
        <v>222884.79</v>
      </c>
      <c r="H21" s="69">
        <v>218514.5</v>
      </c>
      <c r="I21" s="69">
        <v>216329.36</v>
      </c>
      <c r="J21" s="69">
        <v>220699.65</v>
      </c>
      <c r="K21" s="69">
        <v>218514.5</v>
      </c>
      <c r="L21" s="69">
        <v>220699.65</v>
      </c>
      <c r="M21" s="69">
        <v>216329.36</v>
      </c>
      <c r="N21" s="69">
        <v>214144.21</v>
      </c>
      <c r="O21" s="69">
        <v>220699.65</v>
      </c>
      <c r="P21" s="72">
        <v>214144.21</v>
      </c>
      <c r="Q21" s="69">
        <v>220655.94</v>
      </c>
      <c r="R21" s="69">
        <v>227342.49</v>
      </c>
      <c r="S21" s="69">
        <v>222884.79</v>
      </c>
      <c r="T21" s="69">
        <v>227342.49</v>
      </c>
      <c r="U21" s="69">
        <v>220655.94</v>
      </c>
      <c r="V21" s="69">
        <v>222884.79</v>
      </c>
      <c r="W21" s="69">
        <v>227342.49</v>
      </c>
      <c r="X21" s="69">
        <v>227342.49</v>
      </c>
      <c r="Y21" s="69">
        <v>207282.85</v>
      </c>
      <c r="Z21" s="69">
        <v>220655.94</v>
      </c>
      <c r="AA21" s="69">
        <v>225113.64</v>
      </c>
      <c r="AB21" s="72">
        <v>225113.64</v>
      </c>
      <c r="AC21" s="69">
        <v>222884.79</v>
      </c>
      <c r="AD21" s="69">
        <v>227342.49</v>
      </c>
      <c r="AE21" s="69">
        <v>220655.94</v>
      </c>
      <c r="AF21" s="69">
        <v>222884.79</v>
      </c>
      <c r="AG21" s="69">
        <v>220655.94</v>
      </c>
      <c r="AH21" s="69">
        <v>227342.49</v>
      </c>
      <c r="AI21" s="69">
        <v>218427.09</v>
      </c>
      <c r="AJ21" s="69">
        <v>225113.64</v>
      </c>
      <c r="AK21" s="69">
        <v>234054</v>
      </c>
      <c r="AL21" s="69">
        <v>227342.49</v>
      </c>
      <c r="AM21" s="69">
        <v>218427.09</v>
      </c>
      <c r="AN21" s="72">
        <v>220655.94</v>
      </c>
      <c r="AO21" s="5"/>
      <c r="AP21" s="81">
        <f t="shared" si="0"/>
        <v>662098.94000000006</v>
      </c>
      <c r="AQ21" s="82">
        <f t="shared" si="1"/>
        <v>655543.51</v>
      </c>
      <c r="AR21" s="82">
        <f t="shared" si="2"/>
        <v>655543.51</v>
      </c>
      <c r="AS21" s="83">
        <f t="shared" si="3"/>
        <v>648988.06999999995</v>
      </c>
      <c r="AT21" s="81">
        <f t="shared" si="4"/>
        <v>670883.22</v>
      </c>
      <c r="AU21" s="82">
        <f t="shared" si="5"/>
        <v>670883.22</v>
      </c>
      <c r="AV21" s="82">
        <f t="shared" si="6"/>
        <v>661967.82999999996</v>
      </c>
      <c r="AW21" s="83">
        <f t="shared" si="7"/>
        <v>670883.22</v>
      </c>
      <c r="AX21" s="81">
        <f t="shared" si="8"/>
        <v>670883.22</v>
      </c>
      <c r="AY21" s="82">
        <f t="shared" si="9"/>
        <v>670883.22</v>
      </c>
      <c r="AZ21" s="82">
        <f t="shared" si="10"/>
        <v>677594.73</v>
      </c>
      <c r="BA21" s="83">
        <f t="shared" si="11"/>
        <v>666425.52</v>
      </c>
      <c r="BB21" s="5"/>
      <c r="BC21" s="81">
        <f t="shared" si="12"/>
        <v>2622174.0300000003</v>
      </c>
      <c r="BD21" s="82">
        <f t="shared" si="13"/>
        <v>2674617.4900000002</v>
      </c>
      <c r="BE21" s="83">
        <f t="shared" si="14"/>
        <v>2685786.69</v>
      </c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</row>
    <row r="22" spans="1:275" x14ac:dyDescent="0.25">
      <c r="A22" s="5" t="s">
        <v>86</v>
      </c>
      <c r="B22" s="37" t="str" cm="1">
        <f t="array" ref="B22">_xlfn.IFS(LEFT(A22,1)="E","Expense",LEFT(A22,1)="R","Revenue")</f>
        <v>Expense</v>
      </c>
      <c r="C22" s="37" t="str">
        <f>VLOOKUP(MID(A22,2,2),$C$69:$D$79,2,FALSE)</f>
        <v>Depreciation &amp; amortisation</v>
      </c>
      <c r="D22" s="37" t="str">
        <f>VLOOKUP(MID(A22,4,4),'Code Breakdown'!$I$2:$J$44,2,FALSE)</f>
        <v>Amortisation</v>
      </c>
      <c r="E22" s="69">
        <v>201834.52</v>
      </c>
      <c r="F22" s="69">
        <v>201834.52</v>
      </c>
      <c r="G22" s="69">
        <v>207950.72</v>
      </c>
      <c r="H22" s="69">
        <v>203873.25</v>
      </c>
      <c r="I22" s="69">
        <v>207950.72</v>
      </c>
      <c r="J22" s="69">
        <v>199795.79</v>
      </c>
      <c r="K22" s="69">
        <v>207950.72</v>
      </c>
      <c r="L22" s="69">
        <v>205911.98</v>
      </c>
      <c r="M22" s="69">
        <v>201834.52</v>
      </c>
      <c r="N22" s="69">
        <v>207950.72</v>
      </c>
      <c r="O22" s="69">
        <v>199795.79</v>
      </c>
      <c r="P22" s="72">
        <v>199795.79</v>
      </c>
      <c r="Q22" s="69">
        <v>216268.74</v>
      </c>
      <c r="R22" s="69">
        <v>216268.74</v>
      </c>
      <c r="S22" s="69">
        <v>214148.46</v>
      </c>
      <c r="T22" s="69">
        <v>214148.46</v>
      </c>
      <c r="U22" s="69">
        <v>212028.18</v>
      </c>
      <c r="V22" s="69">
        <v>216268.74</v>
      </c>
      <c r="W22" s="69">
        <v>207787.62</v>
      </c>
      <c r="X22" s="69">
        <v>214148.46</v>
      </c>
      <c r="Y22" s="69">
        <v>197186.21</v>
      </c>
      <c r="Z22" s="69">
        <v>209907.9</v>
      </c>
      <c r="AA22" s="69">
        <v>216268.74</v>
      </c>
      <c r="AB22" s="72">
        <v>209907.9</v>
      </c>
      <c r="AC22" s="69">
        <v>216268.74</v>
      </c>
      <c r="AD22" s="69">
        <v>209907.9</v>
      </c>
      <c r="AE22" s="69">
        <v>212028.18</v>
      </c>
      <c r="AF22" s="69">
        <v>209907.9</v>
      </c>
      <c r="AG22" s="69">
        <v>209907.9</v>
      </c>
      <c r="AH22" s="69">
        <v>212028.18</v>
      </c>
      <c r="AI22" s="69">
        <v>216268.74</v>
      </c>
      <c r="AJ22" s="69">
        <v>207787.62</v>
      </c>
      <c r="AK22" s="69">
        <v>214369</v>
      </c>
      <c r="AL22" s="69">
        <v>207787.62</v>
      </c>
      <c r="AM22" s="69">
        <v>214148.46</v>
      </c>
      <c r="AN22" s="72">
        <v>212028.18</v>
      </c>
      <c r="AP22" s="81">
        <f t="shared" si="0"/>
        <v>611619.76</v>
      </c>
      <c r="AQ22" s="82">
        <f t="shared" si="1"/>
        <v>611619.76</v>
      </c>
      <c r="AR22" s="82">
        <f t="shared" si="2"/>
        <v>615697.22</v>
      </c>
      <c r="AS22" s="83">
        <f t="shared" si="3"/>
        <v>607542.30000000005</v>
      </c>
      <c r="AT22" s="81">
        <f t="shared" si="4"/>
        <v>646685.93999999994</v>
      </c>
      <c r="AU22" s="82">
        <f t="shared" si="5"/>
        <v>642445.38</v>
      </c>
      <c r="AV22" s="82">
        <f t="shared" si="6"/>
        <v>619122.28999999992</v>
      </c>
      <c r="AW22" s="83">
        <f t="shared" si="7"/>
        <v>636084.54</v>
      </c>
      <c r="AX22" s="81">
        <f t="shared" si="8"/>
        <v>638204.82000000007</v>
      </c>
      <c r="AY22" s="82">
        <f t="shared" si="9"/>
        <v>631843.98</v>
      </c>
      <c r="AZ22" s="82">
        <f t="shared" si="10"/>
        <v>638425.36</v>
      </c>
      <c r="BA22" s="83">
        <f t="shared" si="11"/>
        <v>633964.26</v>
      </c>
      <c r="BC22" s="81">
        <f t="shared" si="12"/>
        <v>2446479.04</v>
      </c>
      <c r="BD22" s="82">
        <f t="shared" si="13"/>
        <v>2544338.15</v>
      </c>
      <c r="BE22" s="83">
        <f t="shared" si="14"/>
        <v>2542438.42</v>
      </c>
    </row>
    <row r="23" spans="1:275" x14ac:dyDescent="0.25">
      <c r="A23" s="5" t="s">
        <v>85</v>
      </c>
      <c r="B23" s="37" t="str" cm="1">
        <f t="array" ref="B23">_xlfn.IFS(LEFT(A23,1)="E","Expense",LEFT(A23,1)="R","Revenue")</f>
        <v>Expense</v>
      </c>
      <c r="C23" s="37" t="str">
        <f>VLOOKUP(MID(A23,2,2),$C$69:$D$79,2,FALSE)</f>
        <v>Depreciation &amp; amortisation</v>
      </c>
      <c r="D23" s="37" t="str">
        <f>VLOOKUP(MID(A23,4,4),'Code Breakdown'!$I$2:$J$44,2,FALSE)</f>
        <v>Depreciation</v>
      </c>
      <c r="E23" s="69">
        <v>774090.92</v>
      </c>
      <c r="F23" s="69">
        <v>766350.01</v>
      </c>
      <c r="G23" s="69">
        <v>781831.83</v>
      </c>
      <c r="H23" s="69">
        <v>766350.01</v>
      </c>
      <c r="I23" s="69">
        <v>789572.74</v>
      </c>
      <c r="J23" s="69">
        <v>789572.74</v>
      </c>
      <c r="K23" s="69">
        <v>789572.74</v>
      </c>
      <c r="L23" s="69">
        <v>758609.1</v>
      </c>
      <c r="M23" s="69">
        <v>774090.92</v>
      </c>
      <c r="N23" s="69">
        <v>758609.1</v>
      </c>
      <c r="O23" s="69">
        <v>758609.1</v>
      </c>
      <c r="P23" s="72">
        <v>781831.83</v>
      </c>
      <c r="Q23" s="69">
        <v>805054.55</v>
      </c>
      <c r="R23" s="69">
        <v>797004.01</v>
      </c>
      <c r="S23" s="69">
        <v>821155.64</v>
      </c>
      <c r="T23" s="69">
        <v>797004.01</v>
      </c>
      <c r="U23" s="69">
        <v>813105.1</v>
      </c>
      <c r="V23" s="69">
        <v>805054.55</v>
      </c>
      <c r="W23" s="69">
        <v>788953.46</v>
      </c>
      <c r="X23" s="69">
        <v>797004.01</v>
      </c>
      <c r="Y23" s="69">
        <v>813105.1</v>
      </c>
      <c r="Z23" s="69">
        <v>805054.55</v>
      </c>
      <c r="AA23" s="69">
        <v>797004.01</v>
      </c>
      <c r="AB23" s="72">
        <v>821155.64</v>
      </c>
      <c r="AC23" s="69">
        <v>797004.01</v>
      </c>
      <c r="AD23" s="69">
        <v>821155.64</v>
      </c>
      <c r="AE23" s="69">
        <v>821155.64</v>
      </c>
      <c r="AF23" s="69">
        <v>788953.46</v>
      </c>
      <c r="AG23" s="69">
        <v>797004.01</v>
      </c>
      <c r="AH23" s="69">
        <v>788953.46</v>
      </c>
      <c r="AI23" s="69">
        <v>788953.46</v>
      </c>
      <c r="AJ23" s="69">
        <v>813105.1</v>
      </c>
      <c r="AK23" s="69">
        <v>802465</v>
      </c>
      <c r="AL23" s="69">
        <v>797004.01</v>
      </c>
      <c r="AM23" s="69">
        <v>821155.64</v>
      </c>
      <c r="AN23" s="72">
        <v>805054.55</v>
      </c>
      <c r="AP23" s="81">
        <f t="shared" si="0"/>
        <v>2322272.7600000002</v>
      </c>
      <c r="AQ23" s="82">
        <f t="shared" si="1"/>
        <v>2345495.4900000002</v>
      </c>
      <c r="AR23" s="82">
        <f t="shared" si="2"/>
        <v>2322272.7599999998</v>
      </c>
      <c r="AS23" s="83">
        <f t="shared" si="3"/>
        <v>2299050.0299999998</v>
      </c>
      <c r="AT23" s="81">
        <f t="shared" si="4"/>
        <v>2423214.2000000002</v>
      </c>
      <c r="AU23" s="82">
        <f t="shared" si="5"/>
        <v>2415163.66</v>
      </c>
      <c r="AV23" s="82">
        <f t="shared" si="6"/>
        <v>2399062.5699999998</v>
      </c>
      <c r="AW23" s="83">
        <f t="shared" si="7"/>
        <v>2423214.2000000002</v>
      </c>
      <c r="AX23" s="81">
        <f t="shared" si="8"/>
        <v>2439315.29</v>
      </c>
      <c r="AY23" s="82">
        <f t="shared" si="9"/>
        <v>2374910.9299999997</v>
      </c>
      <c r="AZ23" s="82">
        <f t="shared" si="10"/>
        <v>2404523.56</v>
      </c>
      <c r="BA23" s="83">
        <f t="shared" si="11"/>
        <v>2423214.2000000002</v>
      </c>
      <c r="BC23" s="81">
        <f t="shared" si="12"/>
        <v>9289091.0399999991</v>
      </c>
      <c r="BD23" s="82">
        <f t="shared" si="13"/>
        <v>9660654.629999999</v>
      </c>
      <c r="BE23" s="83">
        <f t="shared" si="14"/>
        <v>9641963.9800000004</v>
      </c>
    </row>
    <row r="24" spans="1:275" x14ac:dyDescent="0.25">
      <c r="A24" s="5" t="s">
        <v>95</v>
      </c>
      <c r="B24" s="37" t="str" cm="1">
        <f t="array" ref="B24">_xlfn.IFS(LEFT(A24,1)="E","Expense",LEFT(A24,1)="R","Revenue")</f>
        <v>Expense</v>
      </c>
      <c r="C24" s="37" t="str">
        <f>VLOOKUP(MID(A24,2,2),$C$69:$D$79,2,FALSE)</f>
        <v>Other</v>
      </c>
      <c r="D24" s="37" t="str">
        <f>VLOOKUP(MID(A24,4,4),'Code Breakdown'!$I$2:$J$44,2,FALSE)</f>
        <v>Other</v>
      </c>
      <c r="E24" s="69">
        <v>92219.27</v>
      </c>
      <c r="F24" s="69">
        <v>101441.2</v>
      </c>
      <c r="G24" s="69">
        <v>72458</v>
      </c>
      <c r="H24" s="69">
        <v>78031.69</v>
      </c>
      <c r="I24" s="69">
        <v>92219.27</v>
      </c>
      <c r="J24" s="69">
        <v>84534.33</v>
      </c>
      <c r="K24" s="69">
        <v>92219.27</v>
      </c>
      <c r="L24" s="69">
        <v>78031.69</v>
      </c>
      <c r="M24" s="69">
        <v>82659.55</v>
      </c>
      <c r="N24" s="69">
        <v>78031.69</v>
      </c>
      <c r="O24" s="69">
        <v>84534.33</v>
      </c>
      <c r="P24" s="72">
        <v>78031.69</v>
      </c>
      <c r="Q24" s="69">
        <v>105498.85</v>
      </c>
      <c r="R24" s="69">
        <v>105498.85</v>
      </c>
      <c r="S24" s="69">
        <v>75356.320000000007</v>
      </c>
      <c r="T24" s="69">
        <v>95908.04</v>
      </c>
      <c r="U24" s="69">
        <v>81152.960000000006</v>
      </c>
      <c r="V24" s="69">
        <v>81152.960000000006</v>
      </c>
      <c r="W24" s="69">
        <v>81152.960000000006</v>
      </c>
      <c r="X24" s="69">
        <v>81152.960000000006</v>
      </c>
      <c r="Y24" s="69">
        <v>88934.51</v>
      </c>
      <c r="Z24" s="69">
        <v>75356.320000000007</v>
      </c>
      <c r="AA24" s="69">
        <v>87915.71</v>
      </c>
      <c r="AB24" s="72">
        <v>95908.04</v>
      </c>
      <c r="AC24" s="69">
        <v>105498.85</v>
      </c>
      <c r="AD24" s="69">
        <v>87915.71</v>
      </c>
      <c r="AE24" s="69">
        <v>81152.960000000006</v>
      </c>
      <c r="AF24" s="69">
        <v>105498.85</v>
      </c>
      <c r="AG24" s="69">
        <v>95908.04</v>
      </c>
      <c r="AH24" s="69">
        <v>105498.85</v>
      </c>
      <c r="AI24" s="69">
        <v>95908.04</v>
      </c>
      <c r="AJ24" s="69">
        <v>105498.85</v>
      </c>
      <c r="AK24" s="69">
        <v>69882.89</v>
      </c>
      <c r="AL24" s="69">
        <v>87915.71</v>
      </c>
      <c r="AM24" s="69">
        <v>81152.960000000006</v>
      </c>
      <c r="AN24" s="72">
        <v>75356.320000000007</v>
      </c>
      <c r="AP24" s="81">
        <f t="shared" si="0"/>
        <v>266118.46999999997</v>
      </c>
      <c r="AQ24" s="82">
        <f t="shared" si="1"/>
        <v>254785.29000000004</v>
      </c>
      <c r="AR24" s="82">
        <f t="shared" si="2"/>
        <v>252910.51</v>
      </c>
      <c r="AS24" s="83">
        <f t="shared" si="3"/>
        <v>240597.71000000002</v>
      </c>
      <c r="AT24" s="81">
        <f t="shared" si="4"/>
        <v>286354.02</v>
      </c>
      <c r="AU24" s="82">
        <f t="shared" si="5"/>
        <v>258213.96000000002</v>
      </c>
      <c r="AV24" s="82">
        <f t="shared" si="6"/>
        <v>251240.43</v>
      </c>
      <c r="AW24" s="83">
        <f t="shared" si="7"/>
        <v>259180.07</v>
      </c>
      <c r="AX24" s="81">
        <f t="shared" si="8"/>
        <v>274567.52</v>
      </c>
      <c r="AY24" s="82">
        <f t="shared" si="9"/>
        <v>306905.74</v>
      </c>
      <c r="AZ24" s="82">
        <f t="shared" si="10"/>
        <v>271289.78000000003</v>
      </c>
      <c r="BA24" s="83">
        <f t="shared" si="11"/>
        <v>244424.99000000002</v>
      </c>
      <c r="BC24" s="81">
        <f t="shared" si="12"/>
        <v>1014411.98</v>
      </c>
      <c r="BD24" s="82">
        <f t="shared" si="13"/>
        <v>1054988.48</v>
      </c>
      <c r="BE24" s="83">
        <f t="shared" si="14"/>
        <v>1097188.03</v>
      </c>
    </row>
    <row r="25" spans="1:275" x14ac:dyDescent="0.25">
      <c r="A25" s="5" t="s">
        <v>92</v>
      </c>
      <c r="B25" s="37" t="str" cm="1">
        <f t="array" ref="B25">_xlfn.IFS(LEFT(A25,1)="E","Expense",LEFT(A25,1)="R","Revenue")</f>
        <v>Expense</v>
      </c>
      <c r="C25" s="37" t="str">
        <f>VLOOKUP(MID(A25,2,2),$C$69:$D$79,2,FALSE)</f>
        <v>Other</v>
      </c>
      <c r="D25" s="37" t="str">
        <f>VLOOKUP(MID(A25,4,4),'Code Breakdown'!$I$2:$J$44,2,FALSE)</f>
        <v>Office Supplies</v>
      </c>
      <c r="E25" s="69">
        <v>114928.36</v>
      </c>
      <c r="F25" s="69">
        <v>134083.07999999999</v>
      </c>
      <c r="G25" s="69">
        <v>134083.07999999999</v>
      </c>
      <c r="H25" s="69">
        <v>123769</v>
      </c>
      <c r="I25" s="69">
        <v>160899.70000000001</v>
      </c>
      <c r="J25" s="69">
        <v>146272.45000000001</v>
      </c>
      <c r="K25" s="69">
        <v>123769</v>
      </c>
      <c r="L25" s="69">
        <v>123769</v>
      </c>
      <c r="M25" s="69">
        <v>106168.08</v>
      </c>
      <c r="N25" s="69">
        <v>160899.70000000001</v>
      </c>
      <c r="O25" s="69">
        <v>146272.45000000001</v>
      </c>
      <c r="P25" s="72">
        <v>134083.07999999999</v>
      </c>
      <c r="Q25" s="69">
        <v>119525.49</v>
      </c>
      <c r="R25" s="69">
        <v>167335.69</v>
      </c>
      <c r="S25" s="69">
        <v>139446.41</v>
      </c>
      <c r="T25" s="69">
        <v>152123.35</v>
      </c>
      <c r="U25" s="69">
        <v>119525.49</v>
      </c>
      <c r="V25" s="69">
        <v>152123.35</v>
      </c>
      <c r="W25" s="69">
        <v>152123.35</v>
      </c>
      <c r="X25" s="69">
        <v>128719.76</v>
      </c>
      <c r="Y25" s="69">
        <v>156274.70000000001</v>
      </c>
      <c r="Z25" s="69">
        <v>128719.76</v>
      </c>
      <c r="AA25" s="69">
        <v>128719.76</v>
      </c>
      <c r="AB25" s="72">
        <v>128719.76</v>
      </c>
      <c r="AC25" s="69">
        <v>139446.41</v>
      </c>
      <c r="AD25" s="69">
        <v>119525.49</v>
      </c>
      <c r="AE25" s="69">
        <v>152123.35</v>
      </c>
      <c r="AF25" s="69">
        <v>152123.35</v>
      </c>
      <c r="AG25" s="69">
        <v>128719.76</v>
      </c>
      <c r="AH25" s="69">
        <v>119525.49</v>
      </c>
      <c r="AI25" s="69">
        <v>119525.49</v>
      </c>
      <c r="AJ25" s="69">
        <v>128719.76</v>
      </c>
      <c r="AK25" s="69">
        <v>153874</v>
      </c>
      <c r="AL25" s="69">
        <v>167335.69</v>
      </c>
      <c r="AM25" s="69">
        <v>128719.76</v>
      </c>
      <c r="AN25" s="72">
        <v>119525.49</v>
      </c>
      <c r="AP25" s="81">
        <f t="shared" si="0"/>
        <v>383094.52</v>
      </c>
      <c r="AQ25" s="82">
        <f t="shared" si="1"/>
        <v>430941.15</v>
      </c>
      <c r="AR25" s="82">
        <f t="shared" si="2"/>
        <v>353706.08</v>
      </c>
      <c r="AS25" s="83">
        <f t="shared" si="3"/>
        <v>441255.23</v>
      </c>
      <c r="AT25" s="81">
        <f t="shared" si="4"/>
        <v>426307.58999999997</v>
      </c>
      <c r="AU25" s="82">
        <f t="shared" si="5"/>
        <v>423772.19000000006</v>
      </c>
      <c r="AV25" s="82">
        <f t="shared" si="6"/>
        <v>437117.81</v>
      </c>
      <c r="AW25" s="83">
        <f t="shared" si="7"/>
        <v>386159.27999999997</v>
      </c>
      <c r="AX25" s="81">
        <f t="shared" si="8"/>
        <v>411095.25</v>
      </c>
      <c r="AY25" s="82">
        <f t="shared" si="9"/>
        <v>400368.6</v>
      </c>
      <c r="AZ25" s="82">
        <f t="shared" si="10"/>
        <v>402119.25</v>
      </c>
      <c r="BA25" s="83">
        <f t="shared" si="11"/>
        <v>415580.94</v>
      </c>
      <c r="BC25" s="81">
        <f t="shared" si="12"/>
        <v>1608996.98</v>
      </c>
      <c r="BD25" s="82">
        <f t="shared" si="13"/>
        <v>1673356.87</v>
      </c>
      <c r="BE25" s="83">
        <f t="shared" si="14"/>
        <v>1629164.04</v>
      </c>
    </row>
    <row r="26" spans="1:275" x14ac:dyDescent="0.25">
      <c r="A26" s="5" t="s">
        <v>78</v>
      </c>
      <c r="B26" s="37" t="str" cm="1">
        <f t="array" ref="B26">_xlfn.IFS(LEFT(A26,1)="E","Expense",LEFT(A26,1)="R","Revenue")</f>
        <v>Expense</v>
      </c>
      <c r="C26" s="37" t="str">
        <f>VLOOKUP(MID(A26,2,2),$C$69:$D$79,2,FALSE)</f>
        <v>IT</v>
      </c>
      <c r="D26" s="37" t="str">
        <f>VLOOKUP(MID(A26,4,4),'Code Breakdown'!$I$2:$J$44,2,FALSE)</f>
        <v>Internal IT</v>
      </c>
      <c r="E26" s="69">
        <v>489312.45</v>
      </c>
      <c r="F26" s="69">
        <v>384459.79</v>
      </c>
      <c r="G26" s="69">
        <v>489312.45</v>
      </c>
      <c r="H26" s="69">
        <v>414033.62</v>
      </c>
      <c r="I26" s="69">
        <v>489312.45</v>
      </c>
      <c r="J26" s="69">
        <v>384459.79</v>
      </c>
      <c r="K26" s="69">
        <v>448536.42</v>
      </c>
      <c r="L26" s="69">
        <v>448536.42</v>
      </c>
      <c r="M26" s="69">
        <v>343952.6</v>
      </c>
      <c r="N26" s="69">
        <v>414033.62</v>
      </c>
      <c r="O26" s="69">
        <v>538243.69999999995</v>
      </c>
      <c r="P26" s="72">
        <v>538243.69999999995</v>
      </c>
      <c r="Q26" s="69">
        <v>426454.62</v>
      </c>
      <c r="R26" s="69">
        <v>395993.58</v>
      </c>
      <c r="S26" s="69">
        <v>554391.01</v>
      </c>
      <c r="T26" s="69">
        <v>554391.01</v>
      </c>
      <c r="U26" s="69">
        <v>395993.58</v>
      </c>
      <c r="V26" s="69">
        <v>395993.58</v>
      </c>
      <c r="W26" s="69">
        <v>395993.58</v>
      </c>
      <c r="X26" s="69">
        <v>395993.58</v>
      </c>
      <c r="Y26" s="69">
        <v>398405</v>
      </c>
      <c r="Z26" s="69">
        <v>426454.62</v>
      </c>
      <c r="AA26" s="69">
        <v>395993.58</v>
      </c>
      <c r="AB26" s="72">
        <v>503991.83</v>
      </c>
      <c r="AC26" s="69">
        <v>426454.62</v>
      </c>
      <c r="AD26" s="69">
        <v>426454.62</v>
      </c>
      <c r="AE26" s="69">
        <v>395993.58</v>
      </c>
      <c r="AF26" s="69">
        <v>395993.58</v>
      </c>
      <c r="AG26" s="69">
        <v>461992.51</v>
      </c>
      <c r="AH26" s="69">
        <v>554391.01</v>
      </c>
      <c r="AI26" s="69">
        <v>503991.83</v>
      </c>
      <c r="AJ26" s="69">
        <v>395993.58</v>
      </c>
      <c r="AK26" s="69">
        <v>536188.23</v>
      </c>
      <c r="AL26" s="69">
        <v>503991.83</v>
      </c>
      <c r="AM26" s="69">
        <v>554391.01</v>
      </c>
      <c r="AN26" s="72">
        <v>554391.01</v>
      </c>
      <c r="AP26" s="81">
        <f t="shared" si="0"/>
        <v>1363084.69</v>
      </c>
      <c r="AQ26" s="82">
        <f t="shared" si="1"/>
        <v>1287805.8600000001</v>
      </c>
      <c r="AR26" s="82">
        <f t="shared" si="2"/>
        <v>1241025.44</v>
      </c>
      <c r="AS26" s="83">
        <f t="shared" si="3"/>
        <v>1490521.02</v>
      </c>
      <c r="AT26" s="81">
        <f t="shared" si="4"/>
        <v>1376839.21</v>
      </c>
      <c r="AU26" s="82">
        <f t="shared" si="5"/>
        <v>1346378.1700000002</v>
      </c>
      <c r="AV26" s="82">
        <f t="shared" si="6"/>
        <v>1190392.1600000001</v>
      </c>
      <c r="AW26" s="83">
        <f t="shared" si="7"/>
        <v>1326440.03</v>
      </c>
      <c r="AX26" s="81">
        <f t="shared" si="8"/>
        <v>1248902.82</v>
      </c>
      <c r="AY26" s="82">
        <f t="shared" si="9"/>
        <v>1412377.1</v>
      </c>
      <c r="AZ26" s="82">
        <f t="shared" si="10"/>
        <v>1436173.6400000001</v>
      </c>
      <c r="BA26" s="83">
        <f t="shared" si="11"/>
        <v>1612773.85</v>
      </c>
      <c r="BC26" s="81">
        <f t="shared" si="12"/>
        <v>5382437.0099999998</v>
      </c>
      <c r="BD26" s="82">
        <f t="shared" si="13"/>
        <v>5240049.57</v>
      </c>
      <c r="BE26" s="83">
        <f t="shared" si="14"/>
        <v>5710227.4100000001</v>
      </c>
    </row>
    <row r="27" spans="1:275" x14ac:dyDescent="0.25">
      <c r="A27" s="5" t="s">
        <v>81</v>
      </c>
      <c r="B27" s="37" t="str" cm="1">
        <f t="array" ref="B27">_xlfn.IFS(LEFT(A27,1)="E","Expense",LEFT(A27,1)="R","Revenue")</f>
        <v>Expense</v>
      </c>
      <c r="C27" s="37" t="str">
        <f>VLOOKUP(MID(A27,2,2),$C$69:$D$79,2,FALSE)</f>
        <v>IT</v>
      </c>
      <c r="D27" s="37" t="str">
        <f>VLOOKUP(MID(A27,4,4),'Code Breakdown'!$I$2:$J$44,2,FALSE)</f>
        <v>Telecommunications</v>
      </c>
      <c r="E27" s="69">
        <v>476789</v>
      </c>
      <c r="F27" s="69">
        <v>516521.42</v>
      </c>
      <c r="G27" s="69">
        <v>476789</v>
      </c>
      <c r="H27" s="69">
        <v>516521.42</v>
      </c>
      <c r="I27" s="69">
        <v>563477.91</v>
      </c>
      <c r="J27" s="69">
        <v>442732.64</v>
      </c>
      <c r="K27" s="69">
        <v>516521.42</v>
      </c>
      <c r="L27" s="69">
        <v>476789</v>
      </c>
      <c r="M27" s="69">
        <v>408985.89</v>
      </c>
      <c r="N27" s="69">
        <v>619825.69999999995</v>
      </c>
      <c r="O27" s="69">
        <v>619825.69999999995</v>
      </c>
      <c r="P27" s="72">
        <v>563477.91</v>
      </c>
      <c r="Q27" s="69">
        <v>532017.06000000006</v>
      </c>
      <c r="R27" s="69">
        <v>456014.62</v>
      </c>
      <c r="S27" s="69">
        <v>580382.25</v>
      </c>
      <c r="T27" s="69">
        <v>456014.62</v>
      </c>
      <c r="U27" s="69">
        <v>580382.25</v>
      </c>
      <c r="V27" s="69">
        <v>580382.25</v>
      </c>
      <c r="W27" s="69">
        <v>456014.62</v>
      </c>
      <c r="X27" s="69">
        <v>580382.25</v>
      </c>
      <c r="Y27" s="69">
        <v>670203.31000000006</v>
      </c>
      <c r="Z27" s="69">
        <v>456014.62</v>
      </c>
      <c r="AA27" s="69">
        <v>580382.25</v>
      </c>
      <c r="AB27" s="72">
        <v>456014.62</v>
      </c>
      <c r="AC27" s="69">
        <v>491092.67</v>
      </c>
      <c r="AD27" s="69">
        <v>638420.47</v>
      </c>
      <c r="AE27" s="69">
        <v>638420.47</v>
      </c>
      <c r="AF27" s="69">
        <v>491092.67</v>
      </c>
      <c r="AG27" s="69">
        <v>580382.25</v>
      </c>
      <c r="AH27" s="69">
        <v>532017.06000000006</v>
      </c>
      <c r="AI27" s="69">
        <v>638420.47</v>
      </c>
      <c r="AJ27" s="69">
        <v>638420.47</v>
      </c>
      <c r="AK27" s="69">
        <v>625369</v>
      </c>
      <c r="AL27" s="69">
        <v>638420.47</v>
      </c>
      <c r="AM27" s="69">
        <v>491092.67</v>
      </c>
      <c r="AN27" s="72">
        <v>456014.62</v>
      </c>
      <c r="AP27" s="81">
        <f t="shared" si="0"/>
        <v>1470099.42</v>
      </c>
      <c r="AQ27" s="82">
        <f t="shared" si="1"/>
        <v>1522731.9700000002</v>
      </c>
      <c r="AR27" s="82">
        <f t="shared" si="2"/>
        <v>1402296.31</v>
      </c>
      <c r="AS27" s="83">
        <f t="shared" si="3"/>
        <v>1803129.31</v>
      </c>
      <c r="AT27" s="81">
        <f t="shared" si="4"/>
        <v>1568413.9300000002</v>
      </c>
      <c r="AU27" s="82">
        <f t="shared" si="5"/>
        <v>1616779.12</v>
      </c>
      <c r="AV27" s="82">
        <f t="shared" si="6"/>
        <v>1706600.1800000002</v>
      </c>
      <c r="AW27" s="83">
        <f t="shared" si="7"/>
        <v>1492411.49</v>
      </c>
      <c r="AX27" s="81">
        <f t="shared" si="8"/>
        <v>1767933.6099999999</v>
      </c>
      <c r="AY27" s="82">
        <f t="shared" si="9"/>
        <v>1603491.98</v>
      </c>
      <c r="AZ27" s="82">
        <f t="shared" si="10"/>
        <v>1902209.94</v>
      </c>
      <c r="BA27" s="83">
        <f t="shared" si="11"/>
        <v>1585527.7599999998</v>
      </c>
      <c r="BC27" s="81">
        <f t="shared" si="12"/>
        <v>6198257.0099999998</v>
      </c>
      <c r="BD27" s="82">
        <f t="shared" si="13"/>
        <v>6384204.7200000007</v>
      </c>
      <c r="BE27" s="83">
        <f t="shared" si="14"/>
        <v>6859163.2899999991</v>
      </c>
    </row>
    <row r="28" spans="1:275" x14ac:dyDescent="0.25">
      <c r="A28" s="5" t="s">
        <v>90</v>
      </c>
      <c r="B28" s="37" t="str" cm="1">
        <f t="array" ref="B28">_xlfn.IFS(LEFT(A28,1)="E","Expense",LEFT(A28,1)="R","Revenue")</f>
        <v>Expense</v>
      </c>
      <c r="C28" s="37" t="str">
        <f>VLOOKUP(MID(A28,2,2),$C$69:$D$79,2,FALSE)</f>
        <v>Other</v>
      </c>
      <c r="D28" s="37" t="str">
        <f>VLOOKUP(MID(A28,4,4),'Code Breakdown'!$I$2:$J$44,2,FALSE)</f>
        <v>Public Relations</v>
      </c>
      <c r="E28" s="69">
        <v>43926.36</v>
      </c>
      <c r="F28" s="69">
        <v>43926.36</v>
      </c>
      <c r="G28" s="69">
        <v>48319</v>
      </c>
      <c r="H28" s="69">
        <v>43926.36</v>
      </c>
      <c r="I28" s="69">
        <v>34513.57</v>
      </c>
      <c r="J28" s="69">
        <v>34513.57</v>
      </c>
      <c r="K28" s="69">
        <v>43926.36</v>
      </c>
      <c r="L28" s="69">
        <v>34513.57</v>
      </c>
      <c r="M28" s="69">
        <v>34827.33</v>
      </c>
      <c r="N28" s="69">
        <v>40265.83</v>
      </c>
      <c r="O28" s="69">
        <v>40265.83</v>
      </c>
      <c r="P28" s="72">
        <v>40265.83</v>
      </c>
      <c r="Q28" s="69">
        <v>49768.57</v>
      </c>
      <c r="R28" s="69">
        <v>45244.15</v>
      </c>
      <c r="S28" s="69">
        <v>35548.980000000003</v>
      </c>
      <c r="T28" s="69">
        <v>38283.519999999997</v>
      </c>
      <c r="U28" s="69">
        <v>35548.980000000003</v>
      </c>
      <c r="V28" s="69">
        <v>45244.15</v>
      </c>
      <c r="W28" s="69">
        <v>49768.57</v>
      </c>
      <c r="X28" s="69">
        <v>49768.57</v>
      </c>
      <c r="Y28" s="69">
        <v>24909.14</v>
      </c>
      <c r="Z28" s="69">
        <v>49768.57</v>
      </c>
      <c r="AA28" s="69">
        <v>35548.980000000003</v>
      </c>
      <c r="AB28" s="72">
        <v>38283.519999999997</v>
      </c>
      <c r="AC28" s="69">
        <v>45244.15</v>
      </c>
      <c r="AD28" s="69">
        <v>49768.57</v>
      </c>
      <c r="AE28" s="69">
        <v>41473.81</v>
      </c>
      <c r="AF28" s="69">
        <v>49768.57</v>
      </c>
      <c r="AG28" s="69">
        <v>38283.519999999997</v>
      </c>
      <c r="AH28" s="69">
        <v>49768.57</v>
      </c>
      <c r="AI28" s="69">
        <v>38283.519999999997</v>
      </c>
      <c r="AJ28" s="69">
        <v>45244.15</v>
      </c>
      <c r="AK28" s="69">
        <v>38527.14</v>
      </c>
      <c r="AL28" s="69">
        <v>41473.81</v>
      </c>
      <c r="AM28" s="69">
        <v>41473.81</v>
      </c>
      <c r="AN28" s="72">
        <v>38283.519999999997</v>
      </c>
      <c r="AP28" s="81">
        <f t="shared" si="0"/>
        <v>136171.72</v>
      </c>
      <c r="AQ28" s="82">
        <f t="shared" si="1"/>
        <v>112953.5</v>
      </c>
      <c r="AR28" s="82">
        <f t="shared" si="2"/>
        <v>113267.26</v>
      </c>
      <c r="AS28" s="83">
        <f t="shared" si="3"/>
        <v>120797.49</v>
      </c>
      <c r="AT28" s="81">
        <f t="shared" si="4"/>
        <v>130561.70000000001</v>
      </c>
      <c r="AU28" s="82">
        <f t="shared" si="5"/>
        <v>119076.65</v>
      </c>
      <c r="AV28" s="82">
        <f t="shared" si="6"/>
        <v>124446.28</v>
      </c>
      <c r="AW28" s="83">
        <f t="shared" si="7"/>
        <v>123601.07</v>
      </c>
      <c r="AX28" s="81">
        <f t="shared" si="8"/>
        <v>136486.53</v>
      </c>
      <c r="AY28" s="82">
        <f t="shared" si="9"/>
        <v>137820.66</v>
      </c>
      <c r="AZ28" s="82">
        <f t="shared" si="10"/>
        <v>122054.81</v>
      </c>
      <c r="BA28" s="83">
        <f t="shared" si="11"/>
        <v>121231.13999999998</v>
      </c>
      <c r="BC28" s="81">
        <f t="shared" si="12"/>
        <v>483189.97</v>
      </c>
      <c r="BD28" s="82">
        <f t="shared" si="13"/>
        <v>497685.7</v>
      </c>
      <c r="BE28" s="83">
        <f t="shared" si="14"/>
        <v>517593.14</v>
      </c>
    </row>
    <row r="29" spans="1:275" x14ac:dyDescent="0.25">
      <c r="A29" s="5" t="s">
        <v>80</v>
      </c>
      <c r="B29" s="37" t="str" cm="1">
        <f t="array" ref="B29">_xlfn.IFS(LEFT(A29,1)="E","Expense",LEFT(A29,1)="R","Revenue")</f>
        <v>Expense</v>
      </c>
      <c r="C29" s="37" t="str">
        <f>VLOOKUP(MID(A29,2,2),$C$69:$D$79,2,FALSE)</f>
        <v>IT</v>
      </c>
      <c r="D29" s="37" t="str">
        <f>VLOOKUP(MID(A29,4,4),'Code Breakdown'!$I$2:$J$44,2,FALSE)</f>
        <v>Servicing</v>
      </c>
      <c r="E29" s="69">
        <v>210614.54</v>
      </c>
      <c r="F29" s="69">
        <v>228165.75</v>
      </c>
      <c r="G29" s="69">
        <v>195570.64</v>
      </c>
      <c r="H29" s="69">
        <v>195570.64</v>
      </c>
      <c r="I29" s="69">
        <v>248908.09</v>
      </c>
      <c r="J29" s="69">
        <v>210614.54</v>
      </c>
      <c r="K29" s="69">
        <v>273798.90000000002</v>
      </c>
      <c r="L29" s="69">
        <v>210614.54</v>
      </c>
      <c r="M29" s="69">
        <v>258891.77</v>
      </c>
      <c r="N29" s="69">
        <v>228165.75</v>
      </c>
      <c r="O29" s="69">
        <v>228165.75</v>
      </c>
      <c r="P29" s="72">
        <v>248908.09</v>
      </c>
      <c r="Q29" s="69">
        <v>258864.41</v>
      </c>
      <c r="R29" s="69">
        <v>258864.41</v>
      </c>
      <c r="S29" s="69">
        <v>219039.12</v>
      </c>
      <c r="T29" s="69">
        <v>284750.86</v>
      </c>
      <c r="U29" s="69">
        <v>284750.86</v>
      </c>
      <c r="V29" s="69">
        <v>237292.38</v>
      </c>
      <c r="W29" s="69">
        <v>203393.47</v>
      </c>
      <c r="X29" s="69">
        <v>203393.47</v>
      </c>
      <c r="Y29" s="69">
        <v>160391.63</v>
      </c>
      <c r="Z29" s="69">
        <v>258864.41</v>
      </c>
      <c r="AA29" s="69">
        <v>219039.12</v>
      </c>
      <c r="AB29" s="72">
        <v>258864.41</v>
      </c>
      <c r="AC29" s="69">
        <v>258864.41</v>
      </c>
      <c r="AD29" s="69">
        <v>237292.38</v>
      </c>
      <c r="AE29" s="69">
        <v>203393.47</v>
      </c>
      <c r="AF29" s="69">
        <v>284750.86</v>
      </c>
      <c r="AG29" s="69">
        <v>284750.86</v>
      </c>
      <c r="AH29" s="69">
        <v>219039.12</v>
      </c>
      <c r="AI29" s="69">
        <v>219039.12</v>
      </c>
      <c r="AJ29" s="69">
        <v>237292.38</v>
      </c>
      <c r="AK29" s="69">
        <v>309802.86</v>
      </c>
      <c r="AL29" s="69">
        <v>203393.47</v>
      </c>
      <c r="AM29" s="69">
        <v>219039.12</v>
      </c>
      <c r="AN29" s="72">
        <v>284750.86</v>
      </c>
      <c r="AP29" s="81">
        <f t="shared" si="0"/>
        <v>634350.93000000005</v>
      </c>
      <c r="AQ29" s="82">
        <f t="shared" si="1"/>
        <v>655093.27</v>
      </c>
      <c r="AR29" s="82">
        <f t="shared" si="2"/>
        <v>743305.21000000008</v>
      </c>
      <c r="AS29" s="83">
        <f t="shared" si="3"/>
        <v>705239.59</v>
      </c>
      <c r="AT29" s="81">
        <f t="shared" si="4"/>
        <v>736767.94</v>
      </c>
      <c r="AU29" s="82">
        <f t="shared" si="5"/>
        <v>806794.1</v>
      </c>
      <c r="AV29" s="82">
        <f t="shared" si="6"/>
        <v>567178.57000000007</v>
      </c>
      <c r="AW29" s="83">
        <f t="shared" si="7"/>
        <v>736767.94000000006</v>
      </c>
      <c r="AX29" s="81">
        <f t="shared" si="8"/>
        <v>699550.26</v>
      </c>
      <c r="AY29" s="82">
        <f t="shared" si="9"/>
        <v>788540.84</v>
      </c>
      <c r="AZ29" s="82">
        <f t="shared" si="10"/>
        <v>766134.36</v>
      </c>
      <c r="BA29" s="83">
        <f t="shared" si="11"/>
        <v>707183.45</v>
      </c>
      <c r="BC29" s="81">
        <f t="shared" si="12"/>
        <v>2737989</v>
      </c>
      <c r="BD29" s="82">
        <f t="shared" si="13"/>
        <v>2847508.5500000003</v>
      </c>
      <c r="BE29" s="83">
        <f t="shared" si="14"/>
        <v>2961408.91</v>
      </c>
    </row>
    <row r="30" spans="1:275" x14ac:dyDescent="0.25">
      <c r="A30" s="44" t="s">
        <v>190</v>
      </c>
      <c r="B30" s="37" t="str" cm="1">
        <f t="array" ref="B30">_xlfn.IFS(LEFT(A30,1)="E","Expense",LEFT(A30,1)="R","Revenue")</f>
        <v>Revenue</v>
      </c>
      <c r="C30" s="37" t="str">
        <f>VLOOKUP(MID(A30,2,2),$C$69:$D$79,2,FALSE)</f>
        <v>Core - Media</v>
      </c>
      <c r="D30" s="37" t="str">
        <f>VLOOKUP(MID(A30,4,4),'Code Breakdown'!$I$2:$J$44,2,FALSE)</f>
        <v>Base clients</v>
      </c>
      <c r="E30" s="69">
        <v>6537957.5999999996</v>
      </c>
      <c r="F30" s="69">
        <v>7627617.2000000002</v>
      </c>
      <c r="G30" s="69">
        <v>6864855.4800000004</v>
      </c>
      <c r="H30" s="69">
        <v>9725211.9299999997</v>
      </c>
      <c r="I30" s="69">
        <v>7913652.8399999999</v>
      </c>
      <c r="J30" s="69">
        <v>6946579.9500000002</v>
      </c>
      <c r="K30" s="69">
        <v>9496383.4100000001</v>
      </c>
      <c r="L30" s="69">
        <v>7722962.4100000001</v>
      </c>
      <c r="M30" s="69">
        <v>7642723.8499999996</v>
      </c>
      <c r="N30" s="69">
        <v>6537957.5999999996</v>
      </c>
      <c r="O30" s="69">
        <v>8841101.75</v>
      </c>
      <c r="P30" s="72">
        <v>8529062.8699999992</v>
      </c>
      <c r="Q30" s="69">
        <v>9459978.870000001</v>
      </c>
      <c r="R30" s="69">
        <v>8467608.5500000007</v>
      </c>
      <c r="S30" s="69">
        <v>8903509.5300000012</v>
      </c>
      <c r="T30" s="69">
        <v>7816254.0399999991</v>
      </c>
      <c r="U30" s="69">
        <v>10405976.77</v>
      </c>
      <c r="V30" s="69">
        <v>7533738.8299999991</v>
      </c>
      <c r="W30" s="69">
        <v>7257950.1799999988</v>
      </c>
      <c r="X30" s="69">
        <v>10038707</v>
      </c>
      <c r="Y30" s="69">
        <v>6886359.1100000003</v>
      </c>
      <c r="Z30" s="69">
        <v>7257950.1799999988</v>
      </c>
      <c r="AA30" s="69">
        <v>7627910.5699999994</v>
      </c>
      <c r="AB30" s="72">
        <v>9459978.870000001</v>
      </c>
      <c r="AC30" s="69">
        <v>8365589.1699999999</v>
      </c>
      <c r="AD30" s="69">
        <v>10283553.51</v>
      </c>
      <c r="AE30" s="69">
        <v>7257950.1799999988</v>
      </c>
      <c r="AF30" s="69">
        <v>9916283.7399999984</v>
      </c>
      <c r="AG30" s="69">
        <v>8903509.5300000012</v>
      </c>
      <c r="AH30" s="69">
        <v>9916283.7399999984</v>
      </c>
      <c r="AI30" s="69">
        <v>7345395.3599999994</v>
      </c>
      <c r="AJ30" s="69">
        <v>10161130.26</v>
      </c>
      <c r="AK30" s="69">
        <v>8701431.6699999999</v>
      </c>
      <c r="AL30" s="69">
        <v>9014803.4000000004</v>
      </c>
      <c r="AM30" s="69">
        <v>8467608.5500000007</v>
      </c>
      <c r="AN30" s="72">
        <v>8903509.5300000012</v>
      </c>
      <c r="AP30" s="81">
        <f t="shared" si="0"/>
        <v>21030430.280000001</v>
      </c>
      <c r="AQ30" s="82">
        <f t="shared" si="1"/>
        <v>24585444.719999999</v>
      </c>
      <c r="AR30" s="82">
        <f t="shared" si="2"/>
        <v>24862069.670000002</v>
      </c>
      <c r="AS30" s="83">
        <f t="shared" si="3"/>
        <v>23908122.219999999</v>
      </c>
      <c r="AT30" s="81">
        <f t="shared" si="4"/>
        <v>26831096.950000003</v>
      </c>
      <c r="AU30" s="82">
        <f t="shared" si="5"/>
        <v>25755969.639999997</v>
      </c>
      <c r="AV30" s="82">
        <f t="shared" si="6"/>
        <v>24183016.289999999</v>
      </c>
      <c r="AW30" s="83">
        <f t="shared" si="7"/>
        <v>24345839.619999997</v>
      </c>
      <c r="AX30" s="81">
        <f t="shared" si="8"/>
        <v>25907092.859999999</v>
      </c>
      <c r="AY30" s="82">
        <f t="shared" si="9"/>
        <v>28736077.009999998</v>
      </c>
      <c r="AZ30" s="82">
        <f t="shared" si="10"/>
        <v>26207957.289999999</v>
      </c>
      <c r="BA30" s="83">
        <f t="shared" si="11"/>
        <v>26385921.480000004</v>
      </c>
      <c r="BC30" s="81">
        <f t="shared" si="12"/>
        <v>94386066.890000001</v>
      </c>
      <c r="BD30" s="82">
        <f t="shared" si="13"/>
        <v>101115922.5</v>
      </c>
      <c r="BE30" s="83">
        <f t="shared" si="14"/>
        <v>107237048.64</v>
      </c>
    </row>
    <row r="31" spans="1:275" x14ac:dyDescent="0.25">
      <c r="A31" s="37" t="s">
        <v>66</v>
      </c>
      <c r="B31" s="37" t="str" cm="1">
        <f t="array" ref="B31">_xlfn.IFS(LEFT(A31,1)="E","Expense",LEFT(A31,1)="R","Revenue")</f>
        <v>Expense</v>
      </c>
      <c r="C31" s="37" t="str">
        <f>VLOOKUP(MID(A31,2,2),$C$69:$D$79,2,FALSE)</f>
        <v>Staff</v>
      </c>
      <c r="D31" s="37" t="str">
        <f>VLOOKUP(MID(A31,4,4),'Code Breakdown'!$I$2:$J$44,2,FALSE)</f>
        <v>Offshore - base</v>
      </c>
      <c r="E31" s="69">
        <v>536790.82999999996</v>
      </c>
      <c r="F31" s="69">
        <v>585590</v>
      </c>
      <c r="G31" s="69">
        <v>495499.23</v>
      </c>
      <c r="H31" s="69">
        <v>495499.23</v>
      </c>
      <c r="I31" s="69">
        <v>536790.82999999996</v>
      </c>
      <c r="J31" s="69">
        <v>585590</v>
      </c>
      <c r="K31" s="69">
        <v>495499.23</v>
      </c>
      <c r="L31" s="69">
        <v>536790.82999999996</v>
      </c>
      <c r="M31" s="69">
        <v>524046</v>
      </c>
      <c r="N31" s="69">
        <v>495499.23</v>
      </c>
      <c r="O31" s="69">
        <v>536790.82999999996</v>
      </c>
      <c r="P31" s="72">
        <v>495499.23</v>
      </c>
      <c r="Q31" s="69">
        <v>515319.2</v>
      </c>
      <c r="R31" s="69">
        <v>558262.47</v>
      </c>
      <c r="S31" s="69">
        <v>609013.6</v>
      </c>
      <c r="T31" s="69">
        <v>515319.2</v>
      </c>
      <c r="U31" s="69">
        <v>609013.6</v>
      </c>
      <c r="V31" s="69">
        <v>515319.2</v>
      </c>
      <c r="W31" s="69">
        <v>515319.2</v>
      </c>
      <c r="X31" s="69">
        <v>515319.2</v>
      </c>
      <c r="Y31" s="69">
        <v>612917.53</v>
      </c>
      <c r="Z31" s="69">
        <v>609013.6</v>
      </c>
      <c r="AA31" s="69">
        <v>609013.6</v>
      </c>
      <c r="AB31" s="72">
        <v>515319.2</v>
      </c>
      <c r="AC31" s="69">
        <v>609013.6</v>
      </c>
      <c r="AD31" s="69">
        <v>609013.6</v>
      </c>
      <c r="AE31" s="69">
        <v>609013.6</v>
      </c>
      <c r="AF31" s="69">
        <v>515319.2</v>
      </c>
      <c r="AG31" s="69">
        <v>515319.2</v>
      </c>
      <c r="AH31" s="69">
        <v>558262.47</v>
      </c>
      <c r="AI31" s="69">
        <v>558262.47</v>
      </c>
      <c r="AJ31" s="69">
        <v>609013.6</v>
      </c>
      <c r="AK31" s="69">
        <v>658359.31999999995</v>
      </c>
      <c r="AL31" s="69">
        <v>609013.6</v>
      </c>
      <c r="AM31" s="69">
        <v>558262.47</v>
      </c>
      <c r="AN31" s="72">
        <v>558262.47</v>
      </c>
      <c r="AP31" s="81">
        <f t="shared" si="0"/>
        <v>1617880.06</v>
      </c>
      <c r="AQ31" s="82">
        <f t="shared" si="1"/>
        <v>1617880.06</v>
      </c>
      <c r="AR31" s="82">
        <f t="shared" si="2"/>
        <v>1556336.06</v>
      </c>
      <c r="AS31" s="83">
        <f t="shared" si="3"/>
        <v>1527789.29</v>
      </c>
      <c r="AT31" s="81">
        <f t="shared" si="4"/>
        <v>1682595.27</v>
      </c>
      <c r="AU31" s="82">
        <f t="shared" si="5"/>
        <v>1639652</v>
      </c>
      <c r="AV31" s="82">
        <f t="shared" si="6"/>
        <v>1643555.9300000002</v>
      </c>
      <c r="AW31" s="83">
        <f t="shared" si="7"/>
        <v>1733346.4</v>
      </c>
      <c r="AX31" s="81">
        <f t="shared" si="8"/>
        <v>1827040.7999999998</v>
      </c>
      <c r="AY31" s="82">
        <f t="shared" si="9"/>
        <v>1588900.87</v>
      </c>
      <c r="AZ31" s="82">
        <f t="shared" si="10"/>
        <v>1825635.3899999997</v>
      </c>
      <c r="BA31" s="83">
        <f t="shared" si="11"/>
        <v>1725538.5399999998</v>
      </c>
      <c r="BC31" s="81">
        <f t="shared" si="12"/>
        <v>6319885.4699999997</v>
      </c>
      <c r="BD31" s="82">
        <f t="shared" si="13"/>
        <v>6699149.5999999996</v>
      </c>
      <c r="BE31" s="83">
        <f t="shared" si="14"/>
        <v>6967115.5999999996</v>
      </c>
    </row>
    <row r="32" spans="1:275" x14ac:dyDescent="0.25">
      <c r="A32" s="5" t="s">
        <v>94</v>
      </c>
      <c r="B32" s="37" t="str" cm="1">
        <f t="array" ref="B32">_xlfn.IFS(LEFT(A32,1)="E","Expense",LEFT(A32,1)="R","Revenue")</f>
        <v>Expense</v>
      </c>
      <c r="C32" s="37" t="str">
        <f>VLOOKUP(MID(A32,2,2),$C$69:$D$79,2,FALSE)</f>
        <v>Other</v>
      </c>
      <c r="D32" s="37" t="str">
        <f>VLOOKUP(MID(A32,4,4),'Code Breakdown'!$I$2:$J$44,2,FALSE)</f>
        <v>Other General</v>
      </c>
      <c r="E32" s="69">
        <v>35038.5</v>
      </c>
      <c r="F32" s="69">
        <v>37733.769999999997</v>
      </c>
      <c r="G32" s="69">
        <v>44594.45</v>
      </c>
      <c r="H32" s="69">
        <v>49053.9</v>
      </c>
      <c r="I32" s="69">
        <v>40878.25</v>
      </c>
      <c r="J32" s="69">
        <v>35038.5</v>
      </c>
      <c r="K32" s="69">
        <v>44594.45</v>
      </c>
      <c r="L32" s="69">
        <v>40878.25</v>
      </c>
      <c r="M32" s="69">
        <v>40902.75</v>
      </c>
      <c r="N32" s="69">
        <v>35038.5</v>
      </c>
      <c r="O32" s="69">
        <v>37733.769999999997</v>
      </c>
      <c r="P32" s="72">
        <v>49053.9</v>
      </c>
      <c r="Q32" s="69">
        <v>38865.78</v>
      </c>
      <c r="R32" s="69">
        <v>36089.660000000003</v>
      </c>
      <c r="S32" s="69">
        <v>50525.52</v>
      </c>
      <c r="T32" s="69">
        <v>50525.52</v>
      </c>
      <c r="U32" s="69">
        <v>42104.6</v>
      </c>
      <c r="V32" s="69">
        <v>42104.6</v>
      </c>
      <c r="W32" s="69">
        <v>36089.660000000003</v>
      </c>
      <c r="X32" s="69">
        <v>50525.52</v>
      </c>
      <c r="Y32" s="69">
        <v>41364.300000000003</v>
      </c>
      <c r="Z32" s="69">
        <v>38865.78</v>
      </c>
      <c r="AA32" s="69">
        <v>42104.6</v>
      </c>
      <c r="AB32" s="72">
        <v>36089.660000000003</v>
      </c>
      <c r="AC32" s="69">
        <v>50525.52</v>
      </c>
      <c r="AD32" s="69">
        <v>36089.660000000003</v>
      </c>
      <c r="AE32" s="69">
        <v>45932.29</v>
      </c>
      <c r="AF32" s="69">
        <v>45932.29</v>
      </c>
      <c r="AG32" s="69">
        <v>38865.78</v>
      </c>
      <c r="AH32" s="69">
        <v>45932.29</v>
      </c>
      <c r="AI32" s="69">
        <v>42104.6</v>
      </c>
      <c r="AJ32" s="69">
        <v>42104.6</v>
      </c>
      <c r="AK32" s="69">
        <v>58142.2</v>
      </c>
      <c r="AL32" s="69">
        <v>38865.78</v>
      </c>
      <c r="AM32" s="69">
        <v>38865.78</v>
      </c>
      <c r="AN32" s="72">
        <v>42104.6</v>
      </c>
      <c r="AP32" s="81">
        <f t="shared" si="0"/>
        <v>117366.71999999999</v>
      </c>
      <c r="AQ32" s="82">
        <f t="shared" si="1"/>
        <v>124970.65</v>
      </c>
      <c r="AR32" s="82">
        <f t="shared" si="2"/>
        <v>126375.45</v>
      </c>
      <c r="AS32" s="83">
        <f t="shared" si="3"/>
        <v>121826.16999999998</v>
      </c>
      <c r="AT32" s="81">
        <f t="shared" si="4"/>
        <v>125480.95999999999</v>
      </c>
      <c r="AU32" s="82">
        <f t="shared" si="5"/>
        <v>134734.72</v>
      </c>
      <c r="AV32" s="82">
        <f t="shared" si="6"/>
        <v>127979.48</v>
      </c>
      <c r="AW32" s="83">
        <f t="shared" si="7"/>
        <v>117060.04000000001</v>
      </c>
      <c r="AX32" s="81">
        <f t="shared" si="8"/>
        <v>132547.47</v>
      </c>
      <c r="AY32" s="82">
        <f t="shared" si="9"/>
        <v>130730.36000000002</v>
      </c>
      <c r="AZ32" s="82">
        <f t="shared" si="10"/>
        <v>142351.4</v>
      </c>
      <c r="BA32" s="83">
        <f t="shared" si="11"/>
        <v>119836.16</v>
      </c>
      <c r="BC32" s="81">
        <f t="shared" si="12"/>
        <v>490538.99</v>
      </c>
      <c r="BD32" s="82">
        <f t="shared" si="13"/>
        <v>505255.19999999995</v>
      </c>
      <c r="BE32" s="83">
        <f t="shared" si="14"/>
        <v>525465.39</v>
      </c>
    </row>
    <row r="33" spans="1:275" x14ac:dyDescent="0.25">
      <c r="A33" s="5" t="s">
        <v>62</v>
      </c>
      <c r="B33" s="37" t="str" cm="1">
        <f t="array" ref="B33">_xlfn.IFS(LEFT(A33,1)="E","Expense",LEFT(A33,1)="R","Revenue")</f>
        <v>Revenue</v>
      </c>
      <c r="C33" s="37" t="str">
        <f>VLOOKUP(MID(A33,2,2),$C$69:$D$79,2,FALSE)</f>
        <v>Non-core</v>
      </c>
      <c r="D33" s="37" t="str">
        <f>VLOOKUP(MID(A33,4,4),'Code Breakdown'!$I$2:$J$44,2,FALSE)</f>
        <v>Other - non-recurring</v>
      </c>
      <c r="E33" s="69">
        <v>145688</v>
      </c>
      <c r="F33" s="69">
        <v>123274.46</v>
      </c>
      <c r="G33" s="69">
        <v>114469.14</v>
      </c>
      <c r="H33" s="69">
        <v>160256.79999999999</v>
      </c>
      <c r="I33" s="69">
        <v>133547.32999999999</v>
      </c>
      <c r="J33" s="69">
        <v>145688</v>
      </c>
      <c r="K33" s="69">
        <v>145688</v>
      </c>
      <c r="L33" s="69">
        <v>145688</v>
      </c>
      <c r="M33" s="69">
        <v>48776.13</v>
      </c>
      <c r="N33" s="69">
        <v>160256.79999999999</v>
      </c>
      <c r="O33" s="69">
        <v>145688</v>
      </c>
      <c r="P33" s="72">
        <v>133547.32999999999</v>
      </c>
      <c r="Q33" s="69">
        <v>169872.21</v>
      </c>
      <c r="R33" s="69">
        <v>121337.29</v>
      </c>
      <c r="S33" s="69">
        <v>169872.21</v>
      </c>
      <c r="T33" s="69">
        <v>141560.17000000001</v>
      </c>
      <c r="U33" s="69">
        <v>130670.93</v>
      </c>
      <c r="V33" s="69">
        <v>154429.28</v>
      </c>
      <c r="W33" s="69">
        <v>169872.21</v>
      </c>
      <c r="X33" s="69">
        <v>121337.29</v>
      </c>
      <c r="Y33" s="69">
        <v>135535.73000000001</v>
      </c>
      <c r="Z33" s="69">
        <v>141560.17000000001</v>
      </c>
      <c r="AA33" s="69">
        <v>121337.29</v>
      </c>
      <c r="AB33" s="72">
        <v>121337.29</v>
      </c>
      <c r="AC33" s="69">
        <v>121337.29</v>
      </c>
      <c r="AD33" s="69">
        <v>130670.93</v>
      </c>
      <c r="AE33" s="69">
        <v>154429.28</v>
      </c>
      <c r="AF33" s="69">
        <v>154429.28</v>
      </c>
      <c r="AG33" s="69">
        <v>154429.28</v>
      </c>
      <c r="AH33" s="69">
        <v>121337.29</v>
      </c>
      <c r="AI33" s="69">
        <v>121337.29</v>
      </c>
      <c r="AJ33" s="69">
        <v>154429.28</v>
      </c>
      <c r="AK33" s="69">
        <v>289461.56</v>
      </c>
      <c r="AL33" s="69">
        <v>130670.93</v>
      </c>
      <c r="AM33" s="69">
        <v>154429.28</v>
      </c>
      <c r="AN33" s="72">
        <v>130670.93</v>
      </c>
      <c r="AP33" s="81">
        <f t="shared" si="0"/>
        <v>383431.60000000003</v>
      </c>
      <c r="AQ33" s="82">
        <f t="shared" si="1"/>
        <v>439492.13</v>
      </c>
      <c r="AR33" s="82">
        <f t="shared" si="2"/>
        <v>340152.13</v>
      </c>
      <c r="AS33" s="83">
        <f t="shared" si="3"/>
        <v>439492.13</v>
      </c>
      <c r="AT33" s="81">
        <f t="shared" si="4"/>
        <v>461081.70999999996</v>
      </c>
      <c r="AU33" s="82">
        <f t="shared" si="5"/>
        <v>426660.38</v>
      </c>
      <c r="AV33" s="82">
        <f t="shared" si="6"/>
        <v>426745.23</v>
      </c>
      <c r="AW33" s="83">
        <f t="shared" si="7"/>
        <v>384234.75</v>
      </c>
      <c r="AX33" s="81">
        <f t="shared" si="8"/>
        <v>406437.5</v>
      </c>
      <c r="AY33" s="82">
        <f t="shared" si="9"/>
        <v>430195.85</v>
      </c>
      <c r="AZ33" s="82">
        <f t="shared" si="10"/>
        <v>565228.13</v>
      </c>
      <c r="BA33" s="83">
        <f t="shared" si="11"/>
        <v>415771.13999999996</v>
      </c>
      <c r="BC33" s="81">
        <f t="shared" si="12"/>
        <v>1602567.9899999998</v>
      </c>
      <c r="BD33" s="82">
        <f t="shared" si="13"/>
        <v>1698722.0699999998</v>
      </c>
      <c r="BE33" s="83">
        <f t="shared" si="14"/>
        <v>1817632.6199999999</v>
      </c>
    </row>
    <row r="34" spans="1:275" x14ac:dyDescent="0.25">
      <c r="A34" s="5" t="s">
        <v>96</v>
      </c>
      <c r="B34" s="37" t="str" cm="1">
        <f t="array" ref="B34">_xlfn.IFS(LEFT(A34,1)="E","Expense",LEFT(A34,1)="R","Revenue")</f>
        <v>Expense</v>
      </c>
      <c r="C34" s="37" t="str">
        <f>VLOOKUP(MID(A34,2,2),$C$69:$D$79,2,FALSE)</f>
        <v>Other</v>
      </c>
      <c r="D34" s="37" t="str">
        <f>VLOOKUP(MID(A34,4,4),'Code Breakdown'!$I$2:$J$44,2,FALSE)</f>
        <v>Intercompany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72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69">
        <v>0</v>
      </c>
      <c r="AB34" s="72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69">
        <v>0</v>
      </c>
      <c r="AK34" s="69">
        <v>0</v>
      </c>
      <c r="AL34" s="69">
        <v>0</v>
      </c>
      <c r="AM34" s="69">
        <v>0</v>
      </c>
      <c r="AN34" s="72">
        <v>0</v>
      </c>
      <c r="AP34" s="81">
        <f t="shared" si="0"/>
        <v>0</v>
      </c>
      <c r="AQ34" s="82">
        <f t="shared" si="1"/>
        <v>0</v>
      </c>
      <c r="AR34" s="82">
        <f t="shared" si="2"/>
        <v>0</v>
      </c>
      <c r="AS34" s="83">
        <f t="shared" si="3"/>
        <v>0</v>
      </c>
      <c r="AT34" s="81">
        <f t="shared" si="4"/>
        <v>0</v>
      </c>
      <c r="AU34" s="82">
        <f t="shared" si="5"/>
        <v>0</v>
      </c>
      <c r="AV34" s="82">
        <f t="shared" si="6"/>
        <v>0</v>
      </c>
      <c r="AW34" s="83">
        <f t="shared" si="7"/>
        <v>0</v>
      </c>
      <c r="AX34" s="81">
        <f t="shared" si="8"/>
        <v>0</v>
      </c>
      <c r="AY34" s="82">
        <f t="shared" si="9"/>
        <v>0</v>
      </c>
      <c r="AZ34" s="82">
        <f t="shared" si="10"/>
        <v>0</v>
      </c>
      <c r="BA34" s="83">
        <f t="shared" si="11"/>
        <v>0</v>
      </c>
      <c r="BC34" s="81">
        <f t="shared" si="12"/>
        <v>0</v>
      </c>
      <c r="BD34" s="82">
        <f t="shared" si="13"/>
        <v>0</v>
      </c>
      <c r="BE34" s="83">
        <f t="shared" si="14"/>
        <v>0</v>
      </c>
    </row>
    <row r="35" spans="1:275" x14ac:dyDescent="0.25">
      <c r="A35" s="5" t="s">
        <v>79</v>
      </c>
      <c r="B35" s="37" t="str" cm="1">
        <f t="array" ref="B35">_xlfn.IFS(LEFT(A35,1)="E","Expense",LEFT(A35,1)="R","Revenue")</f>
        <v>Expense</v>
      </c>
      <c r="C35" s="37" t="str">
        <f>VLOOKUP(MID(A35,2,2),$C$69:$D$79,2,FALSE)</f>
        <v>IT</v>
      </c>
      <c r="D35" s="37" t="str">
        <f>VLOOKUP(MID(A35,4,4),'Code Breakdown'!$I$2:$J$44,2,FALSE)</f>
        <v>Disaster Recovery</v>
      </c>
      <c r="E35" s="69">
        <v>154284</v>
      </c>
      <c r="F35" s="69">
        <v>154284</v>
      </c>
      <c r="G35" s="69">
        <v>132243.43</v>
      </c>
      <c r="H35" s="69">
        <v>168309.82</v>
      </c>
      <c r="I35" s="69">
        <v>132243.43</v>
      </c>
      <c r="J35" s="69">
        <v>142416</v>
      </c>
      <c r="K35" s="69">
        <v>132243.43</v>
      </c>
      <c r="L35" s="69">
        <v>154284</v>
      </c>
      <c r="M35" s="69">
        <v>211127.1</v>
      </c>
      <c r="N35" s="69">
        <v>185140.8</v>
      </c>
      <c r="O35" s="69">
        <v>142416</v>
      </c>
      <c r="P35" s="72">
        <v>142416</v>
      </c>
      <c r="Q35" s="69">
        <v>171676.01</v>
      </c>
      <c r="R35" s="69">
        <v>188843.62</v>
      </c>
      <c r="S35" s="69">
        <v>188843.62</v>
      </c>
      <c r="T35" s="69">
        <v>145264.32000000001</v>
      </c>
      <c r="U35" s="69">
        <v>171676.01</v>
      </c>
      <c r="V35" s="69">
        <v>188843.62</v>
      </c>
      <c r="W35" s="69">
        <v>188843.62</v>
      </c>
      <c r="X35" s="69">
        <v>171676.01</v>
      </c>
      <c r="Y35" s="69">
        <v>47352.4</v>
      </c>
      <c r="Z35" s="69">
        <v>134888.29999999999</v>
      </c>
      <c r="AA35" s="69">
        <v>145264.32000000001</v>
      </c>
      <c r="AB35" s="72">
        <v>145264.32000000001</v>
      </c>
      <c r="AC35" s="69">
        <v>188843.62</v>
      </c>
      <c r="AD35" s="69">
        <v>157369.68</v>
      </c>
      <c r="AE35" s="69">
        <v>171676.01</v>
      </c>
      <c r="AF35" s="69">
        <v>188843.62</v>
      </c>
      <c r="AG35" s="69">
        <v>157369.68</v>
      </c>
      <c r="AH35" s="69">
        <v>188843.62</v>
      </c>
      <c r="AI35" s="69">
        <v>171676.01</v>
      </c>
      <c r="AJ35" s="69">
        <v>134888.29999999999</v>
      </c>
      <c r="AK35" s="69">
        <v>175682</v>
      </c>
      <c r="AL35" s="69">
        <v>171676.01</v>
      </c>
      <c r="AM35" s="69">
        <v>188843.62</v>
      </c>
      <c r="AN35" s="72">
        <v>145264.32000000001</v>
      </c>
      <c r="AP35" s="81">
        <f t="shared" si="0"/>
        <v>440811.43</v>
      </c>
      <c r="AQ35" s="82">
        <f t="shared" si="1"/>
        <v>442969.25</v>
      </c>
      <c r="AR35" s="82">
        <f t="shared" si="2"/>
        <v>497654.53</v>
      </c>
      <c r="AS35" s="83">
        <f t="shared" si="3"/>
        <v>469972.8</v>
      </c>
      <c r="AT35" s="81">
        <f t="shared" si="4"/>
        <v>549363.25</v>
      </c>
      <c r="AU35" s="82">
        <f t="shared" si="5"/>
        <v>505783.95</v>
      </c>
      <c r="AV35" s="82">
        <f t="shared" si="6"/>
        <v>407872.03</v>
      </c>
      <c r="AW35" s="83">
        <f t="shared" si="7"/>
        <v>425416.94</v>
      </c>
      <c r="AX35" s="81">
        <f t="shared" si="8"/>
        <v>517889.31</v>
      </c>
      <c r="AY35" s="82">
        <f t="shared" si="9"/>
        <v>535056.91999999993</v>
      </c>
      <c r="AZ35" s="82">
        <f t="shared" si="10"/>
        <v>482246.31</v>
      </c>
      <c r="BA35" s="83">
        <f t="shared" si="11"/>
        <v>505783.95</v>
      </c>
      <c r="BC35" s="81">
        <f t="shared" si="12"/>
        <v>1851408.01</v>
      </c>
      <c r="BD35" s="82">
        <f t="shared" si="13"/>
        <v>1888436.17</v>
      </c>
      <c r="BE35" s="83">
        <f t="shared" si="14"/>
        <v>2040976.49</v>
      </c>
    </row>
    <row r="36" spans="1:275" x14ac:dyDescent="0.25">
      <c r="A36" s="37" t="s">
        <v>76</v>
      </c>
      <c r="B36" s="37" t="str" cm="1">
        <f t="array" ref="B36">_xlfn.IFS(LEFT(A36,1)="E","Expense",LEFT(A36,1)="R","Revenue")</f>
        <v>Expense</v>
      </c>
      <c r="C36" s="37" t="str">
        <f>VLOOKUP(MID(A36,2,2),$C$69:$D$79,2,FALSE)</f>
        <v>Facilities</v>
      </c>
      <c r="D36" s="37" t="str">
        <f>VLOOKUP(MID(A36,4,4),'Code Breakdown'!$I$2:$J$44,2,FALSE)</f>
        <v>Cleaning</v>
      </c>
      <c r="E36" s="69">
        <v>229064.67</v>
      </c>
      <c r="F36" s="69">
        <v>224483.37</v>
      </c>
      <c r="G36" s="69">
        <v>229064.67</v>
      </c>
      <c r="H36" s="69">
        <v>224483.37</v>
      </c>
      <c r="I36" s="69">
        <v>224483.37</v>
      </c>
      <c r="J36" s="69">
        <v>226774.02</v>
      </c>
      <c r="K36" s="69">
        <v>233645.96</v>
      </c>
      <c r="L36" s="69">
        <v>224483.37</v>
      </c>
      <c r="M36" s="69">
        <v>247389.84</v>
      </c>
      <c r="N36" s="69">
        <v>231355.31</v>
      </c>
      <c r="O36" s="69">
        <v>226774.02</v>
      </c>
      <c r="P36" s="72">
        <v>226774.02</v>
      </c>
      <c r="Q36" s="69">
        <v>242991.8</v>
      </c>
      <c r="R36" s="69">
        <v>240609.53</v>
      </c>
      <c r="S36" s="69">
        <v>238227.25</v>
      </c>
      <c r="T36" s="69">
        <v>240609.53</v>
      </c>
      <c r="U36" s="69">
        <v>240609.53</v>
      </c>
      <c r="V36" s="69">
        <v>235844.98</v>
      </c>
      <c r="W36" s="69">
        <v>238227.25</v>
      </c>
      <c r="X36" s="69">
        <v>235844.98</v>
      </c>
      <c r="Y36" s="69">
        <v>231080.44</v>
      </c>
      <c r="Z36" s="69">
        <v>240609.53</v>
      </c>
      <c r="AA36" s="69">
        <v>233462.71</v>
      </c>
      <c r="AB36" s="72">
        <v>240609.53</v>
      </c>
      <c r="AC36" s="69">
        <v>235844.98</v>
      </c>
      <c r="AD36" s="69">
        <v>240609.53</v>
      </c>
      <c r="AE36" s="69">
        <v>235844.98</v>
      </c>
      <c r="AF36" s="69">
        <v>240609.53</v>
      </c>
      <c r="AG36" s="69">
        <v>238227.25</v>
      </c>
      <c r="AH36" s="69">
        <v>240609.53</v>
      </c>
      <c r="AI36" s="69">
        <v>242991.8</v>
      </c>
      <c r="AJ36" s="69">
        <v>233462.71</v>
      </c>
      <c r="AK36" s="69">
        <v>281108.15999999997</v>
      </c>
      <c r="AL36" s="69">
        <v>240609.53</v>
      </c>
      <c r="AM36" s="69">
        <v>242991.8</v>
      </c>
      <c r="AN36" s="72">
        <v>242991.8</v>
      </c>
      <c r="AP36" s="81">
        <f t="shared" si="0"/>
        <v>682612.71000000008</v>
      </c>
      <c r="AQ36" s="82">
        <f t="shared" si="1"/>
        <v>675740.76</v>
      </c>
      <c r="AR36" s="82">
        <f t="shared" si="2"/>
        <v>705519.16999999993</v>
      </c>
      <c r="AS36" s="83">
        <f t="shared" si="3"/>
        <v>684903.35</v>
      </c>
      <c r="AT36" s="81">
        <f t="shared" si="4"/>
        <v>721828.58</v>
      </c>
      <c r="AU36" s="82">
        <f t="shared" si="5"/>
        <v>717064.04</v>
      </c>
      <c r="AV36" s="82">
        <f t="shared" si="6"/>
        <v>705152.66999999993</v>
      </c>
      <c r="AW36" s="83">
        <f t="shared" si="7"/>
        <v>714681.77</v>
      </c>
      <c r="AX36" s="81">
        <f t="shared" si="8"/>
        <v>712299.49</v>
      </c>
      <c r="AY36" s="82">
        <f t="shared" si="9"/>
        <v>719446.31</v>
      </c>
      <c r="AZ36" s="82">
        <f t="shared" si="10"/>
        <v>757562.66999999993</v>
      </c>
      <c r="BA36" s="83">
        <f t="shared" si="11"/>
        <v>726593.12999999989</v>
      </c>
      <c r="BC36" s="81">
        <f t="shared" si="12"/>
        <v>2748775.99</v>
      </c>
      <c r="BD36" s="82">
        <f t="shared" si="13"/>
        <v>2858727.06</v>
      </c>
      <c r="BE36" s="83">
        <f t="shared" si="14"/>
        <v>2915901.5999999996</v>
      </c>
    </row>
    <row r="37" spans="1:275" s="37" customFormat="1" x14ac:dyDescent="0.25">
      <c r="A37" s="5" t="s">
        <v>82</v>
      </c>
      <c r="B37" s="37" t="str" cm="1">
        <f t="array" ref="B37">_xlfn.IFS(LEFT(A37,1)="E","Expense",LEFT(A37,1)="R","Revenue")</f>
        <v>Expense</v>
      </c>
      <c r="C37" s="37" t="str">
        <f>VLOOKUP(MID(A37,2,2),$C$69:$D$79,2,FALSE)</f>
        <v>Travel &amp; Entertainment</v>
      </c>
      <c r="D37" s="37" t="str">
        <f>VLOOKUP(MID(A37,4,4),'Code Breakdown'!$I$2:$J$44,2,FALSE)</f>
        <v>Travel</v>
      </c>
      <c r="E37" s="69">
        <v>276034.28999999998</v>
      </c>
      <c r="F37" s="69">
        <v>276034.28999999998</v>
      </c>
      <c r="G37" s="69">
        <v>276034.28999999998</v>
      </c>
      <c r="H37" s="69">
        <v>386448</v>
      </c>
      <c r="I37" s="69">
        <v>386448</v>
      </c>
      <c r="J37" s="69">
        <v>297267.69</v>
      </c>
      <c r="K37" s="69">
        <v>322040</v>
      </c>
      <c r="L37" s="69">
        <v>276034.28999999998</v>
      </c>
      <c r="M37" s="69">
        <v>362383.47</v>
      </c>
      <c r="N37" s="69">
        <v>322040</v>
      </c>
      <c r="O37" s="69">
        <v>297267.69</v>
      </c>
      <c r="P37" s="72">
        <v>386448</v>
      </c>
      <c r="Q37" s="69">
        <v>394176.96</v>
      </c>
      <c r="R37" s="69">
        <v>328480.8</v>
      </c>
      <c r="S37" s="69">
        <v>328480.8</v>
      </c>
      <c r="T37" s="69">
        <v>303213.05</v>
      </c>
      <c r="U37" s="69">
        <v>328480.8</v>
      </c>
      <c r="V37" s="69">
        <v>303213.05</v>
      </c>
      <c r="W37" s="69">
        <v>394176.96</v>
      </c>
      <c r="X37" s="69">
        <v>358342.69</v>
      </c>
      <c r="Y37" s="69">
        <v>387426</v>
      </c>
      <c r="Z37" s="69">
        <v>328480.8</v>
      </c>
      <c r="AA37" s="69">
        <v>394176.96</v>
      </c>
      <c r="AB37" s="72">
        <v>358342.69</v>
      </c>
      <c r="AC37" s="69">
        <v>328480.8</v>
      </c>
      <c r="AD37" s="69">
        <v>303213.05</v>
      </c>
      <c r="AE37" s="69">
        <v>358342.69</v>
      </c>
      <c r="AF37" s="69">
        <v>394176.96</v>
      </c>
      <c r="AG37" s="69">
        <v>303213.05</v>
      </c>
      <c r="AH37" s="69">
        <v>394176.96</v>
      </c>
      <c r="AI37" s="69">
        <v>358342.69</v>
      </c>
      <c r="AJ37" s="69">
        <v>281554.96999999997</v>
      </c>
      <c r="AK37" s="69">
        <v>218103.38</v>
      </c>
      <c r="AL37" s="69">
        <v>394176.96</v>
      </c>
      <c r="AM37" s="69">
        <v>328480.8</v>
      </c>
      <c r="AN37" s="72">
        <v>358342.69</v>
      </c>
      <c r="AO37" s="5"/>
      <c r="AP37" s="81">
        <f t="shared" si="0"/>
        <v>828102.86999999988</v>
      </c>
      <c r="AQ37" s="82">
        <f t="shared" si="1"/>
        <v>1070163.69</v>
      </c>
      <c r="AR37" s="82">
        <f t="shared" si="2"/>
        <v>960457.76</v>
      </c>
      <c r="AS37" s="83">
        <f t="shared" si="3"/>
        <v>1005755.69</v>
      </c>
      <c r="AT37" s="81">
        <f t="shared" si="4"/>
        <v>1051138.5600000001</v>
      </c>
      <c r="AU37" s="82">
        <f t="shared" si="5"/>
        <v>934906.89999999991</v>
      </c>
      <c r="AV37" s="82">
        <f t="shared" si="6"/>
        <v>1139945.6499999999</v>
      </c>
      <c r="AW37" s="83">
        <f t="shared" si="7"/>
        <v>1081000.45</v>
      </c>
      <c r="AX37" s="81">
        <f t="shared" si="8"/>
        <v>990036.54</v>
      </c>
      <c r="AY37" s="82">
        <f t="shared" si="9"/>
        <v>1091566.97</v>
      </c>
      <c r="AZ37" s="82">
        <f t="shared" si="10"/>
        <v>858001.03999999992</v>
      </c>
      <c r="BA37" s="83">
        <f t="shared" si="11"/>
        <v>1081000.45</v>
      </c>
      <c r="BB37" s="5"/>
      <c r="BC37" s="81">
        <f t="shared" si="12"/>
        <v>3864480.01</v>
      </c>
      <c r="BD37" s="82">
        <f t="shared" si="13"/>
        <v>4206991.5599999996</v>
      </c>
      <c r="BE37" s="83">
        <f t="shared" si="14"/>
        <v>4020605</v>
      </c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</row>
    <row r="38" spans="1:275" x14ac:dyDescent="0.25">
      <c r="A38" s="5" t="s">
        <v>89</v>
      </c>
      <c r="B38" s="37" t="str" cm="1">
        <f t="array" ref="B38">_xlfn.IFS(LEFT(A38,1)="E","Expense",LEFT(A38,1)="R","Revenue")</f>
        <v>Expense</v>
      </c>
      <c r="C38" s="37" t="str">
        <f>VLOOKUP(MID(A38,2,2),$C$69:$D$79,2,FALSE)</f>
        <v>Other</v>
      </c>
      <c r="D38" s="37" t="str">
        <f>VLOOKUP(MID(A38,4,4),'Code Breakdown'!$I$2:$J$44,2,FALSE)</f>
        <v>Marketing</v>
      </c>
      <c r="E38" s="69">
        <v>1237097</v>
      </c>
      <c r="F38" s="69">
        <v>1574487.09</v>
      </c>
      <c r="G38" s="69">
        <v>1332258.31</v>
      </c>
      <c r="H38" s="69">
        <v>1237097</v>
      </c>
      <c r="I38" s="69">
        <v>1443279.83</v>
      </c>
      <c r="J38" s="69">
        <v>1574487.09</v>
      </c>
      <c r="K38" s="69">
        <v>1731935.8</v>
      </c>
      <c r="L38" s="69">
        <v>1443279.83</v>
      </c>
      <c r="M38" s="69">
        <v>1333123.4099999999</v>
      </c>
      <c r="N38" s="69">
        <v>1237097</v>
      </c>
      <c r="O38" s="69">
        <v>1731935.8</v>
      </c>
      <c r="P38" s="72">
        <v>1443279.83</v>
      </c>
      <c r="Q38" s="69">
        <v>1486578.23</v>
      </c>
      <c r="R38" s="69">
        <v>1486578.23</v>
      </c>
      <c r="S38" s="69">
        <v>1621721.7</v>
      </c>
      <c r="T38" s="69">
        <v>1372226.06</v>
      </c>
      <c r="U38" s="69">
        <v>1274209.9099999999</v>
      </c>
      <c r="V38" s="69">
        <v>1621721.7</v>
      </c>
      <c r="W38" s="69">
        <v>1274209.9099999999</v>
      </c>
      <c r="X38" s="69">
        <v>1486578.23</v>
      </c>
      <c r="Y38" s="69">
        <v>1670432.76</v>
      </c>
      <c r="Z38" s="69">
        <v>1486578.23</v>
      </c>
      <c r="AA38" s="69">
        <v>1274209.9099999999</v>
      </c>
      <c r="AB38" s="72">
        <v>1783893.87</v>
      </c>
      <c r="AC38" s="69">
        <v>1621721.7</v>
      </c>
      <c r="AD38" s="69">
        <v>1486578.23</v>
      </c>
      <c r="AE38" s="69">
        <v>1274209.9099999999</v>
      </c>
      <c r="AF38" s="69">
        <v>1486578.23</v>
      </c>
      <c r="AG38" s="69">
        <v>1621721.7</v>
      </c>
      <c r="AH38" s="69">
        <v>1486578.23</v>
      </c>
      <c r="AI38" s="69">
        <v>1274209.9099999999</v>
      </c>
      <c r="AJ38" s="69">
        <v>1274209.9099999999</v>
      </c>
      <c r="AK38" s="69">
        <v>2303617.0699999998</v>
      </c>
      <c r="AL38" s="69">
        <v>1783893.87</v>
      </c>
      <c r="AM38" s="69">
        <v>1274209.9099999999</v>
      </c>
      <c r="AN38" s="72">
        <v>1486578.23</v>
      </c>
      <c r="AP38" s="81">
        <f t="shared" si="0"/>
        <v>4143842.4</v>
      </c>
      <c r="AQ38" s="82">
        <f t="shared" si="1"/>
        <v>4254863.92</v>
      </c>
      <c r="AR38" s="82">
        <f t="shared" si="2"/>
        <v>4508339.04</v>
      </c>
      <c r="AS38" s="83">
        <f t="shared" si="3"/>
        <v>4412312.63</v>
      </c>
      <c r="AT38" s="81">
        <f t="shared" si="4"/>
        <v>4594878.16</v>
      </c>
      <c r="AU38" s="82">
        <f t="shared" si="5"/>
        <v>4268157.67</v>
      </c>
      <c r="AV38" s="82">
        <f t="shared" si="6"/>
        <v>4431220.8999999994</v>
      </c>
      <c r="AW38" s="83">
        <f t="shared" si="7"/>
        <v>4544682.01</v>
      </c>
      <c r="AX38" s="81">
        <f t="shared" si="8"/>
        <v>4382509.84</v>
      </c>
      <c r="AY38" s="82">
        <f t="shared" si="9"/>
        <v>4594878.16</v>
      </c>
      <c r="AZ38" s="82">
        <f t="shared" si="10"/>
        <v>4852036.8899999997</v>
      </c>
      <c r="BA38" s="83">
        <f t="shared" si="11"/>
        <v>4544682.01</v>
      </c>
      <c r="BC38" s="81">
        <f t="shared" si="12"/>
        <v>17319357.989999998</v>
      </c>
      <c r="BD38" s="82">
        <f t="shared" si="13"/>
        <v>17838938.740000002</v>
      </c>
      <c r="BE38" s="83">
        <f t="shared" si="14"/>
        <v>18374106.899999999</v>
      </c>
    </row>
    <row r="39" spans="1:275" x14ac:dyDescent="0.25">
      <c r="A39" s="5" t="s">
        <v>83</v>
      </c>
      <c r="B39" s="37" t="str" cm="1">
        <f t="array" ref="B39">_xlfn.IFS(LEFT(A39,1)="E","Expense",LEFT(A39,1)="R","Revenue")</f>
        <v>Expense</v>
      </c>
      <c r="C39" s="37" t="str">
        <f>VLOOKUP(MID(A39,2,2),$C$69:$D$79,2,FALSE)</f>
        <v>Travel &amp; Entertainment</v>
      </c>
      <c r="D39" s="37" t="str">
        <f>VLOOKUP(MID(A39,4,4),'Code Breakdown'!$I$2:$J$44,2,FALSE)</f>
        <v>Events</v>
      </c>
      <c r="E39" s="69">
        <v>819860.7</v>
      </c>
      <c r="F39" s="69">
        <v>630662.07999999996</v>
      </c>
      <c r="G39" s="69">
        <v>585614.79</v>
      </c>
      <c r="H39" s="69">
        <v>683217.25</v>
      </c>
      <c r="I39" s="69">
        <v>630662.07999999996</v>
      </c>
      <c r="J39" s="69">
        <v>745327.91</v>
      </c>
      <c r="K39" s="69">
        <v>683217.25</v>
      </c>
      <c r="L39" s="69">
        <v>585614.79</v>
      </c>
      <c r="M39" s="69">
        <v>523913.65</v>
      </c>
      <c r="N39" s="69">
        <v>819860.7</v>
      </c>
      <c r="O39" s="69">
        <v>745327.91</v>
      </c>
      <c r="P39" s="72">
        <v>745327.91</v>
      </c>
      <c r="Q39" s="69">
        <v>703713.77</v>
      </c>
      <c r="R39" s="69">
        <v>603183.23</v>
      </c>
      <c r="S39" s="69">
        <v>844456.52</v>
      </c>
      <c r="T39" s="69">
        <v>649581.93999999994</v>
      </c>
      <c r="U39" s="69">
        <v>767687.75</v>
      </c>
      <c r="V39" s="69">
        <v>844456.52</v>
      </c>
      <c r="W39" s="69">
        <v>767687.75</v>
      </c>
      <c r="X39" s="69">
        <v>767687.75</v>
      </c>
      <c r="Y39" s="69">
        <v>468501</v>
      </c>
      <c r="Z39" s="69">
        <v>844456.52</v>
      </c>
      <c r="AA39" s="69">
        <v>767687.75</v>
      </c>
      <c r="AB39" s="72">
        <v>844456.52</v>
      </c>
      <c r="AC39" s="69">
        <v>603183.23</v>
      </c>
      <c r="AD39" s="69">
        <v>844456.52</v>
      </c>
      <c r="AE39" s="69">
        <v>649581.93999999994</v>
      </c>
      <c r="AF39" s="69">
        <v>844456.52</v>
      </c>
      <c r="AG39" s="69">
        <v>603183.23</v>
      </c>
      <c r="AH39" s="69">
        <v>603183.23</v>
      </c>
      <c r="AI39" s="69">
        <v>603183.23</v>
      </c>
      <c r="AJ39" s="69">
        <v>649581.93999999994</v>
      </c>
      <c r="AK39" s="69">
        <v>1138061.93</v>
      </c>
      <c r="AL39" s="69">
        <v>703713.77</v>
      </c>
      <c r="AM39" s="69">
        <v>603183.23</v>
      </c>
      <c r="AN39" s="72">
        <v>767687.75</v>
      </c>
      <c r="AP39" s="81">
        <f t="shared" si="0"/>
        <v>2036137.5699999998</v>
      </c>
      <c r="AQ39" s="82">
        <f t="shared" si="1"/>
        <v>2059207.2400000002</v>
      </c>
      <c r="AR39" s="82">
        <f t="shared" si="2"/>
        <v>1792745.69</v>
      </c>
      <c r="AS39" s="83">
        <f t="shared" si="3"/>
        <v>2310516.52</v>
      </c>
      <c r="AT39" s="81">
        <f t="shared" si="4"/>
        <v>2151353.52</v>
      </c>
      <c r="AU39" s="82">
        <f t="shared" si="5"/>
        <v>2261726.21</v>
      </c>
      <c r="AV39" s="82">
        <f t="shared" si="6"/>
        <v>2003876.5</v>
      </c>
      <c r="AW39" s="83">
        <f t="shared" si="7"/>
        <v>2456600.79</v>
      </c>
      <c r="AX39" s="81">
        <f t="shared" si="8"/>
        <v>2097221.69</v>
      </c>
      <c r="AY39" s="82">
        <f t="shared" si="9"/>
        <v>2050822.98</v>
      </c>
      <c r="AZ39" s="82">
        <f t="shared" si="10"/>
        <v>2390827.0999999996</v>
      </c>
      <c r="BA39" s="83">
        <f t="shared" si="11"/>
        <v>2074584.75</v>
      </c>
      <c r="BC39" s="81">
        <f t="shared" si="12"/>
        <v>8198607.0199999996</v>
      </c>
      <c r="BD39" s="82">
        <f t="shared" si="13"/>
        <v>8873557.0199999996</v>
      </c>
      <c r="BE39" s="83">
        <f t="shared" si="14"/>
        <v>8613456.5199999996</v>
      </c>
    </row>
    <row r="40" spans="1:275" x14ac:dyDescent="0.25">
      <c r="A40" s="37" t="s">
        <v>65</v>
      </c>
      <c r="B40" s="37" t="str" cm="1">
        <f t="array" ref="B40">_xlfn.IFS(LEFT(A40,1)="E","Expense",LEFT(A40,1)="R","Revenue")</f>
        <v>Expense</v>
      </c>
      <c r="C40" s="37" t="str">
        <f>VLOOKUP(MID(A40,2,2),$C$69:$D$79,2,FALSE)</f>
        <v>Staff</v>
      </c>
      <c r="D40" s="37" t="str">
        <f>VLOOKUP(MID(A40,4,4),'Code Breakdown'!$I$2:$J$44,2,FALSE)</f>
        <v>FTE - bonus</v>
      </c>
      <c r="E40" s="69">
        <v>332358.74</v>
      </c>
      <c r="F40" s="69">
        <v>332358.74</v>
      </c>
      <c r="G40" s="69">
        <v>332358.74</v>
      </c>
      <c r="H40" s="69">
        <v>332358.74</v>
      </c>
      <c r="I40" s="69">
        <v>332358.74</v>
      </c>
      <c r="J40" s="69">
        <v>304662.18</v>
      </c>
      <c r="K40" s="69">
        <v>332358.74</v>
      </c>
      <c r="L40" s="69">
        <v>304662.18</v>
      </c>
      <c r="M40" s="69">
        <v>322725.27</v>
      </c>
      <c r="N40" s="69">
        <v>304662.18</v>
      </c>
      <c r="O40" s="69">
        <v>281226.62</v>
      </c>
      <c r="P40" s="72">
        <v>281226.62</v>
      </c>
      <c r="Q40" s="69">
        <v>310755.42</v>
      </c>
      <c r="R40" s="69">
        <v>339005.91</v>
      </c>
      <c r="S40" s="69">
        <v>310755.42</v>
      </c>
      <c r="T40" s="69">
        <v>310755.42</v>
      </c>
      <c r="U40" s="69">
        <v>286851.15999999997</v>
      </c>
      <c r="V40" s="69">
        <v>310755.42</v>
      </c>
      <c r="W40" s="69">
        <v>310755.42</v>
      </c>
      <c r="X40" s="69">
        <v>339005.91</v>
      </c>
      <c r="Y40" s="69">
        <v>302062.96000000002</v>
      </c>
      <c r="Z40" s="69">
        <v>310755.42</v>
      </c>
      <c r="AA40" s="69">
        <v>286851.15999999997</v>
      </c>
      <c r="AB40" s="72">
        <v>310755.42</v>
      </c>
      <c r="AC40" s="69">
        <v>339005.91</v>
      </c>
      <c r="AD40" s="69">
        <v>339005.91</v>
      </c>
      <c r="AE40" s="69">
        <v>286851.15999999997</v>
      </c>
      <c r="AF40" s="69">
        <v>310755.42</v>
      </c>
      <c r="AG40" s="69">
        <v>286851.15999999997</v>
      </c>
      <c r="AH40" s="69">
        <v>286851.15999999997</v>
      </c>
      <c r="AI40" s="69">
        <v>310755.42</v>
      </c>
      <c r="AJ40" s="69">
        <v>339005.91</v>
      </c>
      <c r="AK40" s="69">
        <v>287546.55</v>
      </c>
      <c r="AL40" s="69">
        <v>339005.91</v>
      </c>
      <c r="AM40" s="69">
        <v>339005.91</v>
      </c>
      <c r="AN40" s="72">
        <v>339005.91</v>
      </c>
      <c r="AP40" s="81">
        <f t="shared" si="0"/>
        <v>997076.22</v>
      </c>
      <c r="AQ40" s="82">
        <f t="shared" si="1"/>
        <v>969379.65999999992</v>
      </c>
      <c r="AR40" s="82">
        <f t="shared" si="2"/>
        <v>959746.19</v>
      </c>
      <c r="AS40" s="83">
        <f t="shared" si="3"/>
        <v>867115.42</v>
      </c>
      <c r="AT40" s="81">
        <f t="shared" si="4"/>
        <v>960516.75</v>
      </c>
      <c r="AU40" s="82">
        <f t="shared" si="5"/>
        <v>908362</v>
      </c>
      <c r="AV40" s="82">
        <f t="shared" si="6"/>
        <v>951824.29</v>
      </c>
      <c r="AW40" s="83">
        <f t="shared" si="7"/>
        <v>908362</v>
      </c>
      <c r="AX40" s="81">
        <f t="shared" si="8"/>
        <v>964862.98</v>
      </c>
      <c r="AY40" s="82">
        <f t="shared" si="9"/>
        <v>884457.74</v>
      </c>
      <c r="AZ40" s="82">
        <f t="shared" si="10"/>
        <v>937307.87999999989</v>
      </c>
      <c r="BA40" s="83">
        <f t="shared" si="11"/>
        <v>1017017.73</v>
      </c>
      <c r="BC40" s="81">
        <f t="shared" si="12"/>
        <v>3793317.4899999998</v>
      </c>
      <c r="BD40" s="82">
        <f t="shared" si="13"/>
        <v>3729065.04</v>
      </c>
      <c r="BE40" s="83">
        <f t="shared" si="14"/>
        <v>3803646.3299999996</v>
      </c>
    </row>
    <row r="41" spans="1:275" x14ac:dyDescent="0.25">
      <c r="A41" s="37" t="s">
        <v>73</v>
      </c>
      <c r="B41" s="37" t="str" cm="1">
        <f t="array" ref="B41">_xlfn.IFS(LEFT(A41,1)="E","Expense",LEFT(A41,1)="R","Revenue")</f>
        <v>Expense</v>
      </c>
      <c r="C41" s="37" t="str">
        <f>VLOOKUP(MID(A41,2,2),$C$69:$D$79,2,FALSE)</f>
        <v>Facilities</v>
      </c>
      <c r="D41" s="37" t="str">
        <f>VLOOKUP(MID(A41,4,4),'Code Breakdown'!$I$2:$J$44,2,FALSE)</f>
        <v>Water</v>
      </c>
      <c r="E41" s="69">
        <v>103924.23</v>
      </c>
      <c r="F41" s="69">
        <v>99848.77</v>
      </c>
      <c r="G41" s="69">
        <v>102905.37</v>
      </c>
      <c r="H41" s="69">
        <v>101886.5</v>
      </c>
      <c r="I41" s="69">
        <v>100867.64</v>
      </c>
      <c r="J41" s="69">
        <v>103924.23</v>
      </c>
      <c r="K41" s="69">
        <v>103924.23</v>
      </c>
      <c r="L41" s="69">
        <v>101886.5</v>
      </c>
      <c r="M41" s="69">
        <v>97811.04</v>
      </c>
      <c r="N41" s="69">
        <v>100867.64</v>
      </c>
      <c r="O41" s="69">
        <v>101886.5</v>
      </c>
      <c r="P41" s="72">
        <v>102905.37</v>
      </c>
      <c r="Q41" s="69">
        <v>104902.34</v>
      </c>
      <c r="R41" s="69">
        <v>104902.34</v>
      </c>
      <c r="S41" s="69">
        <v>104902.34</v>
      </c>
      <c r="T41" s="69">
        <v>105961.96</v>
      </c>
      <c r="U41" s="69">
        <v>105961.96</v>
      </c>
      <c r="V41" s="69">
        <v>103842.72</v>
      </c>
      <c r="W41" s="69">
        <v>103842.72</v>
      </c>
      <c r="X41" s="69">
        <v>105961.96</v>
      </c>
      <c r="Y41" s="69">
        <v>115498.54</v>
      </c>
      <c r="Z41" s="69">
        <v>107021.58</v>
      </c>
      <c r="AA41" s="69">
        <v>103842.72</v>
      </c>
      <c r="AB41" s="72">
        <v>104902.34</v>
      </c>
      <c r="AC41" s="69">
        <v>107021.58</v>
      </c>
      <c r="AD41" s="69">
        <v>104902.34</v>
      </c>
      <c r="AE41" s="69">
        <v>103842.72</v>
      </c>
      <c r="AF41" s="69">
        <v>107021.58</v>
      </c>
      <c r="AG41" s="69">
        <v>103842.72</v>
      </c>
      <c r="AH41" s="69">
        <v>104902.34</v>
      </c>
      <c r="AI41" s="69">
        <v>105961.96</v>
      </c>
      <c r="AJ41" s="69">
        <v>104902.34</v>
      </c>
      <c r="AK41" s="69">
        <v>103465</v>
      </c>
      <c r="AL41" s="69">
        <v>104902.34</v>
      </c>
      <c r="AM41" s="69">
        <v>108081.2</v>
      </c>
      <c r="AN41" s="72">
        <v>108081.2</v>
      </c>
      <c r="AP41" s="81">
        <f t="shared" si="0"/>
        <v>306678.37</v>
      </c>
      <c r="AQ41" s="82">
        <f t="shared" si="1"/>
        <v>306678.37</v>
      </c>
      <c r="AR41" s="82">
        <f t="shared" si="2"/>
        <v>303621.76999999996</v>
      </c>
      <c r="AS41" s="83">
        <f t="shared" si="3"/>
        <v>305659.51</v>
      </c>
      <c r="AT41" s="81">
        <f t="shared" si="4"/>
        <v>314707.02</v>
      </c>
      <c r="AU41" s="82">
        <f t="shared" si="5"/>
        <v>315766.64</v>
      </c>
      <c r="AV41" s="82">
        <f t="shared" si="6"/>
        <v>325303.21999999997</v>
      </c>
      <c r="AW41" s="83">
        <f t="shared" si="7"/>
        <v>315766.64</v>
      </c>
      <c r="AX41" s="81">
        <f t="shared" si="8"/>
        <v>315766.64</v>
      </c>
      <c r="AY41" s="82">
        <f t="shared" si="9"/>
        <v>315766.64</v>
      </c>
      <c r="AZ41" s="82">
        <f t="shared" si="10"/>
        <v>314329.3</v>
      </c>
      <c r="BA41" s="83">
        <f t="shared" si="11"/>
        <v>321064.74</v>
      </c>
      <c r="BC41" s="81">
        <f t="shared" si="12"/>
        <v>1222638.02</v>
      </c>
      <c r="BD41" s="82">
        <f t="shared" si="13"/>
        <v>1271543.52</v>
      </c>
      <c r="BE41" s="83">
        <f t="shared" si="14"/>
        <v>1266927.32</v>
      </c>
    </row>
    <row r="42" spans="1:275" x14ac:dyDescent="0.25">
      <c r="A42" s="5" t="s">
        <v>91</v>
      </c>
      <c r="B42" s="37" t="str" cm="1">
        <f t="array" ref="B42">_xlfn.IFS(LEFT(A42,1)="E","Expense",LEFT(A42,1)="R","Revenue")</f>
        <v>Expense</v>
      </c>
      <c r="C42" s="37" t="str">
        <f>VLOOKUP(MID(A42,2,2),$C$69:$D$79,2,FALSE)</f>
        <v>Other</v>
      </c>
      <c r="D42" s="37" t="str">
        <f>VLOOKUP(MID(A42,4,4),'Code Breakdown'!$I$2:$J$44,2,FALSE)</f>
        <v>Professional Services</v>
      </c>
      <c r="E42" s="69">
        <v>178645.31</v>
      </c>
      <c r="F42" s="69">
        <v>178645.31</v>
      </c>
      <c r="G42" s="69">
        <v>165884.93</v>
      </c>
      <c r="H42" s="69">
        <v>165884.93</v>
      </c>
      <c r="I42" s="69">
        <v>193532.42</v>
      </c>
      <c r="J42" s="69">
        <v>178645.31</v>
      </c>
      <c r="K42" s="69">
        <v>165884.93</v>
      </c>
      <c r="L42" s="69">
        <v>232238.9</v>
      </c>
      <c r="M42" s="69">
        <v>241016.49</v>
      </c>
      <c r="N42" s="69">
        <v>178645.31</v>
      </c>
      <c r="O42" s="69">
        <v>232238.9</v>
      </c>
      <c r="P42" s="72">
        <v>211126.27</v>
      </c>
      <c r="Q42" s="69">
        <v>184004.67</v>
      </c>
      <c r="R42" s="69">
        <v>199338.39</v>
      </c>
      <c r="S42" s="69">
        <v>170861.48</v>
      </c>
      <c r="T42" s="69">
        <v>184004.67</v>
      </c>
      <c r="U42" s="69">
        <v>239206.07</v>
      </c>
      <c r="V42" s="69">
        <v>217460.06</v>
      </c>
      <c r="W42" s="69">
        <v>239206.07</v>
      </c>
      <c r="X42" s="69">
        <v>217460.06</v>
      </c>
      <c r="Y42" s="69">
        <v>106260.7</v>
      </c>
      <c r="Z42" s="69">
        <v>217460.06</v>
      </c>
      <c r="AA42" s="69">
        <v>199338.39</v>
      </c>
      <c r="AB42" s="72">
        <v>217460.06</v>
      </c>
      <c r="AC42" s="69">
        <v>217460.06</v>
      </c>
      <c r="AD42" s="69">
        <v>184004.67</v>
      </c>
      <c r="AE42" s="69">
        <v>170861.48</v>
      </c>
      <c r="AF42" s="69">
        <v>184004.67</v>
      </c>
      <c r="AG42" s="69">
        <v>199338.39</v>
      </c>
      <c r="AH42" s="69">
        <v>217460.06</v>
      </c>
      <c r="AI42" s="69">
        <v>170861.48</v>
      </c>
      <c r="AJ42" s="69">
        <v>170861.48</v>
      </c>
      <c r="AK42" s="69">
        <v>302500.49</v>
      </c>
      <c r="AL42" s="69">
        <v>239206.07</v>
      </c>
      <c r="AM42" s="69">
        <v>184004.67</v>
      </c>
      <c r="AN42" s="72">
        <v>199338.39</v>
      </c>
      <c r="AP42" s="81">
        <f t="shared" si="0"/>
        <v>523175.55</v>
      </c>
      <c r="AQ42" s="82">
        <f t="shared" si="1"/>
        <v>538062.65999999992</v>
      </c>
      <c r="AR42" s="82">
        <f t="shared" si="2"/>
        <v>639140.31999999995</v>
      </c>
      <c r="AS42" s="83">
        <f t="shared" si="3"/>
        <v>622010.48</v>
      </c>
      <c r="AT42" s="81">
        <f t="shared" si="4"/>
        <v>554204.54</v>
      </c>
      <c r="AU42" s="82">
        <f t="shared" si="5"/>
        <v>640670.80000000005</v>
      </c>
      <c r="AV42" s="82">
        <f t="shared" si="6"/>
        <v>562926.82999999996</v>
      </c>
      <c r="AW42" s="83">
        <f t="shared" si="7"/>
        <v>634258.51</v>
      </c>
      <c r="AX42" s="81">
        <f t="shared" si="8"/>
        <v>572326.21</v>
      </c>
      <c r="AY42" s="82">
        <f t="shared" si="9"/>
        <v>600803.12000000011</v>
      </c>
      <c r="AZ42" s="82">
        <f t="shared" si="10"/>
        <v>644223.44999999995</v>
      </c>
      <c r="BA42" s="83">
        <f t="shared" si="11"/>
        <v>622549.13</v>
      </c>
      <c r="BC42" s="81">
        <f t="shared" si="12"/>
        <v>2322389.0099999998</v>
      </c>
      <c r="BD42" s="82">
        <f t="shared" si="13"/>
        <v>2392060.6799999997</v>
      </c>
      <c r="BE42" s="83">
        <f t="shared" si="14"/>
        <v>2439901.91</v>
      </c>
    </row>
    <row r="43" spans="1:275" x14ac:dyDescent="0.25">
      <c r="A43" s="37" t="s">
        <v>63</v>
      </c>
      <c r="B43" s="37" t="str" cm="1">
        <f t="array" ref="B43">_xlfn.IFS(LEFT(A43,1)="E","Expense",LEFT(A43,1)="R","Revenue")</f>
        <v>Expense</v>
      </c>
      <c r="C43" s="37" t="str">
        <f>VLOOKUP(MID(A43,2,2),$C$69:$D$79,2,FALSE)</f>
        <v>Staff</v>
      </c>
      <c r="D43" s="37" t="str">
        <f>VLOOKUP(MID(A43,4,4),'Code Breakdown'!$I$2:$J$44,2,FALSE)</f>
        <v>FTE - base</v>
      </c>
      <c r="E43" s="69">
        <v>2828585</v>
      </c>
      <c r="F43" s="69">
        <v>2828585</v>
      </c>
      <c r="G43" s="69">
        <v>2828585</v>
      </c>
      <c r="H43" s="69">
        <v>2828585</v>
      </c>
      <c r="I43" s="69">
        <v>2828585</v>
      </c>
      <c r="J43" s="69">
        <v>2592869.58</v>
      </c>
      <c r="K43" s="69">
        <v>2828585</v>
      </c>
      <c r="L43" s="69">
        <v>2592869.58</v>
      </c>
      <c r="M43" s="69">
        <v>2746598</v>
      </c>
      <c r="N43" s="69">
        <v>2592869.58</v>
      </c>
      <c r="O43" s="69">
        <v>2393418.08</v>
      </c>
      <c r="P43" s="72">
        <v>2393418.08</v>
      </c>
      <c r="Q43" s="69">
        <v>2644726.98</v>
      </c>
      <c r="R43" s="69">
        <v>2885156.7</v>
      </c>
      <c r="S43" s="69">
        <v>2644726.98</v>
      </c>
      <c r="T43" s="69">
        <v>2644726.98</v>
      </c>
      <c r="U43" s="69">
        <v>2441286.44</v>
      </c>
      <c r="V43" s="69">
        <v>2644726.98</v>
      </c>
      <c r="W43" s="69">
        <v>2644726.98</v>
      </c>
      <c r="X43" s="69">
        <v>2885156.7</v>
      </c>
      <c r="Y43" s="69">
        <v>2570748.6</v>
      </c>
      <c r="Z43" s="69">
        <v>2644726.98</v>
      </c>
      <c r="AA43" s="69">
        <v>2441286.44</v>
      </c>
      <c r="AB43" s="72">
        <v>2644726.98</v>
      </c>
      <c r="AC43" s="69">
        <v>2885156.7</v>
      </c>
      <c r="AD43" s="69">
        <v>2885156.7</v>
      </c>
      <c r="AE43" s="69">
        <v>2441286.44</v>
      </c>
      <c r="AF43" s="69">
        <v>2644726.98</v>
      </c>
      <c r="AG43" s="69">
        <v>2441286.44</v>
      </c>
      <c r="AH43" s="69">
        <v>2441286.44</v>
      </c>
      <c r="AI43" s="69">
        <v>2644726.98</v>
      </c>
      <c r="AJ43" s="69">
        <v>2885156.7</v>
      </c>
      <c r="AK43" s="69">
        <v>2447204.71</v>
      </c>
      <c r="AL43" s="69">
        <v>2885156.7</v>
      </c>
      <c r="AM43" s="69">
        <v>2885156.7</v>
      </c>
      <c r="AN43" s="72">
        <v>2885156.7</v>
      </c>
      <c r="AP43" s="81">
        <f t="shared" si="0"/>
        <v>8485755</v>
      </c>
      <c r="AQ43" s="82">
        <f t="shared" si="1"/>
        <v>8250039.5800000001</v>
      </c>
      <c r="AR43" s="82">
        <f t="shared" si="2"/>
        <v>8168052.5800000001</v>
      </c>
      <c r="AS43" s="83">
        <f t="shared" si="3"/>
        <v>7379705.7400000002</v>
      </c>
      <c r="AT43" s="81">
        <f t="shared" si="4"/>
        <v>8174610.6600000001</v>
      </c>
      <c r="AU43" s="82">
        <f t="shared" si="5"/>
        <v>7730740.4000000004</v>
      </c>
      <c r="AV43" s="82">
        <f t="shared" si="6"/>
        <v>8100632.2799999993</v>
      </c>
      <c r="AW43" s="83">
        <f t="shared" si="7"/>
        <v>7730740.4000000004</v>
      </c>
      <c r="AX43" s="81">
        <f t="shared" si="8"/>
        <v>8211599.8399999999</v>
      </c>
      <c r="AY43" s="82">
        <f t="shared" si="9"/>
        <v>7527299.8599999994</v>
      </c>
      <c r="AZ43" s="82">
        <f t="shared" si="10"/>
        <v>7977088.3899999997</v>
      </c>
      <c r="BA43" s="83">
        <f t="shared" si="11"/>
        <v>8655470.1000000015</v>
      </c>
      <c r="BC43" s="81">
        <f t="shared" si="12"/>
        <v>32283552.899999999</v>
      </c>
      <c r="BD43" s="82">
        <f t="shared" si="13"/>
        <v>31736723.740000002</v>
      </c>
      <c r="BE43" s="83">
        <f t="shared" si="14"/>
        <v>32371458.190000001</v>
      </c>
    </row>
    <row r="44" spans="1:275" x14ac:dyDescent="0.25">
      <c r="A44" s="44" t="s">
        <v>194</v>
      </c>
      <c r="B44" s="37" t="str" cm="1">
        <f t="array" ref="B44">_xlfn.IFS(LEFT(A44,1)="E","Expense",LEFT(A44,1)="R","Revenue")</f>
        <v>Revenue</v>
      </c>
      <c r="C44" s="37" t="str">
        <f>VLOOKUP(MID(A44,2,2),$C$69:$D$79,2,FALSE)</f>
        <v>Core - Publications</v>
      </c>
      <c r="D44" s="37" t="str">
        <f>VLOOKUP(MID(A44,4,4),'Code Breakdown'!$I$2:$J$44,2,FALSE)</f>
        <v>Non-subscription</v>
      </c>
      <c r="E44" s="69">
        <v>1237244.7799999998</v>
      </c>
      <c r="F44" s="69">
        <v>1343614.25</v>
      </c>
      <c r="G44" s="69">
        <v>1216450.75</v>
      </c>
      <c r="H44" s="69">
        <v>1429116.9699999997</v>
      </c>
      <c r="I44" s="69">
        <v>1703031.0599999996</v>
      </c>
      <c r="J44" s="69">
        <v>1343614.25</v>
      </c>
      <c r="K44" s="69">
        <v>935731.35000000009</v>
      </c>
      <c r="L44" s="69">
        <v>1429116.9699999997</v>
      </c>
      <c r="M44" s="69">
        <v>1308686.0900000003</v>
      </c>
      <c r="N44" s="69">
        <v>1273634.3399999999</v>
      </c>
      <c r="O44" s="69">
        <v>1164465.6800000002</v>
      </c>
      <c r="P44" s="72">
        <v>1346413.44</v>
      </c>
      <c r="Q44" s="69">
        <v>1269715.46</v>
      </c>
      <c r="R44" s="69">
        <v>1304985.3399999999</v>
      </c>
      <c r="S44" s="69">
        <v>1667303.13</v>
      </c>
      <c r="T44" s="69">
        <v>982517.91999999993</v>
      </c>
      <c r="U44" s="69">
        <v>1093366.0899999999</v>
      </c>
      <c r="V44" s="69">
        <v>1604779.27</v>
      </c>
      <c r="W44" s="69">
        <v>1451943.1399999997</v>
      </c>
      <c r="X44" s="69">
        <v>1179021.5</v>
      </c>
      <c r="Y44" s="69">
        <v>1677555.8200000003</v>
      </c>
      <c r="Z44" s="69">
        <v>1667303.13</v>
      </c>
      <c r="AA44" s="69">
        <v>1211772.1000000001</v>
      </c>
      <c r="AB44" s="72">
        <v>1292159.9300000002</v>
      </c>
      <c r="AC44" s="69">
        <v>1467226.7600000002</v>
      </c>
      <c r="AD44" s="69">
        <v>1467226.7600000002</v>
      </c>
      <c r="AE44" s="69">
        <v>1269715.46</v>
      </c>
      <c r="AF44" s="69">
        <v>1333842.5100000002</v>
      </c>
      <c r="AG44" s="69">
        <v>1310023.8899999999</v>
      </c>
      <c r="AH44" s="69">
        <v>1742331.7800000003</v>
      </c>
      <c r="AI44" s="69">
        <v>1458890.2400000002</v>
      </c>
      <c r="AJ44" s="69">
        <v>982517.91999999993</v>
      </c>
      <c r="AK44" s="69">
        <v>1492066.5599999996</v>
      </c>
      <c r="AL44" s="69">
        <v>1093366.0899999999</v>
      </c>
      <c r="AM44" s="69">
        <v>1417207.6600000001</v>
      </c>
      <c r="AN44" s="72">
        <v>1277273.29</v>
      </c>
      <c r="AP44" s="81">
        <f t="shared" si="0"/>
        <v>3797309.78</v>
      </c>
      <c r="AQ44" s="82">
        <f t="shared" si="1"/>
        <v>4475762.2799999993</v>
      </c>
      <c r="AR44" s="82">
        <f t="shared" si="2"/>
        <v>3673534.41</v>
      </c>
      <c r="AS44" s="83">
        <f t="shared" si="3"/>
        <v>3784513.46</v>
      </c>
      <c r="AT44" s="81">
        <f t="shared" si="4"/>
        <v>4242003.93</v>
      </c>
      <c r="AU44" s="82">
        <f t="shared" si="5"/>
        <v>3680663.28</v>
      </c>
      <c r="AV44" s="82">
        <f t="shared" si="6"/>
        <v>4308520.46</v>
      </c>
      <c r="AW44" s="83">
        <f t="shared" si="7"/>
        <v>4171235.16</v>
      </c>
      <c r="AX44" s="81">
        <f t="shared" si="8"/>
        <v>4204168.9800000004</v>
      </c>
      <c r="AY44" s="82">
        <f t="shared" si="9"/>
        <v>4386198.1800000006</v>
      </c>
      <c r="AZ44" s="82">
        <f t="shared" si="10"/>
        <v>3933474.7199999997</v>
      </c>
      <c r="BA44" s="83">
        <f t="shared" si="11"/>
        <v>3787847.04</v>
      </c>
      <c r="BC44" s="81">
        <f t="shared" si="12"/>
        <v>15731119.93</v>
      </c>
      <c r="BD44" s="82">
        <f t="shared" si="13"/>
        <v>16402422.829999998</v>
      </c>
      <c r="BE44" s="83">
        <f t="shared" si="14"/>
        <v>16311688.919999998</v>
      </c>
    </row>
    <row r="45" spans="1:275" x14ac:dyDescent="0.25">
      <c r="A45" s="37" t="s">
        <v>69</v>
      </c>
      <c r="B45" s="37" t="str" cm="1">
        <f t="array" ref="B45">_xlfn.IFS(LEFT(A45,1)="E","Expense",LEFT(A45,1)="R","Revenue")</f>
        <v>Expense</v>
      </c>
      <c r="C45" s="37" t="str">
        <f>VLOOKUP(MID(A45,2,2),$C$69:$D$79,2,FALSE)</f>
        <v>Staff</v>
      </c>
      <c r="D45" s="37" t="str">
        <f>VLOOKUP(MID(A45,4,4),'Code Breakdown'!$I$2:$J$44,2,FALSE)</f>
        <v>Contractor</v>
      </c>
      <c r="E45" s="69">
        <v>1052248.3600000001</v>
      </c>
      <c r="F45" s="69">
        <v>1339225.18</v>
      </c>
      <c r="G45" s="69">
        <v>1473147.7</v>
      </c>
      <c r="H45" s="69">
        <v>1473147.7</v>
      </c>
      <c r="I45" s="69">
        <v>1052248.3600000001</v>
      </c>
      <c r="J45" s="69">
        <v>1227623.08</v>
      </c>
      <c r="K45" s="69">
        <v>1339225.18</v>
      </c>
      <c r="L45" s="69">
        <v>1339225.18</v>
      </c>
      <c r="M45" s="69">
        <v>816289.63</v>
      </c>
      <c r="N45" s="69">
        <v>1339225.18</v>
      </c>
      <c r="O45" s="69">
        <v>1052248.3600000001</v>
      </c>
      <c r="P45" s="72">
        <v>1227623.08</v>
      </c>
      <c r="Q45" s="69">
        <v>1252175.55</v>
      </c>
      <c r="R45" s="69">
        <v>1073293.32</v>
      </c>
      <c r="S45" s="69">
        <v>1155854.3500000001</v>
      </c>
      <c r="T45" s="69">
        <v>1252175.55</v>
      </c>
      <c r="U45" s="69">
        <v>1073293.32</v>
      </c>
      <c r="V45" s="69">
        <v>1155854.3500000001</v>
      </c>
      <c r="W45" s="69">
        <v>1366009.69</v>
      </c>
      <c r="X45" s="69">
        <v>1252175.55</v>
      </c>
      <c r="Y45" s="69">
        <v>1713516.54</v>
      </c>
      <c r="Z45" s="69">
        <v>1502610.65</v>
      </c>
      <c r="AA45" s="69">
        <v>1073293.32</v>
      </c>
      <c r="AB45" s="72">
        <v>1155854.3500000001</v>
      </c>
      <c r="AC45" s="69">
        <v>1155854.3500000001</v>
      </c>
      <c r="AD45" s="69">
        <v>1502610.65</v>
      </c>
      <c r="AE45" s="69">
        <v>1366009.69</v>
      </c>
      <c r="AF45" s="69">
        <v>1366009.69</v>
      </c>
      <c r="AG45" s="69">
        <v>1073293.32</v>
      </c>
      <c r="AH45" s="69">
        <v>1073293.32</v>
      </c>
      <c r="AI45" s="69">
        <v>1073293.32</v>
      </c>
      <c r="AJ45" s="69">
        <v>1502610.65</v>
      </c>
      <c r="AK45" s="69">
        <v>2046612.75</v>
      </c>
      <c r="AL45" s="69">
        <v>1155854.3500000001</v>
      </c>
      <c r="AM45" s="69">
        <v>1155854.3500000001</v>
      </c>
      <c r="AN45" s="72">
        <v>1155854.3500000001</v>
      </c>
      <c r="AP45" s="81">
        <f t="shared" si="0"/>
        <v>3864621.24</v>
      </c>
      <c r="AQ45" s="82">
        <f t="shared" si="1"/>
        <v>3753019.14</v>
      </c>
      <c r="AR45" s="82">
        <f t="shared" si="2"/>
        <v>3494739.9899999998</v>
      </c>
      <c r="AS45" s="83">
        <f t="shared" si="3"/>
        <v>3619096.62</v>
      </c>
      <c r="AT45" s="81">
        <f t="shared" si="4"/>
        <v>3481323.22</v>
      </c>
      <c r="AU45" s="82">
        <f t="shared" si="5"/>
        <v>3481323.22</v>
      </c>
      <c r="AV45" s="82">
        <f t="shared" si="6"/>
        <v>4331701.78</v>
      </c>
      <c r="AW45" s="83">
        <f t="shared" si="7"/>
        <v>3731758.32</v>
      </c>
      <c r="AX45" s="81">
        <f t="shared" si="8"/>
        <v>4024474.69</v>
      </c>
      <c r="AY45" s="82">
        <f t="shared" si="9"/>
        <v>3512596.33</v>
      </c>
      <c r="AZ45" s="82">
        <f t="shared" si="10"/>
        <v>4622516.72</v>
      </c>
      <c r="BA45" s="83">
        <f t="shared" si="11"/>
        <v>3467563.0500000003</v>
      </c>
      <c r="BC45" s="81">
        <f t="shared" si="12"/>
        <v>14731476.990000002</v>
      </c>
      <c r="BD45" s="82">
        <f t="shared" si="13"/>
        <v>15026106.540000001</v>
      </c>
      <c r="BE45" s="83">
        <f t="shared" si="14"/>
        <v>15627150.789999999</v>
      </c>
    </row>
    <row r="46" spans="1:275" x14ac:dyDescent="0.25">
      <c r="C46" s="37"/>
    </row>
    <row r="47" spans="1:275" x14ac:dyDescent="0.25">
      <c r="C47" s="37"/>
    </row>
    <row r="48" spans="1:275" x14ac:dyDescent="0.25">
      <c r="B48" s="5" t="s">
        <v>201</v>
      </c>
    </row>
    <row r="49" spans="2:57" x14ac:dyDescent="0.25">
      <c r="B49" s="16"/>
      <c r="C49" s="17"/>
      <c r="D49" s="17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5"/>
      <c r="Q49" s="86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5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5"/>
      <c r="AO49" s="87"/>
      <c r="AP49" s="95"/>
      <c r="AQ49" s="96"/>
      <c r="AR49" s="96"/>
      <c r="AS49" s="96"/>
      <c r="AT49" s="95"/>
      <c r="AU49" s="96"/>
      <c r="AV49" s="96"/>
      <c r="AW49" s="97"/>
      <c r="AX49" s="96"/>
      <c r="AY49" s="96"/>
      <c r="AZ49" s="96"/>
      <c r="BA49" s="97"/>
      <c r="BB49" s="98"/>
      <c r="BC49" s="95"/>
      <c r="BD49" s="96"/>
      <c r="BE49" s="97"/>
    </row>
    <row r="50" spans="2:57" x14ac:dyDescent="0.25">
      <c r="B50" s="7" t="s">
        <v>1</v>
      </c>
      <c r="C50" s="9" t="s">
        <v>160</v>
      </c>
      <c r="D50" s="59"/>
      <c r="E50" s="91">
        <f>SUMIF($C$3:$C$45,"Core - Media",E3:E45)</f>
        <v>8172447</v>
      </c>
      <c r="F50" s="91">
        <f t="shared" ref="F50:AN50" si="15">SUMIF($C$3:$C$45,"Core - Media",F3:F45)</f>
        <v>9534521.5</v>
      </c>
      <c r="G50" s="91">
        <f t="shared" si="15"/>
        <v>8172447</v>
      </c>
      <c r="H50" s="91">
        <f t="shared" si="15"/>
        <v>11441425.800000001</v>
      </c>
      <c r="I50" s="91">
        <f t="shared" si="15"/>
        <v>9534521.5</v>
      </c>
      <c r="J50" s="91">
        <f t="shared" si="15"/>
        <v>8172447</v>
      </c>
      <c r="K50" s="91">
        <f t="shared" si="15"/>
        <v>11441425.800000001</v>
      </c>
      <c r="L50" s="91">
        <f t="shared" si="15"/>
        <v>9534521.5</v>
      </c>
      <c r="M50" s="91">
        <f t="shared" si="15"/>
        <v>9435461.5399999991</v>
      </c>
      <c r="N50" s="91">
        <f t="shared" si="15"/>
        <v>8172447</v>
      </c>
      <c r="O50" s="91">
        <f t="shared" si="15"/>
        <v>10401296.18</v>
      </c>
      <c r="P50" s="91">
        <f t="shared" si="15"/>
        <v>10401296.18</v>
      </c>
      <c r="Q50" s="91">
        <f t="shared" si="15"/>
        <v>11129386.91</v>
      </c>
      <c r="R50" s="91">
        <f t="shared" si="15"/>
        <v>10201938.010000002</v>
      </c>
      <c r="S50" s="91">
        <f t="shared" si="15"/>
        <v>11129386.91</v>
      </c>
      <c r="T50" s="91">
        <f t="shared" si="15"/>
        <v>9417173.5399999991</v>
      </c>
      <c r="U50" s="91">
        <f t="shared" si="15"/>
        <v>12242325.609999999</v>
      </c>
      <c r="V50" s="91">
        <f t="shared" si="15"/>
        <v>9417173.5399999991</v>
      </c>
      <c r="W50" s="91">
        <f t="shared" si="15"/>
        <v>8744518.2899999991</v>
      </c>
      <c r="X50" s="91">
        <f t="shared" si="15"/>
        <v>12242325.609999999</v>
      </c>
      <c r="Y50" s="91">
        <f t="shared" si="15"/>
        <v>8607948.8900000006</v>
      </c>
      <c r="Z50" s="91">
        <f t="shared" si="15"/>
        <v>8744518.2899999991</v>
      </c>
      <c r="AA50" s="91">
        <f t="shared" si="15"/>
        <v>9417173.5399999991</v>
      </c>
      <c r="AB50" s="91">
        <f t="shared" si="15"/>
        <v>11129386.91</v>
      </c>
      <c r="AC50" s="91">
        <f t="shared" si="15"/>
        <v>10201938.01</v>
      </c>
      <c r="AD50" s="91">
        <f t="shared" si="15"/>
        <v>12242325.609999999</v>
      </c>
      <c r="AE50" s="91">
        <f t="shared" si="15"/>
        <v>8744518.2899999991</v>
      </c>
      <c r="AF50" s="91">
        <f t="shared" si="15"/>
        <v>12242325.609999999</v>
      </c>
      <c r="AG50" s="91">
        <f t="shared" si="15"/>
        <v>11129386.91</v>
      </c>
      <c r="AH50" s="91">
        <f t="shared" si="15"/>
        <v>12242325.609999999</v>
      </c>
      <c r="AI50" s="91">
        <f t="shared" si="15"/>
        <v>8744518.2899999991</v>
      </c>
      <c r="AJ50" s="91">
        <f t="shared" si="15"/>
        <v>12242325.609999999</v>
      </c>
      <c r="AK50" s="91">
        <f t="shared" si="15"/>
        <v>10742508.23</v>
      </c>
      <c r="AL50" s="91">
        <f t="shared" si="15"/>
        <v>11129386.91</v>
      </c>
      <c r="AM50" s="91">
        <f t="shared" si="15"/>
        <v>10201938.010000002</v>
      </c>
      <c r="AN50" s="93">
        <f t="shared" si="15"/>
        <v>11129386.91</v>
      </c>
      <c r="AO50" s="87"/>
      <c r="AP50" s="94">
        <f>SUMIF($C$3:$C$45,"Core - Media",AP3:AP45)</f>
        <v>25879415.5</v>
      </c>
      <c r="AQ50" s="94">
        <f t="shared" ref="AQ50:BE50" si="16">SUMIF($C$3:$C$45,"Core - Media",AQ3:AQ45)</f>
        <v>29148394.299999997</v>
      </c>
      <c r="AR50" s="94">
        <f t="shared" si="16"/>
        <v>30411408.840000004</v>
      </c>
      <c r="AS50" s="94">
        <f t="shared" si="16"/>
        <v>28975039.359999999</v>
      </c>
      <c r="AT50" s="94">
        <f t="shared" si="16"/>
        <v>32460711.830000002</v>
      </c>
      <c r="AU50" s="94">
        <f t="shared" si="16"/>
        <v>31076672.689999998</v>
      </c>
      <c r="AV50" s="94">
        <f t="shared" si="16"/>
        <v>29594792.789999999</v>
      </c>
      <c r="AW50" s="94">
        <f t="shared" si="16"/>
        <v>29291078.739999998</v>
      </c>
      <c r="AX50" s="94">
        <f t="shared" si="16"/>
        <v>31188781.91</v>
      </c>
      <c r="AY50" s="94">
        <f t="shared" si="16"/>
        <v>35614038.129999995</v>
      </c>
      <c r="AZ50" s="94">
        <f t="shared" si="16"/>
        <v>31729352.129999999</v>
      </c>
      <c r="BA50" s="94">
        <f t="shared" si="16"/>
        <v>32460711.830000006</v>
      </c>
      <c r="BB50" s="94"/>
      <c r="BC50" s="94">
        <f t="shared" si="16"/>
        <v>114414258</v>
      </c>
      <c r="BD50" s="94">
        <f t="shared" si="16"/>
        <v>122423256.05</v>
      </c>
      <c r="BE50" s="94">
        <f t="shared" si="16"/>
        <v>130992884</v>
      </c>
    </row>
    <row r="51" spans="2:57" x14ac:dyDescent="0.25">
      <c r="B51" s="7" t="s">
        <v>1</v>
      </c>
      <c r="C51" s="9" t="s">
        <v>161</v>
      </c>
      <c r="D51" s="59"/>
      <c r="E51" s="91">
        <f>SUMIF($C$3:$C$45,"Core - software",E3:E45)</f>
        <v>2899296.27</v>
      </c>
      <c r="F51" s="91">
        <f t="shared" ref="F51:AN51" si="17">SUMIF($C$3:$C$45,"Core - software",F3:F45)</f>
        <v>2453250.69</v>
      </c>
      <c r="G51" s="91">
        <f t="shared" si="17"/>
        <v>2657688.25</v>
      </c>
      <c r="H51" s="91">
        <f t="shared" si="17"/>
        <v>3189225.9</v>
      </c>
      <c r="I51" s="91">
        <f t="shared" si="17"/>
        <v>2899296.27</v>
      </c>
      <c r="J51" s="91">
        <f t="shared" si="17"/>
        <v>2278018.5</v>
      </c>
      <c r="K51" s="91">
        <f t="shared" si="17"/>
        <v>2657688.25</v>
      </c>
      <c r="L51" s="91">
        <f t="shared" si="17"/>
        <v>3189225.9</v>
      </c>
      <c r="M51" s="91">
        <f t="shared" si="17"/>
        <v>1368404.12</v>
      </c>
      <c r="N51" s="91">
        <f t="shared" si="17"/>
        <v>2657688.25</v>
      </c>
      <c r="O51" s="91">
        <f t="shared" si="17"/>
        <v>2453250.69</v>
      </c>
      <c r="P51" s="91">
        <f t="shared" si="17"/>
        <v>3189225.9</v>
      </c>
      <c r="Q51" s="91">
        <f t="shared" si="17"/>
        <v>2817149.55</v>
      </c>
      <c r="R51" s="91">
        <f t="shared" si="17"/>
        <v>3073254.05</v>
      </c>
      <c r="S51" s="91">
        <f t="shared" si="17"/>
        <v>2414699.61</v>
      </c>
      <c r="T51" s="91">
        <f t="shared" si="17"/>
        <v>2600445.73</v>
      </c>
      <c r="U51" s="91">
        <f t="shared" si="17"/>
        <v>3073254.05</v>
      </c>
      <c r="V51" s="91">
        <f t="shared" si="17"/>
        <v>2817149.55</v>
      </c>
      <c r="W51" s="91">
        <f t="shared" si="17"/>
        <v>2600445.73</v>
      </c>
      <c r="X51" s="91">
        <f t="shared" si="17"/>
        <v>2817149.55</v>
      </c>
      <c r="Y51" s="91">
        <f t="shared" si="17"/>
        <v>3945697.96</v>
      </c>
      <c r="Z51" s="91">
        <f t="shared" si="17"/>
        <v>2414699.61</v>
      </c>
      <c r="AA51" s="91">
        <f t="shared" si="17"/>
        <v>2817149.55</v>
      </c>
      <c r="AB51" s="91">
        <f t="shared" si="17"/>
        <v>2414699.61</v>
      </c>
      <c r="AC51" s="91">
        <f t="shared" si="17"/>
        <v>3073254.05</v>
      </c>
      <c r="AD51" s="91">
        <f t="shared" si="17"/>
        <v>2817149.55</v>
      </c>
      <c r="AE51" s="91">
        <f t="shared" si="17"/>
        <v>2817149.55</v>
      </c>
      <c r="AF51" s="91">
        <f t="shared" si="17"/>
        <v>3380579.45</v>
      </c>
      <c r="AG51" s="91">
        <f t="shared" si="17"/>
        <v>2817149.55</v>
      </c>
      <c r="AH51" s="91">
        <f t="shared" si="17"/>
        <v>3073254.05</v>
      </c>
      <c r="AI51" s="91">
        <f t="shared" si="17"/>
        <v>2817149.55</v>
      </c>
      <c r="AJ51" s="91">
        <f t="shared" si="17"/>
        <v>3073254.05</v>
      </c>
      <c r="AK51" s="91">
        <f t="shared" si="17"/>
        <v>3383731.51</v>
      </c>
      <c r="AL51" s="91">
        <f t="shared" si="17"/>
        <v>3380579.45</v>
      </c>
      <c r="AM51" s="91">
        <f t="shared" si="17"/>
        <v>2600445.73</v>
      </c>
      <c r="AN51" s="93">
        <f t="shared" si="17"/>
        <v>2600445.73</v>
      </c>
      <c r="AO51" s="87"/>
      <c r="AP51" s="94">
        <f>SUMIF($C$3:$C$45,"Core - software",AP3:AP45)</f>
        <v>8010235.21</v>
      </c>
      <c r="AQ51" s="94">
        <f t="shared" ref="AQ51:BE51" si="18">SUMIF($C$3:$C$45,"Core - software",AQ3:AQ45)</f>
        <v>8366540.6699999999</v>
      </c>
      <c r="AR51" s="94">
        <f t="shared" si="18"/>
        <v>7215318.2700000005</v>
      </c>
      <c r="AS51" s="94">
        <f t="shared" si="18"/>
        <v>8300164.8399999999</v>
      </c>
      <c r="AT51" s="94">
        <f t="shared" si="18"/>
        <v>8305103.21</v>
      </c>
      <c r="AU51" s="94">
        <f t="shared" si="18"/>
        <v>8490849.3300000001</v>
      </c>
      <c r="AV51" s="94">
        <f t="shared" si="18"/>
        <v>9363293.2400000002</v>
      </c>
      <c r="AW51" s="94">
        <f t="shared" si="18"/>
        <v>7646548.7699999996</v>
      </c>
      <c r="AX51" s="94">
        <f t="shared" si="18"/>
        <v>8707553.1500000004</v>
      </c>
      <c r="AY51" s="94">
        <f t="shared" si="18"/>
        <v>9270983.0499999989</v>
      </c>
      <c r="AZ51" s="94">
        <f t="shared" si="18"/>
        <v>9274135.1099999994</v>
      </c>
      <c r="BA51" s="94">
        <f t="shared" si="18"/>
        <v>8581470.9100000001</v>
      </c>
      <c r="BB51" s="94"/>
      <c r="BC51" s="94">
        <f t="shared" si="18"/>
        <v>31892258.989999998</v>
      </c>
      <c r="BD51" s="94">
        <f t="shared" si="18"/>
        <v>33805794.549999997</v>
      </c>
      <c r="BE51" s="94">
        <f t="shared" si="18"/>
        <v>35834142.219999999</v>
      </c>
    </row>
    <row r="52" spans="2:57" x14ac:dyDescent="0.25">
      <c r="B52" s="7" t="s">
        <v>1</v>
      </c>
      <c r="C52" s="9" t="s">
        <v>162</v>
      </c>
      <c r="D52" s="59"/>
      <c r="E52" s="91">
        <f>SUMIF($C$3:$C$45,"Core - publications",E3:E45)</f>
        <v>3638955.25</v>
      </c>
      <c r="F52" s="91">
        <f t="shared" ref="F52:AM52" si="19">SUMIF($C$3:$C$45,"Core - publications",F3:F45)</f>
        <v>3359035.62</v>
      </c>
      <c r="G52" s="91">
        <f t="shared" si="19"/>
        <v>3119104.5</v>
      </c>
      <c r="H52" s="91">
        <f t="shared" si="19"/>
        <v>3969769.36</v>
      </c>
      <c r="I52" s="91">
        <f t="shared" si="19"/>
        <v>4366746.3</v>
      </c>
      <c r="J52" s="91">
        <f t="shared" si="19"/>
        <v>3359035.62</v>
      </c>
      <c r="K52" s="91">
        <f t="shared" si="19"/>
        <v>3119104.5</v>
      </c>
      <c r="L52" s="91">
        <f t="shared" si="19"/>
        <v>3969769.36</v>
      </c>
      <c r="M52" s="91">
        <f t="shared" si="19"/>
        <v>3849076.74</v>
      </c>
      <c r="N52" s="91">
        <f t="shared" si="19"/>
        <v>3638955.25</v>
      </c>
      <c r="O52" s="91">
        <f t="shared" si="19"/>
        <v>3638955.25</v>
      </c>
      <c r="P52" s="91">
        <f t="shared" si="19"/>
        <v>3638955.25</v>
      </c>
      <c r="Q52" s="91">
        <f t="shared" si="19"/>
        <v>3526987.4</v>
      </c>
      <c r="R52" s="91">
        <f t="shared" si="19"/>
        <v>3526987.4</v>
      </c>
      <c r="S52" s="91">
        <f t="shared" si="19"/>
        <v>4168257.83</v>
      </c>
      <c r="T52" s="91">
        <f t="shared" si="19"/>
        <v>3275059.73</v>
      </c>
      <c r="U52" s="91">
        <f t="shared" si="19"/>
        <v>3526987.4</v>
      </c>
      <c r="V52" s="91">
        <f t="shared" si="19"/>
        <v>4585083.62</v>
      </c>
      <c r="W52" s="91">
        <f t="shared" si="19"/>
        <v>3820903.01</v>
      </c>
      <c r="X52" s="91">
        <f t="shared" si="19"/>
        <v>3275059.73</v>
      </c>
      <c r="Y52" s="91">
        <f t="shared" si="19"/>
        <v>4533934.66</v>
      </c>
      <c r="Z52" s="91">
        <f t="shared" si="19"/>
        <v>4168257.83</v>
      </c>
      <c r="AA52" s="91">
        <f t="shared" si="19"/>
        <v>3275059.73</v>
      </c>
      <c r="AB52" s="91">
        <f t="shared" si="19"/>
        <v>4168257.83</v>
      </c>
      <c r="AC52" s="91">
        <f t="shared" si="19"/>
        <v>4585083.62</v>
      </c>
      <c r="AD52" s="91">
        <f t="shared" si="19"/>
        <v>4585083.62</v>
      </c>
      <c r="AE52" s="91">
        <f t="shared" si="19"/>
        <v>3526987.4</v>
      </c>
      <c r="AF52" s="91">
        <f t="shared" si="19"/>
        <v>4168257.83</v>
      </c>
      <c r="AG52" s="91">
        <f t="shared" si="19"/>
        <v>3275059.73</v>
      </c>
      <c r="AH52" s="91">
        <f t="shared" si="19"/>
        <v>4585083.62</v>
      </c>
      <c r="AI52" s="91">
        <f t="shared" si="19"/>
        <v>4168257.83</v>
      </c>
      <c r="AJ52" s="91">
        <f t="shared" si="19"/>
        <v>3275059.73</v>
      </c>
      <c r="AK52" s="91">
        <f t="shared" si="19"/>
        <v>4662708.01</v>
      </c>
      <c r="AL52" s="91">
        <f t="shared" si="19"/>
        <v>3526987.4</v>
      </c>
      <c r="AM52" s="91">
        <f t="shared" si="19"/>
        <v>4168257.83</v>
      </c>
      <c r="AN52" s="93">
        <f>SUMIF($C$3:$C$45,"Core - publications",AN3:AN45)</f>
        <v>3275059.73</v>
      </c>
      <c r="AO52" s="87"/>
      <c r="AP52" s="94">
        <f>SUMIF($C$3:$C$45,"Core - publications",AP3:AP45)</f>
        <v>10117095.369999999</v>
      </c>
      <c r="AQ52" s="94">
        <f t="shared" ref="AQ52:BE52" si="20">SUMIF($C$3:$C$45,"Core - publications",AQ3:AQ45)</f>
        <v>11695551.280000001</v>
      </c>
      <c r="AR52" s="94">
        <f t="shared" si="20"/>
        <v>10937950.6</v>
      </c>
      <c r="AS52" s="94">
        <f t="shared" si="20"/>
        <v>10916865.75</v>
      </c>
      <c r="AT52" s="94">
        <f t="shared" si="20"/>
        <v>11222232.629999999</v>
      </c>
      <c r="AU52" s="94">
        <f t="shared" si="20"/>
        <v>11387130.75</v>
      </c>
      <c r="AV52" s="94">
        <f t="shared" si="20"/>
        <v>11629897.399999999</v>
      </c>
      <c r="AW52" s="94">
        <f t="shared" si="20"/>
        <v>11611575.390000001</v>
      </c>
      <c r="AX52" s="94">
        <f t="shared" si="20"/>
        <v>12697154.640000001</v>
      </c>
      <c r="AY52" s="94">
        <f t="shared" si="20"/>
        <v>12028401.18</v>
      </c>
      <c r="AZ52" s="94">
        <f t="shared" si="20"/>
        <v>12106025.57</v>
      </c>
      <c r="BA52" s="94">
        <f t="shared" si="20"/>
        <v>10970304.960000001</v>
      </c>
      <c r="BB52" s="94"/>
      <c r="BC52" s="94">
        <f t="shared" si="20"/>
        <v>43667463</v>
      </c>
      <c r="BD52" s="94">
        <f t="shared" si="20"/>
        <v>45850836.170000002</v>
      </c>
      <c r="BE52" s="94">
        <f t="shared" si="20"/>
        <v>47801886.349999994</v>
      </c>
    </row>
    <row r="53" spans="2:57" x14ac:dyDescent="0.25">
      <c r="B53" s="7" t="s">
        <v>1</v>
      </c>
      <c r="C53" s="9" t="s">
        <v>2</v>
      </c>
      <c r="D53" s="59"/>
      <c r="E53" s="91">
        <f>SUMIF($C$3:$C$45,"non-core",E3:E45)</f>
        <v>2149796.2999999998</v>
      </c>
      <c r="F53" s="91">
        <f t="shared" ref="F53:AN53" si="21">SUMIF($C$3:$C$45,"non-core",F3:F45)</f>
        <v>1825632.7399999998</v>
      </c>
      <c r="G53" s="91">
        <f t="shared" si="21"/>
        <v>1733852.4899999998</v>
      </c>
      <c r="H53" s="91">
        <f t="shared" si="21"/>
        <v>1800171.95</v>
      </c>
      <c r="I53" s="91">
        <f t="shared" si="21"/>
        <v>1776333.87</v>
      </c>
      <c r="J53" s="91">
        <f t="shared" si="21"/>
        <v>1785603.15</v>
      </c>
      <c r="K53" s="91">
        <f t="shared" si="21"/>
        <v>2078806.6300000001</v>
      </c>
      <c r="L53" s="91">
        <f t="shared" si="21"/>
        <v>2078806.6300000001</v>
      </c>
      <c r="M53" s="91">
        <f t="shared" si="21"/>
        <v>1021322.2899999999</v>
      </c>
      <c r="N53" s="91">
        <f t="shared" si="21"/>
        <v>1800171.95</v>
      </c>
      <c r="O53" s="91">
        <f t="shared" si="21"/>
        <v>2028099.73</v>
      </c>
      <c r="P53" s="91">
        <f t="shared" si="21"/>
        <v>1565053.26</v>
      </c>
      <c r="Q53" s="91">
        <f t="shared" si="21"/>
        <v>1823280.13</v>
      </c>
      <c r="R53" s="91">
        <f t="shared" si="21"/>
        <v>2216556.69</v>
      </c>
      <c r="S53" s="91">
        <f t="shared" si="21"/>
        <v>2177967.9300000002</v>
      </c>
      <c r="T53" s="91">
        <f t="shared" si="21"/>
        <v>2020716.31</v>
      </c>
      <c r="U53" s="91">
        <f t="shared" si="21"/>
        <v>1985253.72</v>
      </c>
      <c r="V53" s="91">
        <f t="shared" si="21"/>
        <v>1881084.6300000001</v>
      </c>
      <c r="W53" s="91">
        <f t="shared" si="21"/>
        <v>2077697.25</v>
      </c>
      <c r="X53" s="91">
        <f t="shared" si="21"/>
        <v>1975920.08</v>
      </c>
      <c r="Y53" s="91">
        <f t="shared" si="21"/>
        <v>1173476.94</v>
      </c>
      <c r="Z53" s="91">
        <f t="shared" si="21"/>
        <v>2123924.36</v>
      </c>
      <c r="AA53" s="91">
        <f t="shared" si="21"/>
        <v>1774745.21</v>
      </c>
      <c r="AB53" s="91">
        <f t="shared" si="21"/>
        <v>1826870.02</v>
      </c>
      <c r="AC53" s="91">
        <f t="shared" si="21"/>
        <v>1764319.69</v>
      </c>
      <c r="AD53" s="91">
        <f t="shared" si="21"/>
        <v>1857326.28</v>
      </c>
      <c r="AE53" s="91">
        <f t="shared" si="21"/>
        <v>1859962.01</v>
      </c>
      <c r="AF53" s="91">
        <f t="shared" si="21"/>
        <v>1859962.01</v>
      </c>
      <c r="AG53" s="91">
        <f t="shared" si="21"/>
        <v>2009012.07</v>
      </c>
      <c r="AH53" s="91">
        <f t="shared" si="21"/>
        <v>1700206.06</v>
      </c>
      <c r="AI53" s="91">
        <f t="shared" si="21"/>
        <v>1867527.7400000002</v>
      </c>
      <c r="AJ53" s="91">
        <f t="shared" si="21"/>
        <v>1900619.7300000002</v>
      </c>
      <c r="AK53" s="91">
        <f t="shared" si="21"/>
        <v>3768310.78</v>
      </c>
      <c r="AL53" s="91">
        <f t="shared" si="21"/>
        <v>1749079.98</v>
      </c>
      <c r="AM53" s="91">
        <f t="shared" si="21"/>
        <v>2062254.32</v>
      </c>
      <c r="AN53" s="104">
        <f t="shared" si="21"/>
        <v>2138766.65</v>
      </c>
      <c r="AO53" s="87"/>
      <c r="AP53" s="94">
        <f>SUMIF($C$3:$C$45,"non-core",AP3:AP45)</f>
        <v>5709281.5299999993</v>
      </c>
      <c r="AQ53" s="94">
        <f t="shared" ref="AQ53:BE53" si="22">SUMIF($C$3:$C$45,"non-core",AQ3:AQ45)</f>
        <v>5362108.97</v>
      </c>
      <c r="AR53" s="94">
        <f t="shared" si="22"/>
        <v>5178935.55</v>
      </c>
      <c r="AS53" s="94">
        <f t="shared" si="22"/>
        <v>5393324.9400000004</v>
      </c>
      <c r="AT53" s="94">
        <f t="shared" si="22"/>
        <v>6217804.75</v>
      </c>
      <c r="AU53" s="94">
        <f t="shared" si="22"/>
        <v>5887054.6599999992</v>
      </c>
      <c r="AV53" s="94">
        <f t="shared" si="22"/>
        <v>5227094.2699999996</v>
      </c>
      <c r="AW53" s="94">
        <f t="shared" si="22"/>
        <v>5725539.5899999999</v>
      </c>
      <c r="AX53" s="94">
        <f t="shared" si="22"/>
        <v>5481607.9800000004</v>
      </c>
      <c r="AY53" s="94">
        <f t="shared" si="22"/>
        <v>5569180.1399999997</v>
      </c>
      <c r="AZ53" s="94">
        <f t="shared" si="22"/>
        <v>7536458.25</v>
      </c>
      <c r="BA53" s="94">
        <f t="shared" si="22"/>
        <v>5950100.9499999993</v>
      </c>
      <c r="BB53" s="94"/>
      <c r="BC53" s="94">
        <f t="shared" si="22"/>
        <v>21643650.989999998</v>
      </c>
      <c r="BD53" s="94">
        <f t="shared" si="22"/>
        <v>23057493.27</v>
      </c>
      <c r="BE53" s="94">
        <f t="shared" si="22"/>
        <v>24537347.32</v>
      </c>
    </row>
    <row r="54" spans="2:57" x14ac:dyDescent="0.25">
      <c r="B54" s="38" t="s">
        <v>1</v>
      </c>
      <c r="C54" s="39" t="s">
        <v>145</v>
      </c>
      <c r="D54" s="63"/>
      <c r="E54" s="92">
        <f>SUM(E50:E53)</f>
        <v>16860494.82</v>
      </c>
      <c r="F54" s="92">
        <f t="shared" ref="F54:AM54" si="23">SUM(F50:F53)</f>
        <v>17172440.549999997</v>
      </c>
      <c r="G54" s="92">
        <f t="shared" si="23"/>
        <v>15683092.24</v>
      </c>
      <c r="H54" s="92">
        <f t="shared" si="23"/>
        <v>20400593.010000002</v>
      </c>
      <c r="I54" s="92">
        <f t="shared" si="23"/>
        <v>18576897.940000001</v>
      </c>
      <c r="J54" s="92">
        <f t="shared" si="23"/>
        <v>15595104.270000001</v>
      </c>
      <c r="K54" s="92">
        <f t="shared" si="23"/>
        <v>19297025.18</v>
      </c>
      <c r="L54" s="92">
        <f t="shared" si="23"/>
        <v>18772323.390000001</v>
      </c>
      <c r="M54" s="92">
        <f t="shared" si="23"/>
        <v>15674264.689999999</v>
      </c>
      <c r="N54" s="92">
        <f t="shared" si="23"/>
        <v>16269262.449999999</v>
      </c>
      <c r="O54" s="92">
        <f t="shared" si="23"/>
        <v>18521601.849999998</v>
      </c>
      <c r="P54" s="92">
        <f t="shared" si="23"/>
        <v>18794530.59</v>
      </c>
      <c r="Q54" s="92">
        <f t="shared" si="23"/>
        <v>19296803.989999998</v>
      </c>
      <c r="R54" s="92">
        <f t="shared" si="23"/>
        <v>19018736.150000002</v>
      </c>
      <c r="S54" s="92">
        <f t="shared" si="23"/>
        <v>19890312.280000001</v>
      </c>
      <c r="T54" s="92">
        <f t="shared" si="23"/>
        <v>17313395.309999999</v>
      </c>
      <c r="U54" s="92">
        <f t="shared" si="23"/>
        <v>20827820.779999997</v>
      </c>
      <c r="V54" s="92">
        <f t="shared" si="23"/>
        <v>18700491.34</v>
      </c>
      <c r="W54" s="92">
        <f t="shared" si="23"/>
        <v>17243564.280000001</v>
      </c>
      <c r="X54" s="92">
        <f t="shared" si="23"/>
        <v>20310454.969999999</v>
      </c>
      <c r="Y54" s="92">
        <f t="shared" si="23"/>
        <v>18261058.450000003</v>
      </c>
      <c r="Z54" s="92">
        <f t="shared" si="23"/>
        <v>17451400.09</v>
      </c>
      <c r="AA54" s="92">
        <f t="shared" si="23"/>
        <v>17284128.030000001</v>
      </c>
      <c r="AB54" s="92">
        <f t="shared" si="23"/>
        <v>19539214.370000001</v>
      </c>
      <c r="AC54" s="92">
        <f t="shared" si="23"/>
        <v>19624595.370000001</v>
      </c>
      <c r="AD54" s="92">
        <f t="shared" si="23"/>
        <v>21501885.060000002</v>
      </c>
      <c r="AE54" s="92">
        <f t="shared" si="23"/>
        <v>16948617.25</v>
      </c>
      <c r="AF54" s="92">
        <f t="shared" si="23"/>
        <v>21651124.900000002</v>
      </c>
      <c r="AG54" s="92">
        <f t="shared" si="23"/>
        <v>19230608.260000002</v>
      </c>
      <c r="AH54" s="92">
        <f t="shared" si="23"/>
        <v>21600869.34</v>
      </c>
      <c r="AI54" s="92">
        <f t="shared" si="23"/>
        <v>17597453.41</v>
      </c>
      <c r="AJ54" s="92">
        <f t="shared" si="23"/>
        <v>20491259.120000001</v>
      </c>
      <c r="AK54" s="92">
        <f t="shared" si="23"/>
        <v>22557258.530000001</v>
      </c>
      <c r="AL54" s="92">
        <f t="shared" si="23"/>
        <v>19786033.739999998</v>
      </c>
      <c r="AM54" s="92">
        <f t="shared" si="23"/>
        <v>19032895.890000001</v>
      </c>
      <c r="AN54" s="101">
        <f>SUM(AN50:AN53)</f>
        <v>19143659.02</v>
      </c>
      <c r="AO54" s="87"/>
      <c r="AP54" s="99">
        <f>SUM(AP50:AP53)</f>
        <v>49716027.609999999</v>
      </c>
      <c r="AQ54" s="99">
        <f t="shared" ref="AQ54:BE54" si="24">SUM(AQ50:AQ53)</f>
        <v>54572595.219999999</v>
      </c>
      <c r="AR54" s="99">
        <f t="shared" si="24"/>
        <v>53743613.260000005</v>
      </c>
      <c r="AS54" s="99">
        <f t="shared" si="24"/>
        <v>53585394.890000001</v>
      </c>
      <c r="AT54" s="99">
        <f t="shared" si="24"/>
        <v>58205852.420000002</v>
      </c>
      <c r="AU54" s="99">
        <f t="shared" si="24"/>
        <v>56841707.429999992</v>
      </c>
      <c r="AV54" s="99">
        <f t="shared" si="24"/>
        <v>55815077.700000003</v>
      </c>
      <c r="AW54" s="99">
        <f t="shared" si="24"/>
        <v>54274742.489999995</v>
      </c>
      <c r="AX54" s="99">
        <f t="shared" si="24"/>
        <v>58075097.680000007</v>
      </c>
      <c r="AY54" s="99">
        <f t="shared" si="24"/>
        <v>62482602.499999993</v>
      </c>
      <c r="AZ54" s="99">
        <f t="shared" si="24"/>
        <v>60645971.059999995</v>
      </c>
      <c r="BA54" s="99">
        <f t="shared" si="24"/>
        <v>57962588.650000006</v>
      </c>
      <c r="BB54" s="99"/>
      <c r="BC54" s="99">
        <f t="shared" si="24"/>
        <v>211617630.98000002</v>
      </c>
      <c r="BD54" s="94">
        <f t="shared" si="24"/>
        <v>225137380.03999999</v>
      </c>
      <c r="BE54" s="94">
        <f t="shared" si="24"/>
        <v>239166259.88999999</v>
      </c>
    </row>
    <row r="55" spans="2:57" x14ac:dyDescent="0.25">
      <c r="B55" s="7"/>
      <c r="C55" s="9"/>
      <c r="D55" s="9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3"/>
      <c r="Q55" s="94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3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3"/>
      <c r="AP55" s="94"/>
      <c r="AQ55" s="91"/>
      <c r="AR55" s="91"/>
      <c r="AS55" s="91"/>
      <c r="AT55" s="94"/>
      <c r="AU55" s="91"/>
      <c r="AV55" s="91"/>
      <c r="AW55" s="93"/>
      <c r="AX55" s="91"/>
      <c r="AY55" s="91"/>
      <c r="AZ55" s="91"/>
      <c r="BA55" s="93"/>
      <c r="BB55" s="98"/>
      <c r="BC55" s="94"/>
      <c r="BD55" s="94"/>
      <c r="BE55" s="94"/>
    </row>
    <row r="56" spans="2:57" x14ac:dyDescent="0.25">
      <c r="B56" s="7" t="s">
        <v>6</v>
      </c>
      <c r="C56" s="9" t="s">
        <v>7</v>
      </c>
      <c r="D56" s="59"/>
      <c r="E56" s="91">
        <f>SUMIF($C$3:$C$45,"staff",E3:E45)</f>
        <v>5401996.6299999999</v>
      </c>
      <c r="F56" s="91">
        <f t="shared" ref="F56:AN56" si="25">SUMIF($C$3:$C$45,"staff",F3:F45)</f>
        <v>5752046.3799999999</v>
      </c>
      <c r="G56" s="91">
        <f t="shared" si="25"/>
        <v>5769526.5800000001</v>
      </c>
      <c r="H56" s="91">
        <f t="shared" si="25"/>
        <v>5769526.5800000001</v>
      </c>
      <c r="I56" s="91">
        <f t="shared" si="25"/>
        <v>5401996.6299999999</v>
      </c>
      <c r="J56" s="91">
        <f t="shared" si="25"/>
        <v>5335782.0999999996</v>
      </c>
      <c r="K56" s="91">
        <f t="shared" si="25"/>
        <v>5635604.0599999996</v>
      </c>
      <c r="L56" s="91">
        <f t="shared" si="25"/>
        <v>5384311.2699999996</v>
      </c>
      <c r="M56" s="91">
        <f t="shared" si="25"/>
        <v>5043597.01</v>
      </c>
      <c r="N56" s="91">
        <f t="shared" si="25"/>
        <v>5330941.88</v>
      </c>
      <c r="O56" s="91">
        <f t="shared" si="25"/>
        <v>4839543.37</v>
      </c>
      <c r="P56" s="91">
        <f t="shared" si="25"/>
        <v>4961548.7</v>
      </c>
      <c r="Q56" s="91">
        <f t="shared" si="25"/>
        <v>5336535.24</v>
      </c>
      <c r="R56" s="91">
        <f t="shared" si="25"/>
        <v>5523912.5899999999</v>
      </c>
      <c r="S56" s="91">
        <f t="shared" si="25"/>
        <v>5361314.0499999989</v>
      </c>
      <c r="T56" s="91">
        <f t="shared" si="25"/>
        <v>5336535.24</v>
      </c>
      <c r="U56" s="91">
        <f t="shared" si="25"/>
        <v>5015806.13</v>
      </c>
      <c r="V56" s="91">
        <f t="shared" si="25"/>
        <v>5240214.04</v>
      </c>
      <c r="W56" s="91">
        <f t="shared" si="25"/>
        <v>5450369.3799999999</v>
      </c>
      <c r="X56" s="91">
        <f t="shared" si="25"/>
        <v>5647290.6499999994</v>
      </c>
      <c r="Y56" s="91">
        <f t="shared" si="25"/>
        <v>5828405.0099999998</v>
      </c>
      <c r="Z56" s="91">
        <f t="shared" si="25"/>
        <v>5708070.3499999996</v>
      </c>
      <c r="AA56" s="91">
        <f t="shared" si="25"/>
        <v>5015806.13</v>
      </c>
      <c r="AB56" s="91">
        <f t="shared" si="25"/>
        <v>5240214.04</v>
      </c>
      <c r="AC56" s="91">
        <f t="shared" si="25"/>
        <v>5672069.4600000009</v>
      </c>
      <c r="AD56" s="91">
        <f t="shared" si="25"/>
        <v>6018825.7599999998</v>
      </c>
      <c r="AE56" s="91">
        <f t="shared" si="25"/>
        <v>5308522.5</v>
      </c>
      <c r="AF56" s="91">
        <f t="shared" si="25"/>
        <v>5450369.3799999999</v>
      </c>
      <c r="AG56" s="91">
        <f t="shared" si="25"/>
        <v>4894706.12</v>
      </c>
      <c r="AH56" s="91">
        <f t="shared" si="25"/>
        <v>4950210.29</v>
      </c>
      <c r="AI56" s="91">
        <f t="shared" si="25"/>
        <v>5213157.18</v>
      </c>
      <c r="AJ56" s="91">
        <f t="shared" si="25"/>
        <v>6018825.7599999998</v>
      </c>
      <c r="AK56" s="91">
        <f t="shared" si="25"/>
        <v>6060554.25</v>
      </c>
      <c r="AL56" s="91">
        <f t="shared" si="25"/>
        <v>5672069.4600000009</v>
      </c>
      <c r="AM56" s="91">
        <f t="shared" si="25"/>
        <v>5606473.6199999992</v>
      </c>
      <c r="AN56" s="93">
        <f t="shared" si="25"/>
        <v>5606473.6199999992</v>
      </c>
      <c r="AP56" s="94">
        <f>SUMIF($C$3:$C$45,"staff",AP3:AP45)</f>
        <v>16923569.59</v>
      </c>
      <c r="AQ56" s="94">
        <f t="shared" ref="AQ56:BE56" si="26">SUMIF($C$3:$C$45,"staff",AQ3:AQ45)</f>
        <v>16507305.310000001</v>
      </c>
      <c r="AR56" s="94">
        <f t="shared" si="26"/>
        <v>16063512.34</v>
      </c>
      <c r="AS56" s="94">
        <f t="shared" si="26"/>
        <v>15132033.949999999</v>
      </c>
      <c r="AT56" s="94">
        <f t="shared" si="26"/>
        <v>16221761.880000001</v>
      </c>
      <c r="AU56" s="94">
        <f t="shared" si="26"/>
        <v>15592555.410000002</v>
      </c>
      <c r="AV56" s="94">
        <f t="shared" si="26"/>
        <v>16926065.039999999</v>
      </c>
      <c r="AW56" s="94">
        <f t="shared" si="26"/>
        <v>15964090.52</v>
      </c>
      <c r="AX56" s="94">
        <f t="shared" si="26"/>
        <v>16999417.719999999</v>
      </c>
      <c r="AY56" s="94">
        <f t="shared" si="26"/>
        <v>15295285.789999999</v>
      </c>
      <c r="AZ56" s="94">
        <f t="shared" si="26"/>
        <v>17292537.189999998</v>
      </c>
      <c r="BA56" s="94">
        <f t="shared" si="26"/>
        <v>16885016.700000003</v>
      </c>
      <c r="BB56" s="94"/>
      <c r="BC56" s="94">
        <f t="shared" si="26"/>
        <v>64626421.189999998</v>
      </c>
      <c r="BD56" s="94">
        <f t="shared" si="26"/>
        <v>64704472.850000001</v>
      </c>
      <c r="BE56" s="94">
        <f t="shared" si="26"/>
        <v>66472257.399999999</v>
      </c>
    </row>
    <row r="57" spans="2:57" x14ac:dyDescent="0.25">
      <c r="B57" s="7" t="s">
        <v>6</v>
      </c>
      <c r="C57" s="9" t="s">
        <v>17</v>
      </c>
      <c r="D57" s="59"/>
      <c r="E57" s="91">
        <f>SUMIF($C$3:$C$45,"facilities",E3:E45)</f>
        <v>2451859.0399999996</v>
      </c>
      <c r="F57" s="91">
        <f t="shared" ref="F57:AN57" si="27">SUMIF($C$3:$C$45,"facilities",F3:F45)</f>
        <v>2393820.0099999998</v>
      </c>
      <c r="G57" s="91">
        <f t="shared" si="27"/>
        <v>2473062.7799999998</v>
      </c>
      <c r="H57" s="91">
        <f t="shared" si="27"/>
        <v>2454459.79</v>
      </c>
      <c r="I57" s="91">
        <f t="shared" si="27"/>
        <v>2428943.0100000002</v>
      </c>
      <c r="J57" s="91">
        <f t="shared" si="27"/>
        <v>2445057.23</v>
      </c>
      <c r="K57" s="91">
        <f t="shared" si="27"/>
        <v>2460329.56</v>
      </c>
      <c r="L57" s="91">
        <f t="shared" si="27"/>
        <v>2413198.23</v>
      </c>
      <c r="M57" s="91">
        <f t="shared" si="27"/>
        <v>2381348.69</v>
      </c>
      <c r="N57" s="91">
        <f t="shared" si="27"/>
        <v>2463490.92</v>
      </c>
      <c r="O57" s="91">
        <f t="shared" si="27"/>
        <v>2405395.8199999998</v>
      </c>
      <c r="P57" s="91">
        <f t="shared" si="27"/>
        <v>2429948.0100000002</v>
      </c>
      <c r="Q57" s="91">
        <f t="shared" si="27"/>
        <v>2494085.1199999996</v>
      </c>
      <c r="R57" s="91">
        <f t="shared" si="27"/>
        <v>2486842.4099999997</v>
      </c>
      <c r="S57" s="91">
        <f t="shared" si="27"/>
        <v>2465469.5299999998</v>
      </c>
      <c r="T57" s="91">
        <f t="shared" si="27"/>
        <v>2482978.0399999996</v>
      </c>
      <c r="U57" s="91">
        <f t="shared" si="27"/>
        <v>2522383.5699999998</v>
      </c>
      <c r="V57" s="91">
        <f t="shared" si="27"/>
        <v>2516120.4699999997</v>
      </c>
      <c r="W57" s="91">
        <f t="shared" si="27"/>
        <v>2504551.39</v>
      </c>
      <c r="X57" s="91">
        <f t="shared" si="27"/>
        <v>2466048.11</v>
      </c>
      <c r="Y57" s="91">
        <f t="shared" si="27"/>
        <v>2516359.5699999998</v>
      </c>
      <c r="Z57" s="91">
        <f t="shared" si="27"/>
        <v>2520556.79</v>
      </c>
      <c r="AA57" s="91">
        <f t="shared" si="27"/>
        <v>2451696.33</v>
      </c>
      <c r="AB57" s="91">
        <f t="shared" si="27"/>
        <v>2493269.1299999994</v>
      </c>
      <c r="AC57" s="91">
        <f t="shared" si="27"/>
        <v>2467903.9300000002</v>
      </c>
      <c r="AD57" s="91">
        <f t="shared" si="27"/>
        <v>2526596.3299999996</v>
      </c>
      <c r="AE57" s="91">
        <f t="shared" si="27"/>
        <v>2501590.3100000005</v>
      </c>
      <c r="AF57" s="91">
        <f t="shared" si="27"/>
        <v>2527474.19</v>
      </c>
      <c r="AG57" s="91">
        <f t="shared" si="27"/>
        <v>2465776.71</v>
      </c>
      <c r="AH57" s="91">
        <f t="shared" si="27"/>
        <v>2472969.35</v>
      </c>
      <c r="AI57" s="91">
        <f t="shared" si="27"/>
        <v>2512273.27</v>
      </c>
      <c r="AJ57" s="91">
        <f t="shared" si="27"/>
        <v>2517880.4999999995</v>
      </c>
      <c r="AK57" s="91">
        <f t="shared" si="27"/>
        <v>2634871.16</v>
      </c>
      <c r="AL57" s="91">
        <f t="shared" si="27"/>
        <v>2519684.8499999996</v>
      </c>
      <c r="AM57" s="91">
        <f t="shared" si="27"/>
        <v>2485001.81</v>
      </c>
      <c r="AN57" s="93">
        <f t="shared" si="27"/>
        <v>2523008.92</v>
      </c>
      <c r="AP57" s="94">
        <f>SUMIF($C$3:$C$45,"facilities",AP3:AP45)</f>
        <v>7318741.830000001</v>
      </c>
      <c r="AQ57" s="94">
        <f t="shared" ref="AQ57:BE57" si="28">SUMIF($C$3:$C$45,"facilities",AQ3:AQ45)</f>
        <v>7328460.0299999993</v>
      </c>
      <c r="AR57" s="94">
        <f t="shared" si="28"/>
        <v>7254876.4799999986</v>
      </c>
      <c r="AS57" s="94">
        <f t="shared" si="28"/>
        <v>7298834.75</v>
      </c>
      <c r="AT57" s="94">
        <f t="shared" si="28"/>
        <v>7446397.0600000005</v>
      </c>
      <c r="AU57" s="94">
        <f t="shared" si="28"/>
        <v>7521482.0799999991</v>
      </c>
      <c r="AV57" s="94">
        <f t="shared" si="28"/>
        <v>7486959.0700000003</v>
      </c>
      <c r="AW57" s="94">
        <f t="shared" si="28"/>
        <v>7465522.2499999991</v>
      </c>
      <c r="AX57" s="94">
        <f t="shared" si="28"/>
        <v>7496090.5699999984</v>
      </c>
      <c r="AY57" s="94">
        <f t="shared" si="28"/>
        <v>7466220.2499999991</v>
      </c>
      <c r="AZ57" s="94">
        <f t="shared" si="28"/>
        <v>7665024.9299999988</v>
      </c>
      <c r="BA57" s="94">
        <f t="shared" si="28"/>
        <v>7527695.5799999991</v>
      </c>
      <c r="BB57" s="94"/>
      <c r="BC57" s="94">
        <f t="shared" si="28"/>
        <v>29200913.090000007</v>
      </c>
      <c r="BD57" s="94">
        <f t="shared" si="28"/>
        <v>29920360.460000001</v>
      </c>
      <c r="BE57" s="94">
        <f t="shared" si="28"/>
        <v>30155031.329999998</v>
      </c>
    </row>
    <row r="58" spans="2:57" x14ac:dyDescent="0.25">
      <c r="B58" s="7" t="s">
        <v>6</v>
      </c>
      <c r="C58" s="9" t="s">
        <v>13</v>
      </c>
      <c r="D58" s="59"/>
      <c r="E58" s="91">
        <f>SUMIF($C$3:$C$45,"IT",E3:E45)</f>
        <v>2320068.06</v>
      </c>
      <c r="F58" s="91">
        <f t="shared" ref="F58:AM58" si="29">SUMIF($C$3:$C$45,"IT",F3:F45)</f>
        <v>2668126.2600000002</v>
      </c>
      <c r="G58" s="91">
        <f t="shared" si="29"/>
        <v>2447828.2700000005</v>
      </c>
      <c r="H58" s="91">
        <f t="shared" si="29"/>
        <v>2283503.5699999998</v>
      </c>
      <c r="I58" s="91">
        <f t="shared" si="29"/>
        <v>2499092.11</v>
      </c>
      <c r="J58" s="91">
        <f t="shared" si="29"/>
        <v>2439036.88</v>
      </c>
      <c r="K58" s="91">
        <f t="shared" si="29"/>
        <v>2360168.2400000002</v>
      </c>
      <c r="L58" s="91">
        <f t="shared" si="29"/>
        <v>2444136.71</v>
      </c>
      <c r="M58" s="91">
        <f t="shared" si="29"/>
        <v>2251680.3800000004</v>
      </c>
      <c r="N58" s="91">
        <f t="shared" si="29"/>
        <v>2831861.17</v>
      </c>
      <c r="O58" s="91">
        <f t="shared" si="29"/>
        <v>2913346.45</v>
      </c>
      <c r="P58" s="91">
        <f t="shared" si="29"/>
        <v>2558195.9299999997</v>
      </c>
      <c r="Q58" s="91">
        <f t="shared" si="29"/>
        <v>2698178.5700000003</v>
      </c>
      <c r="R58" s="91">
        <f t="shared" si="29"/>
        <v>2608882.7000000002</v>
      </c>
      <c r="S58" s="91">
        <f t="shared" si="29"/>
        <v>2982739.1100000003</v>
      </c>
      <c r="T58" s="91">
        <f t="shared" si="29"/>
        <v>2880503.92</v>
      </c>
      <c r="U58" s="91">
        <f t="shared" si="29"/>
        <v>2461433.4900000002</v>
      </c>
      <c r="V58" s="91">
        <f t="shared" si="29"/>
        <v>2431142.62</v>
      </c>
      <c r="W58" s="91">
        <f t="shared" si="29"/>
        <v>2444314.5500000003</v>
      </c>
      <c r="X58" s="91">
        <f t="shared" si="29"/>
        <v>2660611.7800000003</v>
      </c>
      <c r="Y58" s="91">
        <f t="shared" si="29"/>
        <v>2059041.71</v>
      </c>
      <c r="Z58" s="91">
        <f t="shared" si="29"/>
        <v>2585388.42</v>
      </c>
      <c r="AA58" s="91">
        <f t="shared" si="29"/>
        <v>2780762.3800000004</v>
      </c>
      <c r="AB58" s="91">
        <f t="shared" si="29"/>
        <v>2471891.42</v>
      </c>
      <c r="AC58" s="91">
        <f t="shared" si="29"/>
        <v>2674421.79</v>
      </c>
      <c r="AD58" s="91">
        <f t="shared" si="29"/>
        <v>2488167.9400000004</v>
      </c>
      <c r="AE58" s="91">
        <f t="shared" si="29"/>
        <v>2609552.79</v>
      </c>
      <c r="AF58" s="91">
        <f t="shared" si="29"/>
        <v>2389311.52</v>
      </c>
      <c r="AG58" s="91">
        <f t="shared" si="29"/>
        <v>2513126.0900000003</v>
      </c>
      <c r="AH58" s="91">
        <f t="shared" si="29"/>
        <v>2934373.9200000004</v>
      </c>
      <c r="AI58" s="91">
        <f t="shared" si="29"/>
        <v>2842293.9000000004</v>
      </c>
      <c r="AJ58" s="91">
        <f t="shared" si="29"/>
        <v>2715761.1999999997</v>
      </c>
      <c r="AK58" s="91">
        <f t="shared" si="29"/>
        <v>3633906.01</v>
      </c>
      <c r="AL58" s="91">
        <f t="shared" si="29"/>
        <v>2717551.04</v>
      </c>
      <c r="AM58" s="91">
        <f t="shared" si="29"/>
        <v>2561122.66</v>
      </c>
      <c r="AN58" s="93">
        <f>SUMIF($C$3:$C$45,"IT",AN3:AN45)</f>
        <v>2469051.5999999996</v>
      </c>
      <c r="AP58" s="94">
        <f>SUMIF($C$3:$C$45,"IT",AP3:AP45)</f>
        <v>7436022.5899999999</v>
      </c>
      <c r="AQ58" s="94">
        <f t="shared" ref="AQ58:BE58" si="30">SUMIF($C$3:$C$45,"IT",AQ3:AQ45)</f>
        <v>7221632.5600000005</v>
      </c>
      <c r="AR58" s="94">
        <f t="shared" si="30"/>
        <v>7055985.3300000001</v>
      </c>
      <c r="AS58" s="94">
        <f t="shared" si="30"/>
        <v>8303403.5499999998</v>
      </c>
      <c r="AT58" s="94">
        <f t="shared" si="30"/>
        <v>8289800.379999999</v>
      </c>
      <c r="AU58" s="94">
        <f t="shared" si="30"/>
        <v>7773080.0300000003</v>
      </c>
      <c r="AV58" s="94">
        <f t="shared" si="30"/>
        <v>7163968.04</v>
      </c>
      <c r="AW58" s="94">
        <f t="shared" si="30"/>
        <v>7838042.2200000016</v>
      </c>
      <c r="AX58" s="94">
        <f t="shared" si="30"/>
        <v>7772142.5199999986</v>
      </c>
      <c r="AY58" s="94">
        <f t="shared" si="30"/>
        <v>7836811.5300000012</v>
      </c>
      <c r="AZ58" s="94">
        <f t="shared" si="30"/>
        <v>9191961.1099999994</v>
      </c>
      <c r="BA58" s="94">
        <f t="shared" si="30"/>
        <v>7747725.3000000007</v>
      </c>
      <c r="BB58" s="94"/>
      <c r="BC58" s="94">
        <f t="shared" si="30"/>
        <v>30017044.029999997</v>
      </c>
      <c r="BD58" s="94">
        <f t="shared" si="30"/>
        <v>31064890.670000002</v>
      </c>
      <c r="BE58" s="94">
        <f t="shared" si="30"/>
        <v>32548640.459999997</v>
      </c>
    </row>
    <row r="59" spans="2:57" x14ac:dyDescent="0.25">
      <c r="B59" s="7" t="s">
        <v>6</v>
      </c>
      <c r="C59" s="9" t="s">
        <v>41</v>
      </c>
      <c r="D59" s="59"/>
      <c r="E59" s="91">
        <f>SUMIF($C$3:$C$45,$C59,E3:E45)</f>
        <v>1361527.45</v>
      </c>
      <c r="F59" s="91">
        <f t="shared" ref="F59:AM59" si="31">SUMIF($C$3:$C$45,$C59,F3:F45)</f>
        <v>1194464.8700000001</v>
      </c>
      <c r="G59" s="91">
        <f t="shared" si="31"/>
        <v>1206971.28</v>
      </c>
      <c r="H59" s="91">
        <f t="shared" si="31"/>
        <v>1335297.71</v>
      </c>
      <c r="I59" s="91">
        <f t="shared" si="31"/>
        <v>1304878.58</v>
      </c>
      <c r="J59" s="91">
        <f t="shared" si="31"/>
        <v>1330364.1000000001</v>
      </c>
      <c r="K59" s="91">
        <f t="shared" si="31"/>
        <v>1270889.71</v>
      </c>
      <c r="L59" s="91">
        <f t="shared" si="31"/>
        <v>1127281.54</v>
      </c>
      <c r="M59" s="91">
        <f t="shared" si="31"/>
        <v>1287275.6499999999</v>
      </c>
      <c r="N59" s="91">
        <f t="shared" si="31"/>
        <v>1429669.2</v>
      </c>
      <c r="O59" s="91">
        <f t="shared" si="31"/>
        <v>1289254.31</v>
      </c>
      <c r="P59" s="91">
        <f t="shared" si="31"/>
        <v>1378434.62</v>
      </c>
      <c r="Q59" s="91">
        <f t="shared" si="31"/>
        <v>1450119.37</v>
      </c>
      <c r="R59" s="91">
        <f t="shared" si="31"/>
        <v>1251871.8899999999</v>
      </c>
      <c r="S59" s="91">
        <f t="shared" si="31"/>
        <v>1466461.19</v>
      </c>
      <c r="T59" s="91">
        <f t="shared" si="31"/>
        <v>1305023.6299999999</v>
      </c>
      <c r="U59" s="91">
        <f t="shared" si="31"/>
        <v>1347760.44</v>
      </c>
      <c r="V59" s="91">
        <f t="shared" si="31"/>
        <v>1467877.43</v>
      </c>
      <c r="W59" s="91">
        <f t="shared" si="31"/>
        <v>1432809.82</v>
      </c>
      <c r="X59" s="91">
        <f t="shared" si="31"/>
        <v>1377622.33</v>
      </c>
      <c r="Y59" s="91">
        <f t="shared" si="31"/>
        <v>1127048.05</v>
      </c>
      <c r="Z59" s="91">
        <f t="shared" si="31"/>
        <v>1424529.21</v>
      </c>
      <c r="AA59" s="91">
        <f t="shared" si="31"/>
        <v>1455388.58</v>
      </c>
      <c r="AB59" s="91">
        <f t="shared" si="31"/>
        <v>1496323.08</v>
      </c>
      <c r="AC59" s="91">
        <f t="shared" si="31"/>
        <v>1225187.8999999999</v>
      </c>
      <c r="AD59" s="91">
        <f t="shared" si="31"/>
        <v>1467877.43</v>
      </c>
      <c r="AE59" s="91">
        <f t="shared" si="31"/>
        <v>1259516.52</v>
      </c>
      <c r="AF59" s="91">
        <f t="shared" si="31"/>
        <v>1509578.59</v>
      </c>
      <c r="AG59" s="91">
        <f t="shared" si="31"/>
        <v>1177341.3899999999</v>
      </c>
      <c r="AH59" s="91">
        <f t="shared" si="31"/>
        <v>1248952.08</v>
      </c>
      <c r="AI59" s="91">
        <f t="shared" si="31"/>
        <v>1281733.78</v>
      </c>
      <c r="AJ59" s="91">
        <f t="shared" si="31"/>
        <v>1182728.7999999998</v>
      </c>
      <c r="AK59" s="91">
        <f t="shared" si="31"/>
        <v>1732051.7999999998</v>
      </c>
      <c r="AL59" s="91">
        <f t="shared" si="31"/>
        <v>1450119.37</v>
      </c>
      <c r="AM59" s="91">
        <f t="shared" si="31"/>
        <v>1283892.67</v>
      </c>
      <c r="AN59" s="93">
        <f>SUMIF($C$3:$C$45,$C59,AN3:AN45)</f>
        <v>1478259.08</v>
      </c>
      <c r="AP59" s="94">
        <f>SUMIF($C$3:$C$45,$C59,AP3:AP45)</f>
        <v>3762963.5999999996</v>
      </c>
      <c r="AQ59" s="94">
        <f t="shared" ref="AQ59:BE59" si="32">SUMIF($C$3:$C$45,$C59,AQ3:AQ45)</f>
        <v>3970540.39</v>
      </c>
      <c r="AR59" s="94">
        <f t="shared" si="32"/>
        <v>3685446.9</v>
      </c>
      <c r="AS59" s="94">
        <f t="shared" si="32"/>
        <v>4097358.13</v>
      </c>
      <c r="AT59" s="94">
        <f t="shared" si="32"/>
        <v>4168452.45</v>
      </c>
      <c r="AU59" s="94">
        <f t="shared" si="32"/>
        <v>4120661.5</v>
      </c>
      <c r="AV59" s="94">
        <f t="shared" si="32"/>
        <v>3937480.2</v>
      </c>
      <c r="AW59" s="94">
        <f t="shared" si="32"/>
        <v>4376240.87</v>
      </c>
      <c r="AX59" s="94">
        <f t="shared" si="32"/>
        <v>3952581.85</v>
      </c>
      <c r="AY59" s="94">
        <f t="shared" si="32"/>
        <v>3935872.06</v>
      </c>
      <c r="AZ59" s="94">
        <f t="shared" si="32"/>
        <v>4196514.379999999</v>
      </c>
      <c r="BA59" s="94">
        <f t="shared" si="32"/>
        <v>4212271.12</v>
      </c>
      <c r="BB59" s="94"/>
      <c r="BC59" s="94">
        <f t="shared" si="32"/>
        <v>15516309.02</v>
      </c>
      <c r="BD59" s="94">
        <f t="shared" si="32"/>
        <v>16602835.02</v>
      </c>
      <c r="BE59" s="94">
        <f t="shared" si="32"/>
        <v>16297239.41</v>
      </c>
    </row>
    <row r="60" spans="2:57" x14ac:dyDescent="0.25">
      <c r="B60" s="7" t="s">
        <v>6</v>
      </c>
      <c r="C60" s="9" t="s">
        <v>40</v>
      </c>
      <c r="D60" s="59"/>
      <c r="E60" s="91">
        <f t="shared" ref="E60:AL62" si="33">SUMIF($C$3:$C$45,$C60,E$3:E$45)</f>
        <v>975925.44000000006</v>
      </c>
      <c r="F60" s="91">
        <f t="shared" si="33"/>
        <v>968184.53</v>
      </c>
      <c r="G60" s="91">
        <f t="shared" si="33"/>
        <v>989782.54999999993</v>
      </c>
      <c r="H60" s="91">
        <f t="shared" si="33"/>
        <v>970223.26</v>
      </c>
      <c r="I60" s="91">
        <f t="shared" si="33"/>
        <v>997523.46</v>
      </c>
      <c r="J60" s="91">
        <f t="shared" si="33"/>
        <v>989368.53</v>
      </c>
      <c r="K60" s="91">
        <f t="shared" si="33"/>
        <v>997523.46</v>
      </c>
      <c r="L60" s="91">
        <f t="shared" si="33"/>
        <v>964521.08</v>
      </c>
      <c r="M60" s="91">
        <f t="shared" si="33"/>
        <v>975925.44000000006</v>
      </c>
      <c r="N60" s="91">
        <f t="shared" si="33"/>
        <v>966559.82</v>
      </c>
      <c r="O60" s="91">
        <f t="shared" si="33"/>
        <v>958404.89</v>
      </c>
      <c r="P60" s="91">
        <f t="shared" si="33"/>
        <v>981627.62</v>
      </c>
      <c r="Q60" s="91">
        <f t="shared" si="33"/>
        <v>1021323.29</v>
      </c>
      <c r="R60" s="91">
        <f t="shared" si="33"/>
        <v>1013272.75</v>
      </c>
      <c r="S60" s="91">
        <f t="shared" si="33"/>
        <v>1035304.1</v>
      </c>
      <c r="T60" s="91">
        <f t="shared" si="33"/>
        <v>1011152.47</v>
      </c>
      <c r="U60" s="91">
        <f t="shared" si="33"/>
        <v>1025133.28</v>
      </c>
      <c r="V60" s="91">
        <f t="shared" si="33"/>
        <v>1021323.29</v>
      </c>
      <c r="W60" s="91">
        <f t="shared" si="33"/>
        <v>996741.08</v>
      </c>
      <c r="X60" s="91">
        <f t="shared" si="33"/>
        <v>1011152.47</v>
      </c>
      <c r="Y60" s="91">
        <f t="shared" si="33"/>
        <v>1010291.3099999999</v>
      </c>
      <c r="Z60" s="91">
        <f t="shared" si="33"/>
        <v>1014962.4500000001</v>
      </c>
      <c r="AA60" s="91">
        <f t="shared" si="33"/>
        <v>1013272.75</v>
      </c>
      <c r="AB60" s="91">
        <f t="shared" si="33"/>
        <v>1031063.54</v>
      </c>
      <c r="AC60" s="91">
        <f t="shared" si="33"/>
        <v>1013272.75</v>
      </c>
      <c r="AD60" s="91">
        <f t="shared" si="33"/>
        <v>1031063.54</v>
      </c>
      <c r="AE60" s="91">
        <f t="shared" si="33"/>
        <v>1033183.8200000001</v>
      </c>
      <c r="AF60" s="91">
        <f t="shared" si="33"/>
        <v>998861.36</v>
      </c>
      <c r="AG60" s="91">
        <f t="shared" si="33"/>
        <v>1006911.91</v>
      </c>
      <c r="AH60" s="91">
        <f t="shared" si="33"/>
        <v>1000981.6399999999</v>
      </c>
      <c r="AI60" s="91">
        <f t="shared" si="33"/>
        <v>1005222.2</v>
      </c>
      <c r="AJ60" s="91">
        <f t="shared" si="33"/>
        <v>1020892.72</v>
      </c>
      <c r="AK60" s="91">
        <f t="shared" si="33"/>
        <v>1016834</v>
      </c>
      <c r="AL60" s="91">
        <f t="shared" si="33"/>
        <v>1004791.63</v>
      </c>
      <c r="AM60" s="91">
        <f t="shared" ref="F60:AN62" si="34">SUMIF($C$3:$C$45,$C60,AM$3:AM$45)</f>
        <v>1035304.1</v>
      </c>
      <c r="AN60" s="93">
        <f>SUMIF($C$3:$C$45,$C60,AN$3:AN$45)</f>
        <v>1017082.73</v>
      </c>
      <c r="AP60" s="94">
        <f>SUMIF($C$3:$C$45,$C60,AP$3:AP$45)</f>
        <v>2933892.5200000005</v>
      </c>
      <c r="AQ60" s="94">
        <f t="shared" ref="AQ60:BE62" si="35">SUMIF($C$3:$C$45,$C60,AQ$3:AQ$45)</f>
        <v>2957115.25</v>
      </c>
      <c r="AR60" s="94">
        <f t="shared" si="35"/>
        <v>2937969.9799999995</v>
      </c>
      <c r="AS60" s="94">
        <f t="shared" si="35"/>
        <v>2906592.33</v>
      </c>
      <c r="AT60" s="94">
        <f t="shared" si="35"/>
        <v>3069900.14</v>
      </c>
      <c r="AU60" s="94">
        <f t="shared" si="35"/>
        <v>3057609.04</v>
      </c>
      <c r="AV60" s="94">
        <f t="shared" si="35"/>
        <v>3018184.86</v>
      </c>
      <c r="AW60" s="94">
        <f t="shared" si="35"/>
        <v>3059298.74</v>
      </c>
      <c r="AX60" s="94">
        <f t="shared" si="35"/>
        <v>3077520.1100000003</v>
      </c>
      <c r="AY60" s="94">
        <f t="shared" si="35"/>
        <v>3006754.9099999997</v>
      </c>
      <c r="AZ60" s="94">
        <f t="shared" si="35"/>
        <v>3042948.92</v>
      </c>
      <c r="BA60" s="94">
        <f t="shared" si="35"/>
        <v>3057178.46</v>
      </c>
      <c r="BB60" s="94"/>
      <c r="BC60" s="94">
        <f t="shared" si="35"/>
        <v>11735570.079999998</v>
      </c>
      <c r="BD60" s="94">
        <f t="shared" si="35"/>
        <v>12204992.779999999</v>
      </c>
      <c r="BE60" s="94">
        <f t="shared" si="35"/>
        <v>12184402.4</v>
      </c>
    </row>
    <row r="61" spans="2:57" x14ac:dyDescent="0.25">
      <c r="B61" s="7" t="s">
        <v>6</v>
      </c>
      <c r="C61" s="9" t="s">
        <v>39</v>
      </c>
      <c r="D61" s="59"/>
      <c r="E61" s="91">
        <f t="shared" si="33"/>
        <v>258618.4</v>
      </c>
      <c r="F61" s="91">
        <f t="shared" si="34"/>
        <v>184727.43</v>
      </c>
      <c r="G61" s="91">
        <f t="shared" si="34"/>
        <v>184727.43</v>
      </c>
      <c r="H61" s="91">
        <f t="shared" si="34"/>
        <v>721890.33</v>
      </c>
      <c r="I61" s="91">
        <f t="shared" si="34"/>
        <v>198937.23</v>
      </c>
      <c r="J61" s="91">
        <f t="shared" si="34"/>
        <v>198937.23</v>
      </c>
      <c r="K61" s="91">
        <f t="shared" si="34"/>
        <v>1622531.78</v>
      </c>
      <c r="L61" s="91">
        <f t="shared" si="34"/>
        <v>235107.64</v>
      </c>
      <c r="M61" s="91">
        <f t="shared" si="34"/>
        <v>198420.51</v>
      </c>
      <c r="N61" s="91">
        <f t="shared" si="34"/>
        <v>235107.64</v>
      </c>
      <c r="O61" s="91">
        <f t="shared" si="34"/>
        <v>235107.64</v>
      </c>
      <c r="P61" s="91">
        <f t="shared" si="34"/>
        <v>1217365.75</v>
      </c>
      <c r="Q61" s="91">
        <f t="shared" si="34"/>
        <v>266376.95</v>
      </c>
      <c r="R61" s="91">
        <f t="shared" si="34"/>
        <v>970094.25</v>
      </c>
      <c r="S61" s="91">
        <f t="shared" si="34"/>
        <v>266376.95</v>
      </c>
      <c r="T61" s="91">
        <f t="shared" si="34"/>
        <v>266376.95</v>
      </c>
      <c r="U61" s="91">
        <f t="shared" si="34"/>
        <v>190269.25</v>
      </c>
      <c r="V61" s="91">
        <f t="shared" si="34"/>
        <v>204905.35</v>
      </c>
      <c r="W61" s="91">
        <f t="shared" si="34"/>
        <v>1373584.8699999999</v>
      </c>
      <c r="X61" s="91">
        <f t="shared" si="34"/>
        <v>204905.35</v>
      </c>
      <c r="Y61" s="91">
        <f t="shared" si="34"/>
        <v>1275997.97</v>
      </c>
      <c r="Z61" s="91">
        <f t="shared" si="34"/>
        <v>190269.25</v>
      </c>
      <c r="AA61" s="91">
        <f t="shared" si="34"/>
        <v>242160.87</v>
      </c>
      <c r="AB61" s="91">
        <f t="shared" si="34"/>
        <v>204905.35</v>
      </c>
      <c r="AC61" s="91">
        <f t="shared" si="34"/>
        <v>242160.87</v>
      </c>
      <c r="AD61" s="91">
        <f t="shared" si="34"/>
        <v>1036933.8200000001</v>
      </c>
      <c r="AE61" s="91">
        <f t="shared" si="34"/>
        <v>221980.79</v>
      </c>
      <c r="AF61" s="91">
        <f t="shared" si="34"/>
        <v>190269.25</v>
      </c>
      <c r="AG61" s="91">
        <f t="shared" si="34"/>
        <v>242160.87</v>
      </c>
      <c r="AH61" s="91">
        <f t="shared" si="34"/>
        <v>221980.79</v>
      </c>
      <c r="AI61" s="91">
        <f t="shared" si="34"/>
        <v>1330693.4099999999</v>
      </c>
      <c r="AJ61" s="91">
        <f t="shared" si="34"/>
        <v>221980.79</v>
      </c>
      <c r="AK61" s="91">
        <f t="shared" si="34"/>
        <v>1424486.39</v>
      </c>
      <c r="AL61" s="91">
        <f t="shared" si="34"/>
        <v>204905.35</v>
      </c>
      <c r="AM61" s="91">
        <f t="shared" si="34"/>
        <v>221980.79</v>
      </c>
      <c r="AN61" s="93">
        <f t="shared" si="34"/>
        <v>266376.95</v>
      </c>
      <c r="AP61" s="94">
        <f>SUMIF($C$3:$C$45,$C61,AP$3:AP$45)</f>
        <v>628073.26</v>
      </c>
      <c r="AQ61" s="94">
        <f t="shared" si="35"/>
        <v>1119764.79</v>
      </c>
      <c r="AR61" s="94">
        <f t="shared" si="35"/>
        <v>2056059.9300000002</v>
      </c>
      <c r="AS61" s="94">
        <f t="shared" si="35"/>
        <v>1687581.03</v>
      </c>
      <c r="AT61" s="94">
        <f t="shared" si="35"/>
        <v>1502848.15</v>
      </c>
      <c r="AU61" s="94">
        <f t="shared" si="35"/>
        <v>661551.55000000005</v>
      </c>
      <c r="AV61" s="94">
        <f t="shared" si="35"/>
        <v>2854488.19</v>
      </c>
      <c r="AW61" s="94">
        <f t="shared" si="35"/>
        <v>637335.47</v>
      </c>
      <c r="AX61" s="94">
        <f t="shared" si="35"/>
        <v>1501075.48</v>
      </c>
      <c r="AY61" s="94">
        <f t="shared" si="35"/>
        <v>654410.91</v>
      </c>
      <c r="AZ61" s="94">
        <f t="shared" si="35"/>
        <v>2977160.59</v>
      </c>
      <c r="BA61" s="94">
        <f t="shared" si="35"/>
        <v>693263.09000000008</v>
      </c>
      <c r="BB61" s="94"/>
      <c r="BC61" s="94">
        <f t="shared" si="35"/>
        <v>5491479.0099999998</v>
      </c>
      <c r="BD61" s="94">
        <f t="shared" si="35"/>
        <v>5656223.3599999994</v>
      </c>
      <c r="BE61" s="94">
        <f t="shared" si="35"/>
        <v>5825910.0700000003</v>
      </c>
    </row>
    <row r="62" spans="2:57" x14ac:dyDescent="0.25">
      <c r="B62" s="7" t="s">
        <v>6</v>
      </c>
      <c r="C62" s="9" t="s">
        <v>37</v>
      </c>
      <c r="D62" s="59"/>
      <c r="E62" s="91">
        <f t="shared" si="33"/>
        <v>1842637.26</v>
      </c>
      <c r="F62" s="91">
        <f t="shared" si="34"/>
        <v>2222831.14</v>
      </c>
      <c r="G62" s="91">
        <f t="shared" si="34"/>
        <v>1950112.0999999999</v>
      </c>
      <c r="H62" s="91">
        <f t="shared" si="34"/>
        <v>1864142.15</v>
      </c>
      <c r="I62" s="91">
        <f t="shared" si="34"/>
        <v>2096049.61</v>
      </c>
      <c r="J62" s="91">
        <f t="shared" si="34"/>
        <v>2219870.52</v>
      </c>
      <c r="K62" s="91">
        <f t="shared" si="34"/>
        <v>2385347.0100000002</v>
      </c>
      <c r="L62" s="91">
        <f t="shared" si="34"/>
        <v>2093493.7</v>
      </c>
      <c r="M62" s="91">
        <f t="shared" si="34"/>
        <v>2033538.0999999999</v>
      </c>
      <c r="N62" s="91">
        <f t="shared" si="34"/>
        <v>1860704.6</v>
      </c>
      <c r="O62" s="91">
        <f t="shared" si="34"/>
        <v>2403707.65</v>
      </c>
      <c r="P62" s="91">
        <f t="shared" si="34"/>
        <v>2096623.06</v>
      </c>
      <c r="Q62" s="91">
        <f t="shared" si="34"/>
        <v>2142856.5</v>
      </c>
      <c r="R62" s="91">
        <f t="shared" si="34"/>
        <v>2213119.41</v>
      </c>
      <c r="S62" s="91">
        <f t="shared" si="34"/>
        <v>2252075.3199999998</v>
      </c>
      <c r="T62" s="91">
        <f t="shared" si="34"/>
        <v>2083409.05</v>
      </c>
      <c r="U62" s="91">
        <f t="shared" si="34"/>
        <v>1927703.64</v>
      </c>
      <c r="V62" s="91">
        <f t="shared" si="34"/>
        <v>2318421.73</v>
      </c>
      <c r="W62" s="91">
        <f t="shared" si="34"/>
        <v>2022888.41</v>
      </c>
      <c r="X62" s="91">
        <f t="shared" si="34"/>
        <v>2204542.9900000002</v>
      </c>
      <c r="Y62" s="91">
        <f t="shared" si="34"/>
        <v>2218644.1100000003</v>
      </c>
      <c r="Z62" s="91">
        <f t="shared" si="34"/>
        <v>2187086.61</v>
      </c>
      <c r="AA62" s="91">
        <f t="shared" si="34"/>
        <v>1940871.79</v>
      </c>
      <c r="AB62" s="91">
        <f t="shared" si="34"/>
        <v>2446768.6700000004</v>
      </c>
      <c r="AC62" s="91">
        <f t="shared" si="34"/>
        <v>2370234.58</v>
      </c>
      <c r="AD62" s="91">
        <f t="shared" si="34"/>
        <v>2154220.2200000002</v>
      </c>
      <c r="AE62" s="91">
        <f t="shared" si="34"/>
        <v>1912167.56</v>
      </c>
      <c r="AF62" s="91">
        <f t="shared" si="34"/>
        <v>2170319.7200000002</v>
      </c>
      <c r="AG62" s="91">
        <f t="shared" si="34"/>
        <v>2269250.9500000002</v>
      </c>
      <c r="AH62" s="91">
        <f t="shared" si="34"/>
        <v>2183378.4</v>
      </c>
      <c r="AI62" s="91">
        <f t="shared" si="34"/>
        <v>1913927.48</v>
      </c>
      <c r="AJ62" s="91">
        <f t="shared" si="34"/>
        <v>1956976.6399999999</v>
      </c>
      <c r="AK62" s="91">
        <f t="shared" si="34"/>
        <v>3053378.67</v>
      </c>
      <c r="AL62" s="91">
        <f t="shared" si="34"/>
        <v>2494646.56</v>
      </c>
      <c r="AM62" s="91">
        <f t="shared" si="34"/>
        <v>1894840.65</v>
      </c>
      <c r="AN62" s="104">
        <f t="shared" si="34"/>
        <v>2151524.44</v>
      </c>
      <c r="AP62" s="94">
        <f>SUMIF($C$3:$C$45,$C62,AP$3:AP$45)</f>
        <v>6015580.4999999991</v>
      </c>
      <c r="AQ62" s="94">
        <f t="shared" si="35"/>
        <v>6180062.2800000003</v>
      </c>
      <c r="AR62" s="94">
        <f t="shared" si="35"/>
        <v>6512378.8100000005</v>
      </c>
      <c r="AS62" s="94">
        <f t="shared" si="35"/>
        <v>6361035.3100000005</v>
      </c>
      <c r="AT62" s="94">
        <f t="shared" si="35"/>
        <v>6608051.2300000004</v>
      </c>
      <c r="AU62" s="94">
        <f t="shared" si="35"/>
        <v>6329534.4199999999</v>
      </c>
      <c r="AV62" s="94">
        <f t="shared" si="35"/>
        <v>6446075.5099999998</v>
      </c>
      <c r="AW62" s="94">
        <f t="shared" si="35"/>
        <v>6574727.0699999994</v>
      </c>
      <c r="AX62" s="94">
        <f t="shared" si="35"/>
        <v>6436622.3600000003</v>
      </c>
      <c r="AY62" s="94">
        <f t="shared" si="35"/>
        <v>6622949.0700000003</v>
      </c>
      <c r="AZ62" s="94">
        <f t="shared" si="35"/>
        <v>6924282.79</v>
      </c>
      <c r="BA62" s="94">
        <f t="shared" si="35"/>
        <v>6541011.6499999994</v>
      </c>
      <c r="BB62" s="94"/>
      <c r="BC62" s="94">
        <f t="shared" si="35"/>
        <v>25069056.899999999</v>
      </c>
      <c r="BD62" s="94">
        <f t="shared" si="35"/>
        <v>25958388.230000004</v>
      </c>
      <c r="BE62" s="94">
        <f t="shared" si="35"/>
        <v>26524865.869999997</v>
      </c>
    </row>
    <row r="63" spans="2:57" x14ac:dyDescent="0.25">
      <c r="B63" s="38" t="s">
        <v>6</v>
      </c>
      <c r="C63" s="39" t="s">
        <v>145</v>
      </c>
      <c r="D63" s="63"/>
      <c r="E63" s="92">
        <f>SUM(E56:E62)</f>
        <v>14612632.279999999</v>
      </c>
      <c r="F63" s="92">
        <f t="shared" ref="F63:AN63" si="36">SUM(F56:F62)</f>
        <v>15384200.619999999</v>
      </c>
      <c r="G63" s="92">
        <f t="shared" si="36"/>
        <v>15022010.989999998</v>
      </c>
      <c r="H63" s="92">
        <f t="shared" si="36"/>
        <v>15399043.389999999</v>
      </c>
      <c r="I63" s="92">
        <f t="shared" si="36"/>
        <v>14927420.629999999</v>
      </c>
      <c r="J63" s="92">
        <f t="shared" si="36"/>
        <v>14958416.59</v>
      </c>
      <c r="K63" s="92">
        <f t="shared" si="36"/>
        <v>16732393.82</v>
      </c>
      <c r="L63" s="92">
        <f t="shared" si="36"/>
        <v>14662050.17</v>
      </c>
      <c r="M63" s="92">
        <f t="shared" si="36"/>
        <v>14171785.779999999</v>
      </c>
      <c r="N63" s="92">
        <f t="shared" si="36"/>
        <v>15118335.229999999</v>
      </c>
      <c r="O63" s="92">
        <f t="shared" si="36"/>
        <v>15044760.130000003</v>
      </c>
      <c r="P63" s="92">
        <f t="shared" si="36"/>
        <v>15623743.690000001</v>
      </c>
      <c r="Q63" s="92">
        <f t="shared" si="36"/>
        <v>15409475.039999999</v>
      </c>
      <c r="R63" s="92">
        <f t="shared" si="36"/>
        <v>16067996</v>
      </c>
      <c r="S63" s="92">
        <f t="shared" si="36"/>
        <v>15829740.249999996</v>
      </c>
      <c r="T63" s="92">
        <f t="shared" si="36"/>
        <v>15365979.299999999</v>
      </c>
      <c r="U63" s="92">
        <f t="shared" si="36"/>
        <v>14490489.799999999</v>
      </c>
      <c r="V63" s="92">
        <f t="shared" si="36"/>
        <v>15200004.929999998</v>
      </c>
      <c r="W63" s="92">
        <f t="shared" si="36"/>
        <v>16225259.5</v>
      </c>
      <c r="X63" s="92">
        <f t="shared" si="36"/>
        <v>15572173.68</v>
      </c>
      <c r="Y63" s="92">
        <f t="shared" si="36"/>
        <v>16035787.73</v>
      </c>
      <c r="Z63" s="92">
        <f t="shared" si="36"/>
        <v>15630863.079999998</v>
      </c>
      <c r="AA63" s="92">
        <f t="shared" si="36"/>
        <v>14899958.829999998</v>
      </c>
      <c r="AB63" s="92">
        <f t="shared" si="36"/>
        <v>15384435.23</v>
      </c>
      <c r="AC63" s="92">
        <f t="shared" si="36"/>
        <v>15665251.279999999</v>
      </c>
      <c r="AD63" s="92">
        <f t="shared" si="36"/>
        <v>16723685.040000001</v>
      </c>
      <c r="AE63" s="92">
        <f t="shared" si="36"/>
        <v>14846514.290000001</v>
      </c>
      <c r="AF63" s="92">
        <f t="shared" si="36"/>
        <v>15236184.01</v>
      </c>
      <c r="AG63" s="92">
        <f t="shared" si="36"/>
        <v>14569274.039999999</v>
      </c>
      <c r="AH63" s="92">
        <f t="shared" si="36"/>
        <v>15012846.470000001</v>
      </c>
      <c r="AI63" s="92">
        <f t="shared" si="36"/>
        <v>16099301.219999999</v>
      </c>
      <c r="AJ63" s="92">
        <f t="shared" si="36"/>
        <v>15635046.409999998</v>
      </c>
      <c r="AK63" s="92">
        <f t="shared" si="36"/>
        <v>19556082.280000001</v>
      </c>
      <c r="AL63" s="92">
        <f t="shared" si="36"/>
        <v>16063768.260000004</v>
      </c>
      <c r="AM63" s="92">
        <f t="shared" si="36"/>
        <v>15088616.299999999</v>
      </c>
      <c r="AN63" s="92">
        <f t="shared" si="36"/>
        <v>15511777.339999998</v>
      </c>
      <c r="AP63" s="99">
        <f>SUM(AP56:AP62)</f>
        <v>45018843.890000001</v>
      </c>
      <c r="AQ63" s="99">
        <f t="shared" ref="AQ63:BE63" si="37">SUM(AQ56:AQ62)</f>
        <v>45284880.609999999</v>
      </c>
      <c r="AR63" s="99">
        <f t="shared" si="37"/>
        <v>45566229.769999996</v>
      </c>
      <c r="AS63" s="99">
        <f t="shared" si="37"/>
        <v>45786839.050000004</v>
      </c>
      <c r="AT63" s="99">
        <f t="shared" si="37"/>
        <v>47307211.290000007</v>
      </c>
      <c r="AU63" s="99">
        <f t="shared" si="37"/>
        <v>45056474.030000001</v>
      </c>
      <c r="AV63" s="99">
        <f t="shared" si="37"/>
        <v>47833220.909999996</v>
      </c>
      <c r="AW63" s="99">
        <f t="shared" si="37"/>
        <v>45915257.140000001</v>
      </c>
      <c r="AX63" s="99">
        <f t="shared" si="37"/>
        <v>47235450.609999992</v>
      </c>
      <c r="AY63" s="99">
        <f t="shared" si="37"/>
        <v>44818304.519999996</v>
      </c>
      <c r="AZ63" s="99">
        <f t="shared" si="37"/>
        <v>51290429.910000004</v>
      </c>
      <c r="BA63" s="99">
        <f t="shared" si="37"/>
        <v>46664161.900000006</v>
      </c>
      <c r="BB63" s="99"/>
      <c r="BC63" s="99">
        <f t="shared" si="37"/>
        <v>181656793.32000002</v>
      </c>
      <c r="BD63" s="94">
        <f t="shared" si="37"/>
        <v>186112163.37</v>
      </c>
      <c r="BE63" s="94">
        <f t="shared" si="37"/>
        <v>190008346.94</v>
      </c>
    </row>
    <row r="64" spans="2:57" x14ac:dyDescent="0.25">
      <c r="B64" s="7"/>
      <c r="C64" s="9"/>
      <c r="D64" s="9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3"/>
      <c r="Q64" s="94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3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3"/>
      <c r="AP64" s="94"/>
      <c r="AQ64" s="91"/>
      <c r="AR64" s="91"/>
      <c r="AS64" s="91"/>
      <c r="AT64" s="94"/>
      <c r="AU64" s="91"/>
      <c r="AV64" s="91"/>
      <c r="AW64" s="93"/>
      <c r="AX64" s="91"/>
      <c r="AY64" s="91"/>
      <c r="AZ64" s="91"/>
      <c r="BA64" s="93"/>
      <c r="BB64" s="98"/>
      <c r="BC64" s="94"/>
      <c r="BD64" s="94"/>
      <c r="BE64" s="94"/>
    </row>
    <row r="65" spans="2:57" x14ac:dyDescent="0.25">
      <c r="B65" s="38" t="s">
        <v>42</v>
      </c>
      <c r="C65" s="39"/>
      <c r="D65" s="63"/>
      <c r="E65" s="92">
        <f>SUM(E54-E63)</f>
        <v>2247862.540000001</v>
      </c>
      <c r="F65" s="92">
        <f t="shared" ref="F65:AN65" si="38">SUM(F54-F63)</f>
        <v>1788239.9299999978</v>
      </c>
      <c r="G65" s="92">
        <f t="shared" si="38"/>
        <v>661081.25000000186</v>
      </c>
      <c r="H65" s="92">
        <f t="shared" si="38"/>
        <v>5001549.6200000029</v>
      </c>
      <c r="I65" s="92">
        <f t="shared" si="38"/>
        <v>3649477.3100000024</v>
      </c>
      <c r="J65" s="92">
        <f t="shared" si="38"/>
        <v>636687.68000000156</v>
      </c>
      <c r="K65" s="92">
        <f t="shared" si="38"/>
        <v>2564631.3599999994</v>
      </c>
      <c r="L65" s="92">
        <f t="shared" si="38"/>
        <v>4110273.2200000007</v>
      </c>
      <c r="M65" s="92">
        <f t="shared" si="38"/>
        <v>1502478.9100000001</v>
      </c>
      <c r="N65" s="92">
        <f t="shared" si="38"/>
        <v>1150927.2200000007</v>
      </c>
      <c r="O65" s="92">
        <f t="shared" si="38"/>
        <v>3476841.7199999951</v>
      </c>
      <c r="P65" s="92">
        <f t="shared" si="38"/>
        <v>3170786.8999999985</v>
      </c>
      <c r="Q65" s="92">
        <f t="shared" si="38"/>
        <v>3887328.9499999993</v>
      </c>
      <c r="R65" s="92">
        <f t="shared" si="38"/>
        <v>2950740.1500000022</v>
      </c>
      <c r="S65" s="92">
        <f t="shared" si="38"/>
        <v>4060572.0300000049</v>
      </c>
      <c r="T65" s="92">
        <f t="shared" si="38"/>
        <v>1947416.0099999998</v>
      </c>
      <c r="U65" s="92">
        <f t="shared" si="38"/>
        <v>6337330.9799999986</v>
      </c>
      <c r="V65" s="92">
        <f t="shared" si="38"/>
        <v>3500486.410000002</v>
      </c>
      <c r="W65" s="92">
        <f t="shared" si="38"/>
        <v>1018304.7800000012</v>
      </c>
      <c r="X65" s="92">
        <f t="shared" si="38"/>
        <v>4738281.2899999991</v>
      </c>
      <c r="Y65" s="92">
        <f t="shared" si="38"/>
        <v>2225270.7200000025</v>
      </c>
      <c r="Z65" s="92">
        <f t="shared" si="38"/>
        <v>1820537.0100000016</v>
      </c>
      <c r="AA65" s="92">
        <f t="shared" si="38"/>
        <v>2384169.200000003</v>
      </c>
      <c r="AB65" s="92">
        <f t="shared" si="38"/>
        <v>4154779.1400000006</v>
      </c>
      <c r="AC65" s="92">
        <f t="shared" si="38"/>
        <v>3959344.0900000017</v>
      </c>
      <c r="AD65" s="92">
        <f t="shared" si="38"/>
        <v>4778200.0200000014</v>
      </c>
      <c r="AE65" s="92">
        <f t="shared" si="38"/>
        <v>2102102.959999999</v>
      </c>
      <c r="AF65" s="92">
        <f t="shared" si="38"/>
        <v>6414940.8900000025</v>
      </c>
      <c r="AG65" s="92">
        <f t="shared" si="38"/>
        <v>4661334.2200000025</v>
      </c>
      <c r="AH65" s="92">
        <f t="shared" si="38"/>
        <v>6588022.8699999992</v>
      </c>
      <c r="AI65" s="92">
        <f t="shared" si="38"/>
        <v>1498152.1900000013</v>
      </c>
      <c r="AJ65" s="92">
        <f t="shared" si="38"/>
        <v>4856212.7100000028</v>
      </c>
      <c r="AK65" s="92">
        <f t="shared" si="38"/>
        <v>3001176.25</v>
      </c>
      <c r="AL65" s="92">
        <f t="shared" si="38"/>
        <v>3722265.4799999949</v>
      </c>
      <c r="AM65" s="92">
        <f t="shared" si="38"/>
        <v>3944279.5900000017</v>
      </c>
      <c r="AN65" s="92">
        <f t="shared" si="38"/>
        <v>3631881.6800000016</v>
      </c>
      <c r="AP65" s="99">
        <f>SUM(AP54-AP63)</f>
        <v>4697183.7199999988</v>
      </c>
      <c r="AQ65" s="99">
        <f t="shared" ref="AQ65:BE65" si="39">SUM(AQ54-AQ63)</f>
        <v>9287714.6099999994</v>
      </c>
      <c r="AR65" s="99">
        <f t="shared" si="39"/>
        <v>8177383.4900000095</v>
      </c>
      <c r="AS65" s="99">
        <f t="shared" si="39"/>
        <v>7798555.8399999961</v>
      </c>
      <c r="AT65" s="99">
        <f t="shared" si="39"/>
        <v>10898641.129999995</v>
      </c>
      <c r="AU65" s="99">
        <f t="shared" si="39"/>
        <v>11785233.399999991</v>
      </c>
      <c r="AV65" s="99">
        <f t="shared" si="39"/>
        <v>7981856.7900000066</v>
      </c>
      <c r="AW65" s="99">
        <f t="shared" si="39"/>
        <v>8359485.349999994</v>
      </c>
      <c r="AX65" s="99">
        <f t="shared" si="39"/>
        <v>10839647.070000015</v>
      </c>
      <c r="AY65" s="99">
        <f t="shared" si="39"/>
        <v>17664297.979999997</v>
      </c>
      <c r="AZ65" s="99">
        <f t="shared" si="39"/>
        <v>9355541.1499999911</v>
      </c>
      <c r="BA65" s="99">
        <f t="shared" si="39"/>
        <v>11298426.75</v>
      </c>
      <c r="BB65" s="99"/>
      <c r="BC65" s="99">
        <f t="shared" si="39"/>
        <v>29960837.659999996</v>
      </c>
      <c r="BD65" s="94">
        <f t="shared" si="39"/>
        <v>39025216.669999987</v>
      </c>
      <c r="BE65" s="94">
        <f t="shared" si="39"/>
        <v>49157912.949999988</v>
      </c>
    </row>
    <row r="66" spans="2:57" x14ac:dyDescent="0.25">
      <c r="B66" s="12"/>
      <c r="C66" s="13"/>
      <c r="D66" s="13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9"/>
      <c r="Q66" s="90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9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9"/>
      <c r="AP66" s="102"/>
      <c r="AQ66" s="103"/>
      <c r="AR66" s="103"/>
      <c r="AS66" s="103"/>
      <c r="AT66" s="102"/>
      <c r="AU66" s="103"/>
      <c r="AV66" s="103"/>
      <c r="AW66" s="104"/>
      <c r="AX66" s="103"/>
      <c r="AY66" s="103"/>
      <c r="AZ66" s="103"/>
      <c r="BA66" s="104"/>
      <c r="BB66" s="98"/>
      <c r="BC66" s="102"/>
      <c r="BD66" s="103"/>
      <c r="BE66" s="104"/>
    </row>
    <row r="69" spans="2:57" x14ac:dyDescent="0.25">
      <c r="B69" s="50" t="s">
        <v>174</v>
      </c>
      <c r="C69" s="5" t="s">
        <v>157</v>
      </c>
      <c r="D69" s="5" t="s">
        <v>160</v>
      </c>
    </row>
    <row r="70" spans="2:57" x14ac:dyDescent="0.25">
      <c r="B70"/>
      <c r="C70" s="5" t="s">
        <v>158</v>
      </c>
      <c r="D70" s="5" t="s">
        <v>161</v>
      </c>
    </row>
    <row r="71" spans="2:57" x14ac:dyDescent="0.25">
      <c r="B71"/>
      <c r="C71" s="5" t="s">
        <v>159</v>
      </c>
      <c r="D71" s="5" t="s">
        <v>162</v>
      </c>
    </row>
    <row r="72" spans="2:57" x14ac:dyDescent="0.25">
      <c r="B72"/>
      <c r="C72" s="5" t="s">
        <v>97</v>
      </c>
      <c r="D72" s="5" t="s">
        <v>2</v>
      </c>
    </row>
    <row r="73" spans="2:57" x14ac:dyDescent="0.25">
      <c r="B73" s="50" t="s">
        <v>175</v>
      </c>
      <c r="C73" s="5" t="s">
        <v>98</v>
      </c>
      <c r="D73" s="37" t="s">
        <v>7</v>
      </c>
    </row>
    <row r="74" spans="2:57" x14ac:dyDescent="0.25">
      <c r="C74" s="5" t="s">
        <v>99</v>
      </c>
      <c r="D74" s="37" t="s">
        <v>17</v>
      </c>
    </row>
    <row r="75" spans="2:57" x14ac:dyDescent="0.25">
      <c r="C75" s="5" t="s">
        <v>13</v>
      </c>
      <c r="D75" s="5" t="s">
        <v>13</v>
      </c>
    </row>
    <row r="76" spans="2:57" x14ac:dyDescent="0.25">
      <c r="C76" s="5" t="s">
        <v>100</v>
      </c>
      <c r="D76" s="5" t="s">
        <v>41</v>
      </c>
    </row>
    <row r="77" spans="2:57" x14ac:dyDescent="0.25">
      <c r="C77" s="5" t="s">
        <v>101</v>
      </c>
      <c r="D77" s="5" t="s">
        <v>40</v>
      </c>
    </row>
    <row r="78" spans="2:57" x14ac:dyDescent="0.25">
      <c r="C78" s="5" t="s">
        <v>102</v>
      </c>
      <c r="D78" s="5" t="s">
        <v>39</v>
      </c>
    </row>
    <row r="79" spans="2:57" x14ac:dyDescent="0.25">
      <c r="C79" s="5" t="s">
        <v>103</v>
      </c>
      <c r="D79" s="5" t="s">
        <v>37</v>
      </c>
    </row>
  </sheetData>
  <autoFilter ref="A2:AN45" xr:uid="{00000000-0001-0000-0300-000000000000}"/>
  <sortState xmlns:xlrd2="http://schemas.microsoft.com/office/spreadsheetml/2017/richdata2" ref="A3:AO45">
    <sortCondition ref="AO3:AO45"/>
  </sortState>
  <mergeCells count="7">
    <mergeCell ref="BC1:BE1"/>
    <mergeCell ref="E1:P1"/>
    <mergeCell ref="Q1:AB1"/>
    <mergeCell ref="AC1:AN1"/>
    <mergeCell ref="AP1:AS1"/>
    <mergeCell ref="AT1:AW1"/>
    <mergeCell ref="AX1:BA1"/>
  </mergeCells>
  <conditionalFormatting sqref="BD50:BE54">
    <cfRule type="cellIs" dxfId="3" priority="4" operator="greaterThan">
      <formula>BC50</formula>
    </cfRule>
  </conditionalFormatting>
  <conditionalFormatting sqref="BD56:BE65">
    <cfRule type="cellIs" dxfId="2" priority="3" operator="greaterThan">
      <formula>BC56</formula>
    </cfRule>
  </conditionalFormatting>
  <conditionalFormatting sqref="BD56:BE63">
    <cfRule type="cellIs" dxfId="1" priority="2" operator="lessThan">
      <formula>BC56</formula>
    </cfRule>
  </conditionalFormatting>
  <conditionalFormatting sqref="BD65:BE65">
    <cfRule type="cellIs" dxfId="0" priority="1" operator="greaterThan">
      <formula>BC$65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Footer>&amp;LMarket Disciple&amp;CStrategic Information&amp;R&amp;D&amp;T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44"/>
  <sheetViews>
    <sheetView showGridLines="0" zoomScaleNormal="100" workbookViewId="0">
      <selection activeCell="E36" sqref="E36"/>
    </sheetView>
  </sheetViews>
  <sheetFormatPr defaultRowHeight="15" x14ac:dyDescent="0.25"/>
  <cols>
    <col min="1" max="1" width="19.28515625" style="5" bestFit="1" customWidth="1"/>
    <col min="2" max="2" width="9.140625" style="5"/>
    <col min="3" max="3" width="28.28515625" style="5" customWidth="1"/>
    <col min="4" max="7" width="9.140625" style="5"/>
    <col min="8" max="8" width="15.140625" style="5" bestFit="1" customWidth="1"/>
    <col min="9" max="9" width="9.28515625" style="1" customWidth="1"/>
    <col min="10" max="10" width="20.140625" style="5" bestFit="1" customWidth="1"/>
    <col min="11" max="16384" width="9.140625" style="5"/>
  </cols>
  <sheetData>
    <row r="1" spans="1:10" x14ac:dyDescent="0.25">
      <c r="B1" s="5" t="s">
        <v>205</v>
      </c>
      <c r="C1" s="5" t="s">
        <v>206</v>
      </c>
    </row>
    <row r="2" spans="1:10" x14ac:dyDescent="0.25">
      <c r="A2" s="50" t="s">
        <v>174</v>
      </c>
      <c r="B2" s="5" t="s">
        <v>157</v>
      </c>
      <c r="C2" s="5" t="s">
        <v>160</v>
      </c>
      <c r="H2" s="51" t="s">
        <v>176</v>
      </c>
      <c r="I2" s="1" t="s">
        <v>104</v>
      </c>
      <c r="J2" s="44" t="s">
        <v>182</v>
      </c>
    </row>
    <row r="3" spans="1:10" x14ac:dyDescent="0.25">
      <c r="A3"/>
      <c r="B3" s="5" t="s">
        <v>158</v>
      </c>
      <c r="C3" s="5" t="s">
        <v>161</v>
      </c>
      <c r="H3"/>
      <c r="I3" s="1" t="s">
        <v>105</v>
      </c>
      <c r="J3" s="44" t="s">
        <v>183</v>
      </c>
    </row>
    <row r="4" spans="1:10" x14ac:dyDescent="0.25">
      <c r="A4"/>
      <c r="B4" s="5" t="s">
        <v>159</v>
      </c>
      <c r="C4" s="5" t="s">
        <v>162</v>
      </c>
      <c r="H4" s="44"/>
      <c r="I4" s="1" t="s">
        <v>106</v>
      </c>
      <c r="J4" s="44" t="s">
        <v>184</v>
      </c>
    </row>
    <row r="5" spans="1:10" x14ac:dyDescent="0.25">
      <c r="A5"/>
      <c r="B5" s="5" t="s">
        <v>97</v>
      </c>
      <c r="C5" s="5" t="s">
        <v>2</v>
      </c>
      <c r="H5"/>
      <c r="I5" s="1" t="s">
        <v>185</v>
      </c>
      <c r="J5" s="44" t="s">
        <v>24</v>
      </c>
    </row>
    <row r="6" spans="1:10" x14ac:dyDescent="0.25">
      <c r="A6" s="50" t="s">
        <v>175</v>
      </c>
      <c r="B6" s="5" t="s">
        <v>98</v>
      </c>
      <c r="C6" s="37" t="s">
        <v>7</v>
      </c>
      <c r="H6" s="44"/>
      <c r="I6" s="1" t="s">
        <v>186</v>
      </c>
      <c r="J6" s="44" t="s">
        <v>187</v>
      </c>
    </row>
    <row r="7" spans="1:10" x14ac:dyDescent="0.25">
      <c r="B7" s="5" t="s">
        <v>99</v>
      </c>
      <c r="C7" s="37" t="s">
        <v>17</v>
      </c>
      <c r="H7"/>
      <c r="I7" s="1" t="s">
        <v>188</v>
      </c>
      <c r="J7" s="44" t="s">
        <v>189</v>
      </c>
    </row>
    <row r="8" spans="1:10" x14ac:dyDescent="0.25">
      <c r="B8" s="5" t="s">
        <v>13</v>
      </c>
      <c r="C8" s="5" t="s">
        <v>13</v>
      </c>
      <c r="H8" s="44"/>
      <c r="I8" s="1" t="s">
        <v>107</v>
      </c>
      <c r="J8" s="44" t="s">
        <v>3</v>
      </c>
    </row>
    <row r="9" spans="1:10" x14ac:dyDescent="0.25">
      <c r="B9" s="5" t="s">
        <v>100</v>
      </c>
      <c r="C9" s="5" t="s">
        <v>41</v>
      </c>
      <c r="H9" s="44"/>
      <c r="I9" s="1" t="s">
        <v>108</v>
      </c>
      <c r="J9" s="44" t="s">
        <v>4</v>
      </c>
    </row>
    <row r="10" spans="1:10" x14ac:dyDescent="0.25">
      <c r="B10" s="5" t="s">
        <v>101</v>
      </c>
      <c r="C10" s="5" t="s">
        <v>40</v>
      </c>
      <c r="H10" s="44"/>
      <c r="I10" s="1" t="s">
        <v>109</v>
      </c>
      <c r="J10" s="44" t="s">
        <v>5</v>
      </c>
    </row>
    <row r="11" spans="1:10" x14ac:dyDescent="0.25">
      <c r="B11" s="5" t="s">
        <v>102</v>
      </c>
      <c r="C11" s="5" t="s">
        <v>39</v>
      </c>
      <c r="H11" s="52" t="s">
        <v>177</v>
      </c>
      <c r="I11" s="1" t="s">
        <v>110</v>
      </c>
      <c r="J11" s="53" t="s">
        <v>46</v>
      </c>
    </row>
    <row r="12" spans="1:10" x14ac:dyDescent="0.25">
      <c r="B12" s="5" t="s">
        <v>103</v>
      </c>
      <c r="C12" s="5" t="s">
        <v>37</v>
      </c>
      <c r="H12" s="53"/>
      <c r="I12" s="1" t="s">
        <v>111</v>
      </c>
      <c r="J12" s="53" t="s">
        <v>8</v>
      </c>
    </row>
    <row r="13" spans="1:10" x14ac:dyDescent="0.25">
      <c r="H13" s="53"/>
      <c r="I13" s="1" t="s">
        <v>112</v>
      </c>
      <c r="J13" s="53" t="s">
        <v>9</v>
      </c>
    </row>
    <row r="14" spans="1:10" x14ac:dyDescent="0.25">
      <c r="H14" s="53"/>
      <c r="I14" s="1" t="s">
        <v>113</v>
      </c>
      <c r="J14" s="53" t="s">
        <v>47</v>
      </c>
    </row>
    <row r="15" spans="1:10" x14ac:dyDescent="0.25">
      <c r="H15" s="53"/>
      <c r="I15" s="1" t="s">
        <v>114</v>
      </c>
      <c r="J15" s="53" t="s">
        <v>10</v>
      </c>
    </row>
    <row r="16" spans="1:10" x14ac:dyDescent="0.25">
      <c r="H16" s="53"/>
      <c r="I16" s="1" t="s">
        <v>115</v>
      </c>
      <c r="J16" s="53" t="s">
        <v>11</v>
      </c>
    </row>
    <row r="17" spans="8:10" x14ac:dyDescent="0.25">
      <c r="H17" s="53"/>
      <c r="I17" s="1" t="s">
        <v>116</v>
      </c>
      <c r="J17" s="53" t="s">
        <v>12</v>
      </c>
    </row>
    <row r="18" spans="8:10" x14ac:dyDescent="0.25">
      <c r="H18" s="53"/>
      <c r="I18" s="1" t="s">
        <v>117</v>
      </c>
      <c r="J18" s="53" t="s">
        <v>18</v>
      </c>
    </row>
    <row r="19" spans="8:10" x14ac:dyDescent="0.25">
      <c r="H19" s="53"/>
      <c r="I19" s="1" t="s">
        <v>118</v>
      </c>
      <c r="J19" s="53" t="s">
        <v>19</v>
      </c>
    </row>
    <row r="20" spans="8:10" x14ac:dyDescent="0.25">
      <c r="H20" s="53"/>
      <c r="I20" s="1" t="s">
        <v>119</v>
      </c>
      <c r="J20" s="53" t="s">
        <v>20</v>
      </c>
    </row>
    <row r="21" spans="8:10" x14ac:dyDescent="0.25">
      <c r="H21" s="53"/>
      <c r="I21" s="1" t="s">
        <v>120</v>
      </c>
      <c r="J21" s="44" t="s">
        <v>21</v>
      </c>
    </row>
    <row r="22" spans="8:10" x14ac:dyDescent="0.25">
      <c r="H22" s="53"/>
      <c r="I22" s="1" t="s">
        <v>121</v>
      </c>
      <c r="J22" s="44" t="s">
        <v>22</v>
      </c>
    </row>
    <row r="23" spans="8:10" x14ac:dyDescent="0.25">
      <c r="H23" s="53"/>
      <c r="I23" s="1" t="s">
        <v>122</v>
      </c>
      <c r="J23" s="44" t="s">
        <v>23</v>
      </c>
    </row>
    <row r="24" spans="8:10" x14ac:dyDescent="0.25">
      <c r="H24" s="53"/>
      <c r="I24" s="1" t="s">
        <v>123</v>
      </c>
      <c r="J24" s="44" t="s">
        <v>25</v>
      </c>
    </row>
    <row r="25" spans="8:10" x14ac:dyDescent="0.25">
      <c r="H25" s="44"/>
      <c r="I25" s="1" t="s">
        <v>124</v>
      </c>
      <c r="J25" s="44" t="s">
        <v>14</v>
      </c>
    </row>
    <row r="26" spans="8:10" x14ac:dyDescent="0.25">
      <c r="H26" s="44"/>
      <c r="I26" s="1" t="s">
        <v>125</v>
      </c>
      <c r="J26" s="44" t="s">
        <v>15</v>
      </c>
    </row>
    <row r="27" spans="8:10" x14ac:dyDescent="0.25">
      <c r="H27" s="44"/>
      <c r="I27" s="1" t="s">
        <v>126</v>
      </c>
      <c r="J27" s="44" t="s">
        <v>16</v>
      </c>
    </row>
    <row r="28" spans="8:10" x14ac:dyDescent="0.25">
      <c r="H28" s="44"/>
      <c r="I28" s="1" t="s">
        <v>127</v>
      </c>
      <c r="J28" s="44" t="s">
        <v>200</v>
      </c>
    </row>
    <row r="29" spans="8:10" x14ac:dyDescent="0.25">
      <c r="H29" s="44"/>
      <c r="I29" s="1" t="s">
        <v>128</v>
      </c>
      <c r="J29" s="44" t="s">
        <v>26</v>
      </c>
    </row>
    <row r="30" spans="8:10" x14ac:dyDescent="0.25">
      <c r="H30" s="44"/>
      <c r="I30" s="1" t="s">
        <v>129</v>
      </c>
      <c r="J30" s="44" t="s">
        <v>32</v>
      </c>
    </row>
    <row r="31" spans="8:10" x14ac:dyDescent="0.25">
      <c r="H31" s="44"/>
      <c r="I31" s="1" t="s">
        <v>130</v>
      </c>
      <c r="J31" s="44" t="s">
        <v>33</v>
      </c>
    </row>
    <row r="32" spans="8:10" x14ac:dyDescent="0.25">
      <c r="H32" s="44"/>
      <c r="I32" s="1" t="s">
        <v>131</v>
      </c>
      <c r="J32" s="44" t="s">
        <v>34</v>
      </c>
    </row>
    <row r="33" spans="8:10" x14ac:dyDescent="0.25">
      <c r="H33" s="44"/>
      <c r="I33" s="1" t="s">
        <v>132</v>
      </c>
      <c r="J33" s="44" t="s">
        <v>30</v>
      </c>
    </row>
    <row r="34" spans="8:10" x14ac:dyDescent="0.25">
      <c r="H34" s="44"/>
      <c r="I34" s="1" t="s">
        <v>133</v>
      </c>
      <c r="J34" s="44" t="s">
        <v>31</v>
      </c>
    </row>
    <row r="35" spans="8:10" x14ac:dyDescent="0.25">
      <c r="H35" s="44"/>
      <c r="I35" s="1" t="s">
        <v>134</v>
      </c>
      <c r="J35" s="44" t="s">
        <v>35</v>
      </c>
    </row>
    <row r="36" spans="8:10" x14ac:dyDescent="0.25">
      <c r="H36" s="44"/>
      <c r="I36" s="1" t="s">
        <v>135</v>
      </c>
      <c r="J36" s="53" t="s">
        <v>36</v>
      </c>
    </row>
    <row r="37" spans="8:10" x14ac:dyDescent="0.25">
      <c r="H37" s="44"/>
      <c r="I37" s="1" t="s">
        <v>136</v>
      </c>
      <c r="J37" s="44" t="s">
        <v>27</v>
      </c>
    </row>
    <row r="38" spans="8:10" x14ac:dyDescent="0.25">
      <c r="H38" s="44"/>
      <c r="I38" s="1" t="s">
        <v>137</v>
      </c>
      <c r="J38" s="44" t="s">
        <v>28</v>
      </c>
    </row>
    <row r="39" spans="8:10" x14ac:dyDescent="0.25">
      <c r="H39" s="44"/>
      <c r="I39" s="1" t="s">
        <v>138</v>
      </c>
      <c r="J39" s="44" t="s">
        <v>43</v>
      </c>
    </row>
    <row r="40" spans="8:10" x14ac:dyDescent="0.25">
      <c r="H40" s="44"/>
      <c r="I40" s="1" t="s">
        <v>139</v>
      </c>
      <c r="J40" s="44" t="s">
        <v>44</v>
      </c>
    </row>
    <row r="41" spans="8:10" x14ac:dyDescent="0.25">
      <c r="H41" s="44"/>
      <c r="I41" s="1" t="s">
        <v>140</v>
      </c>
      <c r="J41" s="44" t="s">
        <v>29</v>
      </c>
    </row>
    <row r="42" spans="8:10" x14ac:dyDescent="0.25">
      <c r="H42" s="44"/>
      <c r="I42" s="1" t="s">
        <v>141</v>
      </c>
      <c r="J42" s="44" t="s">
        <v>45</v>
      </c>
    </row>
    <row r="43" spans="8:10" x14ac:dyDescent="0.25">
      <c r="H43" s="44"/>
      <c r="I43" s="1" t="s">
        <v>142</v>
      </c>
      <c r="J43" s="44" t="s">
        <v>37</v>
      </c>
    </row>
    <row r="44" spans="8:10" x14ac:dyDescent="0.25">
      <c r="H44" s="44"/>
      <c r="I44" s="1" t="s">
        <v>143</v>
      </c>
      <c r="J44" s="44" t="s">
        <v>38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76" orientation="landscape" horizontalDpi="0" verticalDpi="0" r:id="rId1"/>
  <headerFooter>
    <oddFooter>&amp;LMarket Disciple&amp;CStrategic Information&amp;R&amp;D&amp;T</oddFooter>
  </headerFooter>
  <ignoredErrors>
    <ignoredError sqref="I2:I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Document_x0020_Type xmlns="$ListId:Shared Documents;">Project</Document_x0020_Type><Week xmlns="$ListId:Shared Documents;">01</Week><RestrictedToTheseUsers xmlns="$ListId:Shared Documents;"><UserInfo><DisplayName></DisplayName><AccountId xsi:nil="true"></AccountId><AccountType/></UserInfo></RestrictedToTheseUsers><Module xmlns="$ListId:Shared Documents;">Project</Module></documentManagement>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ct:contentTypeSchema ct:_="" ma:_="" ma:contentTypeName="Document" ma:contentTypeID="0x0101003D0461E48C939147907E64B930D34A69" ma:contentTypeVersion="2" ma:contentTypeDescription="Create a new document." ma:contentTypeScope="" ma:versionID="035af9a7a921c1407db194ca1f8dec57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877dcbf681a90399c38f5b4b5f25b6e6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RestrictedToTheseUsers" minOccurs="0"/>
<xsd:element ref="ns2:Week" minOccurs="0"/>
<xsd:element ref="ns2:Document_x0020_Type" minOccurs="0"/>
<xsd:element ref="ns2:Modul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RestrictedToTheseUsers" ma:index="8" nillable="true" ma:displayName="RestrictedToTheseUsers" ma:list="UserInfo" ma:SearchPeopleOnly="false" ma:SharePointGroup="0" ma:internalName="RestrictedToTheseUsers" ma:readOnly="false" ma:showField="Title">
<xsd:complexType>
<xsd:complexContent>
<xsd:extension base="dms:UserMulti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Week" ma:index="9" nillable="true" ma:displayName="Day" ma:format="Dropdown" ma:indexed="true" ma:internalName="Week">
<xsd:simpleType>
<xsd:restriction base="dms:Choice">
<xsd:enumeration value="N/A"/>
<xsd:enumeration value="01"/>
<xsd:enumeration value="02"/>
<xsd:enumeration value="03"/>
<xsd:enumeration value="04"/>
<xsd:enumeration value="05"/>
<xsd:enumeration value="Self Study"/>
<xsd:enumeration value="Old Material"/>
<xsd:enumeration value="VBA"/>
<xsd:enumeration value="Week 2: Excel Model Building"/>
</xsd:restriction>
</xsd:simpleType>
</xsd:element>
<xsd:element name="Document_x0020_Type" ma:index="10" nillable="true" ma:displayName="Document Type" ma:format="Dropdown" ma:indexed="true" ma:internalName="Document_x0020_Type">
<xsd:simpleType>
<xsd:restriction base="dms:Choice">
<xsd:enumeration value="Demo"/>
<xsd:enumeration value="Exercise"/>
<xsd:enumeration value="Manuals"/>
<xsd:enumeration value="Project"/>
<xsd:enumeration value="Resource"/>
<xsd:enumeration value="SlideDeck"/>
</xsd:restriction>
</xsd:simpleType>
</xsd:element>
<xsd:element name="Module" ma:index="11" nillable="true" ma:displayName="Module" ma:format="Dropdown" ma:indexed="true" ma:internalName="Module">
<xsd:simpleType>
<xsd:restriction base="dms:Choice">
<xsd:enumeration value="Excel"/>
<xsd:enumeration value="Extras"/>
<xsd:enumeration value="Project"/>
<xsd:enumeration value="Project - UK"/>
<xsd:enumeration value="Supplementary Material"/>
<xsd:enumeration value="VBA"/>
<xsd:enumeration value="Old Material"/>
</xsd:restriction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3127B91F-7782-4240-A772-A648F06B44CB}">
  <ds:schemaRefs>
    <ds:schemaRef ds:uri="http://schemas.microsoft.com/office/2006/metadata/properties"/>
    <ds:schemaRef ds:uri="http://schemas.microsoft.com/office/infopath/2007/PartnerControls"/>
    <ds:schemaRef ds:uri="$ListId:Shared Documents;"/>
  </ds:schemaRefs>
</ds:datastoreItem>
</file>

<file path=customXml/itemProps2.xml><?xml version="1.0" encoding="utf-8"?>
<ds:datastoreItem xmlns:ds="http://schemas.openxmlformats.org/officeDocument/2006/customXml" ds:itemID="{280776A5-1F91-402D-80D4-314769817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D5456-5ACA-4E30-BC10-22B9CD670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Cover</vt:lpstr>
      <vt:lpstr>Summary</vt:lpstr>
      <vt:lpstr>Assumptions</vt:lpstr>
      <vt:lpstr>Historic Data</vt:lpstr>
      <vt:lpstr>Code Breakdown</vt:lpstr>
      <vt:lpstr>k</vt:lpstr>
      <vt:lpstr>KML</vt:lpstr>
      <vt:lpstr>M</vt:lpstr>
      <vt:lpstr>Assumptions!Print_Area</vt:lpstr>
      <vt:lpstr>'Code Breakdown'!Print_Area</vt:lpstr>
      <vt:lpstr>Cover!Print_Area</vt:lpstr>
      <vt:lpstr>'Historic Data'!Print_Area</vt:lpstr>
      <vt:lpstr>Summary!Print_Area</vt:lpstr>
      <vt:lpstr>Assumptions!Print_Titles</vt:lpstr>
      <vt:lpstr>'Historic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ApolloBlaze</cp:lastModifiedBy>
  <cp:lastPrinted>2022-02-27T16:51:02Z</cp:lastPrinted>
  <dcterms:created xsi:type="dcterms:W3CDTF">2006-09-16T00:00:00Z</dcterms:created>
  <dcterms:modified xsi:type="dcterms:W3CDTF">2022-09-09T17:39:48Z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0x0101003D0461E48C939147907E64B930D34A69</vt:lpwstr>
  </property>
</Properties>
</file>