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philb\Dropbox\HKUST FT MBA\FinTech Club\ConsenSys MBA Venture Competition\"/>
    </mc:Choice>
  </mc:AlternateContent>
  <xr:revisionPtr revIDLastSave="0" documentId="13_ncr:1_{2CA1DDDB-3127-483C-9BF4-35B4841605EA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Financials" sheetId="1" r:id="rId1"/>
    <sheet name="Costing" sheetId="6" r:id="rId2"/>
    <sheet name="Flywheel" sheetId="7" r:id="rId3"/>
  </sheets>
  <definedNames>
    <definedName name="AVERAGE">#REF!</definedName>
    <definedName name="_xlnm.Print_Area" localSheetId="0">Financials!$B$1:$G$68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  <c r="O28" i="1"/>
  <c r="P28" i="1"/>
  <c r="M29" i="1"/>
  <c r="N29" i="1"/>
  <c r="O29" i="1"/>
  <c r="P29" i="1"/>
  <c r="E20" i="6"/>
  <c r="E21" i="6" s="1"/>
  <c r="E22" i="6" s="1"/>
  <c r="E23" i="6" s="1"/>
  <c r="E24" i="6" s="1"/>
  <c r="H19" i="6"/>
  <c r="I19" i="6" s="1"/>
  <c r="J19" i="6" s="1"/>
  <c r="K19" i="6" s="1"/>
  <c r="L19" i="6" s="1"/>
  <c r="M19" i="6" s="1"/>
  <c r="E12" i="1"/>
  <c r="F12" i="1"/>
  <c r="G12" i="1"/>
  <c r="H12" i="1"/>
  <c r="I12" i="1"/>
  <c r="D12" i="1"/>
  <c r="F73" i="1"/>
  <c r="G73" i="1"/>
  <c r="E73" i="1"/>
  <c r="D4" i="1"/>
  <c r="H18" i="6" s="1"/>
  <c r="Q27" i="1"/>
  <c r="Q29" i="1" s="1"/>
  <c r="E36" i="1"/>
  <c r="F36" i="1"/>
  <c r="G36" i="1"/>
  <c r="H36" i="1"/>
  <c r="I36" i="1"/>
  <c r="D36" i="1"/>
  <c r="E35" i="1"/>
  <c r="F35" i="1"/>
  <c r="G35" i="1"/>
  <c r="H35" i="1"/>
  <c r="I35" i="1"/>
  <c r="D35" i="1"/>
  <c r="H71" i="1"/>
  <c r="G71" i="1"/>
  <c r="F71" i="1"/>
  <c r="E71" i="1"/>
  <c r="D69" i="1"/>
  <c r="D78" i="1" s="1"/>
  <c r="D80" i="1" s="1"/>
  <c r="D61" i="1"/>
  <c r="D16" i="1"/>
  <c r="D34" i="1" l="1"/>
  <c r="M26" i="1"/>
  <c r="D24" i="1"/>
  <c r="E4" i="1"/>
  <c r="E34" i="1" s="1"/>
  <c r="Q28" i="1"/>
  <c r="D71" i="1"/>
  <c r="I18" i="6" l="1"/>
  <c r="N26" i="1"/>
  <c r="F4" i="1"/>
  <c r="F34" i="1" s="1"/>
  <c r="E24" i="1"/>
  <c r="E74" i="1"/>
  <c r="F74" i="1"/>
  <c r="J18" i="6" l="1"/>
  <c r="O26" i="1"/>
  <c r="F24" i="1"/>
  <c r="G4" i="1"/>
  <c r="G34" i="1" s="1"/>
  <c r="H54" i="1"/>
  <c r="G54" i="1"/>
  <c r="D42" i="1"/>
  <c r="E42" i="1"/>
  <c r="F42" i="1"/>
  <c r="G42" i="1"/>
  <c r="H42" i="1"/>
  <c r="G38" i="1"/>
  <c r="D38" i="1"/>
  <c r="H38" i="1"/>
  <c r="I8" i="1"/>
  <c r="I26" i="1"/>
  <c r="I13" i="1"/>
  <c r="I14" i="1" s="1"/>
  <c r="I15" i="1" s="1"/>
  <c r="P26" i="1" l="1"/>
  <c r="K18" i="6"/>
  <c r="G24" i="1"/>
  <c r="H4" i="1"/>
  <c r="H34" i="1" s="1"/>
  <c r="I38" i="1"/>
  <c r="R27" i="1"/>
  <c r="I19" i="1"/>
  <c r="I21" i="1" s="1"/>
  <c r="I22" i="1" s="1"/>
  <c r="M20" i="6"/>
  <c r="I39" i="1"/>
  <c r="I16" i="1"/>
  <c r="H24" i="1" l="1"/>
  <c r="I4" i="1"/>
  <c r="I34" i="1" s="1"/>
  <c r="L18" i="6"/>
  <c r="I40" i="1"/>
  <c r="I41" i="1" s="1"/>
  <c r="R29" i="1"/>
  <c r="R28" i="1"/>
  <c r="M18" i="6"/>
  <c r="I24" i="1"/>
  <c r="I44" i="1" l="1"/>
  <c r="I46" i="1"/>
  <c r="I52" i="1" s="1"/>
  <c r="I69" i="1"/>
  <c r="I71" i="1" s="1"/>
  <c r="G74" i="1" s="1"/>
  <c r="H16" i="1"/>
  <c r="H13" i="1"/>
  <c r="H14" i="1" s="1"/>
  <c r="H15" i="1" s="1"/>
  <c r="H8" i="1"/>
  <c r="H39" i="1" s="1"/>
  <c r="D54" i="1"/>
  <c r="E27" i="1"/>
  <c r="E13" i="1"/>
  <c r="E14" i="1" s="1"/>
  <c r="E15" i="1" s="1"/>
  <c r="G16" i="1"/>
  <c r="F16" i="1"/>
  <c r="E16" i="1"/>
  <c r="J3" i="6"/>
  <c r="G13" i="1"/>
  <c r="G14" i="1" s="1"/>
  <c r="G15" i="1" s="1"/>
  <c r="F13" i="1"/>
  <c r="F14" i="1" s="1"/>
  <c r="F15" i="1" s="1"/>
  <c r="D13" i="1"/>
  <c r="D14" i="1" s="1"/>
  <c r="D15" i="1" s="1"/>
  <c r="G8" i="1"/>
  <c r="F8" i="1"/>
  <c r="E8" i="1"/>
  <c r="D8" i="1"/>
  <c r="L2" i="6"/>
  <c r="M2" i="6" s="1"/>
  <c r="I3" i="6"/>
  <c r="E19" i="1" l="1"/>
  <c r="I20" i="6"/>
  <c r="H19" i="1"/>
  <c r="L20" i="6"/>
  <c r="F19" i="1"/>
  <c r="J20" i="6"/>
  <c r="D19" i="1"/>
  <c r="D21" i="1" s="1"/>
  <c r="D22" i="1" s="1"/>
  <c r="H20" i="6"/>
  <c r="M21" i="6" s="1"/>
  <c r="G19" i="1"/>
  <c r="G21" i="1" s="1"/>
  <c r="K20" i="6"/>
  <c r="E21" i="1"/>
  <c r="H21" i="1"/>
  <c r="H40" i="1" s="1"/>
  <c r="H46" i="1" s="1"/>
  <c r="F21" i="1"/>
  <c r="F27" i="1"/>
  <c r="F38" i="1" s="1"/>
  <c r="F39" i="1" s="1"/>
  <c r="E38" i="1"/>
  <c r="E39" i="1" s="1"/>
  <c r="G39" i="1"/>
  <c r="D39" i="1"/>
  <c r="H22" i="1" l="1"/>
  <c r="D40" i="1"/>
  <c r="D44" i="1" s="1"/>
  <c r="H41" i="1"/>
  <c r="H44" i="1"/>
  <c r="G22" i="1"/>
  <c r="G40" i="1"/>
  <c r="E22" i="1"/>
  <c r="F54" i="1"/>
  <c r="E40" i="1"/>
  <c r="F22" i="1"/>
  <c r="F40" i="1"/>
  <c r="D41" i="1" l="1"/>
  <c r="D46" i="1"/>
  <c r="G44" i="1"/>
  <c r="G46" i="1"/>
  <c r="I54" i="1"/>
  <c r="I42" i="1"/>
  <c r="E44" i="1"/>
  <c r="E46" i="1"/>
  <c r="F44" i="1"/>
  <c r="F46" i="1"/>
  <c r="E54" i="1"/>
  <c r="F57" i="1" s="1"/>
  <c r="D63" i="1"/>
  <c r="F41" i="1"/>
  <c r="E41" i="1"/>
  <c r="G41" i="1"/>
  <c r="E57" i="1"/>
  <c r="G57" i="1" l="1"/>
  <c r="E49" i="1"/>
  <c r="F49" i="1"/>
  <c r="G49" i="1"/>
  <c r="R26" i="1" l="1"/>
  <c r="Q26" i="1"/>
</calcChain>
</file>

<file path=xl/sharedStrings.xml><?xml version="1.0" encoding="utf-8"?>
<sst xmlns="http://schemas.openxmlformats.org/spreadsheetml/2006/main" count="104" uniqueCount="91">
  <si>
    <t>Total Operating Expenses</t>
  </si>
  <si>
    <t xml:space="preserve">Operating Profit Before Tax </t>
  </si>
  <si>
    <t>Tax</t>
  </si>
  <si>
    <t>Net Operating Profit After Tax</t>
  </si>
  <si>
    <t>Investor IRR</t>
  </si>
  <si>
    <t>Investor Cash Flows</t>
  </si>
  <si>
    <t>Operating Expenses</t>
  </si>
  <si>
    <t>Investment Assumptions:</t>
  </si>
  <si>
    <t>As % of Gross Revenue</t>
  </si>
  <si>
    <t>Ownership Interest</t>
  </si>
  <si>
    <t>Gross Profit</t>
  </si>
  <si>
    <t>Research &amp; Development</t>
  </si>
  <si>
    <t>Investment</t>
  </si>
  <si>
    <t>US$ Cash Flow</t>
  </si>
  <si>
    <t>Dividends</t>
  </si>
  <si>
    <t>Existing Capital</t>
  </si>
  <si>
    <t>Total Capital</t>
  </si>
  <si>
    <t>Office Rental</t>
  </si>
  <si>
    <t xml:space="preserve">S.no </t>
  </si>
  <si>
    <t>Value token of etherium blockchain transaction fee and computational service</t>
  </si>
  <si>
    <t>https://ethereumprice.org</t>
  </si>
  <si>
    <t xml:space="preserve">Data Center Cost </t>
  </si>
  <si>
    <t>Fixed Costs</t>
  </si>
  <si>
    <t>Office  Cost - Co Sharing in Cyberspace</t>
  </si>
  <si>
    <t xml:space="preserve">Salary </t>
  </si>
  <si>
    <t xml:space="preserve">Legal Cost + Admin Cost </t>
  </si>
  <si>
    <t xml:space="preserve">IT Infra structure Cost - onee </t>
  </si>
  <si>
    <t>Customer Service Cost</t>
  </si>
  <si>
    <t>Assumption</t>
  </si>
  <si>
    <t>Software development</t>
  </si>
  <si>
    <t>Ether ( # transactions)</t>
  </si>
  <si>
    <t>Avg. Transaction Fee</t>
  </si>
  <si>
    <t>0.00066 ETH ($0.069 USD)</t>
  </si>
  <si>
    <t>Median Transaction Fee</t>
  </si>
  <si>
    <t>0.00031 ETH ($0.033 USD)</t>
  </si>
  <si>
    <t>Consideration</t>
  </si>
  <si>
    <t>Visa</t>
  </si>
  <si>
    <t>Ethereum</t>
  </si>
  <si>
    <t># of subscriptions</t>
  </si>
  <si>
    <t>Avg # of months per subscription</t>
  </si>
  <si>
    <t>COGS</t>
  </si>
  <si>
    <t>https://bitinfocharts.com/ethereum/</t>
  </si>
  <si>
    <t>Total # of transaction (on-chain)</t>
  </si>
  <si>
    <t>5-year</t>
  </si>
  <si>
    <t>4-year</t>
  </si>
  <si>
    <t>Customer service &amp; Maintenance</t>
  </si>
  <si>
    <t>Company IRR</t>
  </si>
  <si>
    <t>Company Cash Flow</t>
  </si>
  <si>
    <t>Dividend payout</t>
  </si>
  <si>
    <t>Wework</t>
  </si>
  <si>
    <t>Cost</t>
  </si>
  <si>
    <t>Category</t>
  </si>
  <si>
    <t>Description</t>
  </si>
  <si>
    <t>Total COGS</t>
  </si>
  <si>
    <t>Over three years</t>
  </si>
  <si>
    <t>No staged investment</t>
  </si>
  <si>
    <t xml:space="preserve">Trust </t>
  </si>
  <si>
    <t>Autonomy</t>
  </si>
  <si>
    <t>Experience</t>
  </si>
  <si>
    <t>Speed</t>
  </si>
  <si>
    <t>Transparency</t>
  </si>
  <si>
    <t>Accountability</t>
  </si>
  <si>
    <t>Approvi</t>
  </si>
  <si>
    <t>Incumbent System</t>
  </si>
  <si>
    <t>Attribute</t>
  </si>
  <si>
    <t>Customer Acquisition Cost (CAC)</t>
  </si>
  <si>
    <t>Lifetime Value (LTV)</t>
  </si>
  <si>
    <t>Headcount</t>
  </si>
  <si>
    <t>Growth %</t>
  </si>
  <si>
    <t>Salary*</t>
  </si>
  <si>
    <t xml:space="preserve">*Staff Growth </t>
  </si>
  <si>
    <t>All numbers in USD unless otherwise stated</t>
  </si>
  <si>
    <t>Sales &amp; Marketing</t>
  </si>
  <si>
    <t>Admin &amp; Legal (Outsourced)</t>
  </si>
  <si>
    <t>Other - Operating Contingency</t>
  </si>
  <si>
    <t>6-year</t>
  </si>
  <si>
    <t>Subscription fee per month</t>
  </si>
  <si>
    <t>Gross Revenue</t>
  </si>
  <si>
    <t>Avg # transaction (on-chain) per subscription</t>
  </si>
  <si>
    <t>Ether cost per transaction</t>
  </si>
  <si>
    <t>Avg Ether cost per subscription</t>
  </si>
  <si>
    <t>Total Ether transaction cost</t>
  </si>
  <si>
    <t>Gross Margin</t>
  </si>
  <si>
    <t>Avg. Salary</t>
  </si>
  <si>
    <t>Avg # transaction (on-chain) / sub / month</t>
  </si>
  <si>
    <t>Data center cost/server cost</t>
  </si>
  <si>
    <t>reduction in gas costs YoY</t>
  </si>
  <si>
    <t>Assuming a</t>
  </si>
  <si>
    <t>Incremental gross profit</t>
  </si>
  <si>
    <t>Total gross profit potential</t>
  </si>
  <si>
    <t>New gas cost /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</si>
</sst>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1" formatCode="_(* #,##0_);_(* \(#,##0\);_(* &quot;-&quot;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#,##0.0"/>
    <numFmt numFmtId="168" formatCode="0.0"/>
    <numFmt numFmtId="169" formatCode="_-&quot;$&quot;* #,##0_-;\-&quot;$&quot;* #,##0_-;_-&quot;$&quot;* &quot;-&quot;??_-;_-@_-"/>
    <numFmt numFmtId="171" formatCode="_-* #,##0_-;\-* #,##0_-;_-* &quot;-&quot;??_-;_-@_-"/>
    <numFmt numFmtId="172" formatCode="_-* #,##0.0_-;\-* #,##0.0_-;_-* &quot;-&quot;?_-;_-@_-"/>
    <numFmt numFmtId="173" formatCode="_-* #,##0.0000_-;\-* #,##0.0000_-;_-* &quot;-&quot;??_-;_-@_-"/>
    <numFmt numFmtId="184" formatCode="_-* #,##0.000_-;\-* #,##0.000_-;_-* &quot;-&quot;??_-;_-@_-"/>
    <numFmt numFmtId="185" formatCode="0.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color rgb="FFFF0000"/>
      <name val="Arial"/>
      <family val="2"/>
    </font>
    <font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5390"/>
      <name val="Calibri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166" fontId="0" fillId="0" borderId="0" xfId="2" applyNumberFormat="1" applyFont="1"/>
    <xf numFmtId="37" fontId="0" fillId="0" borderId="0" xfId="0" applyNumberFormat="1"/>
    <xf numFmtId="167" fontId="0" fillId="0" borderId="0" xfId="0" applyNumberFormat="1"/>
    <xf numFmtId="5" fontId="0" fillId="0" borderId="0" xfId="0" applyNumberFormat="1"/>
    <xf numFmtId="0" fontId="4" fillId="0" borderId="0" xfId="0" applyFont="1"/>
    <xf numFmtId="3" fontId="4" fillId="0" borderId="0" xfId="0" applyNumberFormat="1" applyFont="1"/>
    <xf numFmtId="37" fontId="4" fillId="0" borderId="0" xfId="0" applyNumberFormat="1" applyFont="1"/>
    <xf numFmtId="5" fontId="4" fillId="0" borderId="0" xfId="0" applyNumberFormat="1" applyFont="1"/>
    <xf numFmtId="0" fontId="5" fillId="0" borderId="0" xfId="0" applyFont="1"/>
    <xf numFmtId="0" fontId="6" fillId="0" borderId="0" xfId="0" applyFont="1"/>
    <xf numFmtId="37" fontId="6" fillId="0" borderId="0" xfId="0" applyNumberFormat="1" applyFont="1"/>
    <xf numFmtId="166" fontId="4" fillId="0" borderId="0" xfId="2" applyNumberFormat="1" applyFont="1"/>
    <xf numFmtId="166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41" fontId="7" fillId="0" borderId="0" xfId="1" applyFont="1" applyBorder="1" applyAlignment="1" applyProtection="1">
      <alignment horizontal="right"/>
    </xf>
    <xf numFmtId="0" fontId="2" fillId="0" borderId="4" xfId="5" applyBorder="1" applyAlignment="1">
      <alignment horizontal="center" vertical="center" wrapText="1"/>
    </xf>
    <xf numFmtId="3" fontId="2" fillId="0" borderId="4" xfId="5" applyNumberFormat="1" applyBorder="1" applyAlignment="1">
      <alignment horizontal="center" vertical="center" wrapText="1"/>
    </xf>
    <xf numFmtId="0" fontId="2" fillId="0" borderId="4" xfId="5" applyBorder="1" applyAlignment="1">
      <alignment horizontal="center" wrapText="1"/>
    </xf>
    <xf numFmtId="3" fontId="2" fillId="0" borderId="4" xfId="5" applyNumberFormat="1" applyBorder="1" applyAlignment="1">
      <alignment horizontal="center" wrapText="1"/>
    </xf>
    <xf numFmtId="0" fontId="2" fillId="0" borderId="0" xfId="5" applyAlignment="1">
      <alignment wrapText="1"/>
    </xf>
    <xf numFmtId="0" fontId="8" fillId="0" borderId="4" xfId="6" applyBorder="1" applyAlignment="1">
      <alignment horizontal="center" vertical="center" wrapText="1"/>
    </xf>
    <xf numFmtId="10" fontId="2" fillId="0" borderId="0" xfId="5" applyNumberFormat="1" applyAlignment="1">
      <alignment wrapText="1"/>
    </xf>
    <xf numFmtId="0" fontId="4" fillId="0" borderId="6" xfId="0" applyFont="1" applyBorder="1"/>
    <xf numFmtId="0" fontId="4" fillId="0" borderId="0" xfId="0" applyFont="1" applyBorder="1"/>
    <xf numFmtId="3" fontId="4" fillId="0" borderId="0" xfId="0" applyNumberFormat="1" applyFont="1" applyBorder="1"/>
    <xf numFmtId="169" fontId="4" fillId="0" borderId="6" xfId="4" applyNumberFormat="1" applyFont="1" applyBorder="1"/>
    <xf numFmtId="9" fontId="0" fillId="0" borderId="0" xfId="2" applyFont="1"/>
    <xf numFmtId="41" fontId="4" fillId="0" borderId="0" xfId="1" applyFont="1" applyBorder="1" applyAlignment="1" applyProtection="1">
      <alignment horizontal="right"/>
    </xf>
    <xf numFmtId="171" fontId="0" fillId="0" borderId="0" xfId="3" applyNumberFormat="1" applyFont="1"/>
    <xf numFmtId="171" fontId="4" fillId="0" borderId="0" xfId="3" applyNumberFormat="1" applyFont="1"/>
    <xf numFmtId="168" fontId="9" fillId="0" borderId="0" xfId="0" applyNumberFormat="1" applyFont="1"/>
    <xf numFmtId="166" fontId="9" fillId="0" borderId="0" xfId="2" applyNumberFormat="1" applyFont="1"/>
    <xf numFmtId="37" fontId="9" fillId="0" borderId="0" xfId="0" applyNumberFormat="1" applyFont="1"/>
    <xf numFmtId="10" fontId="9" fillId="0" borderId="0" xfId="2" applyNumberFormat="1" applyFont="1"/>
    <xf numFmtId="5" fontId="7" fillId="0" borderId="0" xfId="0" applyNumberFormat="1" applyFont="1"/>
    <xf numFmtId="9" fontId="0" fillId="0" borderId="7" xfId="0" applyNumberFormat="1" applyBorder="1"/>
    <xf numFmtId="9" fontId="0" fillId="0" borderId="7" xfId="2" applyNumberFormat="1" applyFont="1" applyBorder="1"/>
    <xf numFmtId="172" fontId="0" fillId="0" borderId="0" xfId="0" applyNumberFormat="1"/>
    <xf numFmtId="165" fontId="0" fillId="0" borderId="0" xfId="0" applyNumberFormat="1"/>
    <xf numFmtId="41" fontId="4" fillId="0" borderId="0" xfId="0" applyNumberFormat="1" applyFont="1"/>
    <xf numFmtId="173" fontId="4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5" xfId="5" applyFont="1" applyFill="1" applyBorder="1" applyAlignment="1">
      <alignment horizontal="center" vertical="center" wrapText="1"/>
    </xf>
    <xf numFmtId="0" fontId="4" fillId="0" borderId="0" xfId="0" applyFont="1" applyFill="1"/>
    <xf numFmtId="3" fontId="4" fillId="0" borderId="0" xfId="0" applyNumberFormat="1" applyFont="1" applyFill="1"/>
    <xf numFmtId="0" fontId="7" fillId="0" borderId="0" xfId="0" applyFont="1"/>
    <xf numFmtId="165" fontId="0" fillId="0" borderId="0" xfId="3" applyFont="1"/>
    <xf numFmtId="0" fontId="13" fillId="0" borderId="0" xfId="0" applyFont="1" applyAlignment="1">
      <alignment horizontal="left" vertical="center" readingOrder="1"/>
    </xf>
    <xf numFmtId="37" fontId="0" fillId="0" borderId="0" xfId="0" applyNumberFormat="1" applyAlignment="1">
      <alignment horizontal="center" vertical="top"/>
    </xf>
    <xf numFmtId="166" fontId="14" fillId="0" borderId="0" xfId="2" applyNumberFormat="1" applyFont="1"/>
    <xf numFmtId="0" fontId="15" fillId="3" borderId="8" xfId="0" applyFont="1" applyFill="1" applyBorder="1" applyAlignment="1">
      <alignment horizontal="center"/>
    </xf>
    <xf numFmtId="0" fontId="16" fillId="0" borderId="0" xfId="0" applyFont="1"/>
    <xf numFmtId="165" fontId="4" fillId="0" borderId="0" xfId="3" applyFont="1"/>
    <xf numFmtId="184" fontId="4" fillId="0" borderId="0" xfId="3" applyNumberFormat="1" applyFont="1"/>
    <xf numFmtId="9" fontId="12" fillId="0" borderId="0" xfId="2" applyFont="1"/>
    <xf numFmtId="0" fontId="1" fillId="0" borderId="0" xfId="5" applyFont="1" applyAlignment="1">
      <alignment wrapText="1"/>
    </xf>
    <xf numFmtId="185" fontId="2" fillId="0" borderId="0" xfId="5" applyNumberFormat="1" applyAlignment="1">
      <alignment wrapText="1"/>
    </xf>
    <xf numFmtId="0" fontId="1" fillId="0" borderId="0" xfId="5" applyFont="1" applyAlignment="1"/>
    <xf numFmtId="0" fontId="17" fillId="0" borderId="0" xfId="5" applyFont="1" applyAlignment="1"/>
    <xf numFmtId="171" fontId="2" fillId="0" borderId="0" xfId="3" applyNumberFormat="1" applyFont="1" applyAlignment="1">
      <alignment wrapText="1"/>
    </xf>
    <xf numFmtId="9" fontId="18" fillId="0" borderId="0" xfId="5" applyNumberFormat="1" applyFont="1" applyAlignment="1">
      <alignment horizontal="center" wrapText="1"/>
    </xf>
    <xf numFmtId="169" fontId="11" fillId="0" borderId="0" xfId="4" applyNumberFormat="1" applyFont="1" applyAlignment="1">
      <alignment wrapText="1"/>
    </xf>
    <xf numFmtId="0" fontId="11" fillId="0" borderId="9" xfId="5" applyFont="1" applyBorder="1" applyAlignment="1">
      <alignment horizontal="center" wrapText="1"/>
    </xf>
    <xf numFmtId="0" fontId="2" fillId="0" borderId="2" xfId="5" applyBorder="1" applyAlignment="1">
      <alignment horizontal="center" vertical="center" wrapText="1"/>
    </xf>
    <xf numFmtId="0" fontId="2" fillId="0" borderId="3" xfId="5" applyBorder="1" applyAlignment="1">
      <alignment wrapText="1"/>
    </xf>
    <xf numFmtId="0" fontId="2" fillId="0" borderId="0" xfId="5" applyBorder="1" applyAlignment="1">
      <alignment horizontal="center" vertical="center" wrapText="1"/>
    </xf>
    <xf numFmtId="0" fontId="7" fillId="0" borderId="0" xfId="3" applyNumberFormat="1" applyFont="1" applyBorder="1" applyAlignment="1" applyProtection="1">
      <alignment horizontal="right"/>
    </xf>
    <xf numFmtId="41" fontId="7" fillId="0" borderId="0" xfId="1" applyNumberFormat="1" applyFont="1" applyBorder="1" applyAlignment="1" applyProtection="1">
      <alignment horizontal="right"/>
    </xf>
    <xf numFmtId="0" fontId="15" fillId="4" borderId="8" xfId="0" applyFont="1" applyFill="1" applyBorder="1" applyAlignment="1">
      <alignment horizontal="center"/>
    </xf>
  </cellXfs>
  <cellStyles count="7">
    <cellStyle name="Comma" xfId="3" builtinId="3"/>
    <cellStyle name="Comma [0]" xfId="1" builtinId="6"/>
    <cellStyle name="Currency" xfId="4" builtinId="4"/>
    <cellStyle name="Hyperlink" xfId="6" builtinId="8"/>
    <cellStyle name="Normal" xfId="0" builtinId="0"/>
    <cellStyle name="Normal 2" xfId="5" xr:uid="{458F5DB2-1C58-4767-B7BE-C41E613BA48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Acquisition Cost &amp; Lifetime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Financials!$C$35</c:f>
              <c:strCache>
                <c:ptCount val="1"/>
                <c:pt idx="0">
                  <c:v>Customer Acquisition Cost (CAC)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Financials!$D$34:$I$34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Financials!$D$35:$I$35</c:f>
              <c:numCache>
                <c:formatCode>_(* #,##0_);_(* \(#,##0\);_(* "-"_);_(@_)</c:formatCode>
                <c:ptCount val="6"/>
                <c:pt idx="0">
                  <c:v>-300</c:v>
                </c:pt>
                <c:pt idx="1">
                  <c:v>-100</c:v>
                </c:pt>
                <c:pt idx="2">
                  <c:v>-46.666666666666664</c:v>
                </c:pt>
                <c:pt idx="3">
                  <c:v>-25</c:v>
                </c:pt>
                <c:pt idx="4">
                  <c:v>-18.75</c:v>
                </c:pt>
                <c:pt idx="5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4E5-ABAB-BB5D78A543EA}"/>
            </c:ext>
          </c:extLst>
        </c:ser>
        <c:ser>
          <c:idx val="1"/>
          <c:order val="1"/>
          <c:tx>
            <c:strRef>
              <c:f>Financials!$C$36</c:f>
              <c:strCache>
                <c:ptCount val="1"/>
                <c:pt idx="0">
                  <c:v>Lifetime Value (LTV)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Financials!$D$34:$I$34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Financials!$D$36:$I$36</c:f>
              <c:numCache>
                <c:formatCode>_(* #,##0_);_(* \(#,##0\);_(* "-"_);_(@_)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120</c:v>
                </c:pt>
                <c:pt idx="3">
                  <c:v>180</c:v>
                </c:pt>
                <c:pt idx="4">
                  <c:v>250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A-44E5-ABAB-BB5D78A5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62504"/>
        <c:axId val="604062176"/>
      </c:barChart>
      <c:catAx>
        <c:axId val="6040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2176"/>
        <c:crosses val="autoZero"/>
        <c:auto val="1"/>
        <c:lblAlgn val="ctr"/>
        <c:lblOffset val="100"/>
        <c:noMultiLvlLbl val="0"/>
      </c:catAx>
      <c:valAx>
        <c:axId val="604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Approvi System vs. Incumbent Expense Management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Flywheel!$E$9</c:f>
              <c:strCache>
                <c:ptCount val="1"/>
                <c:pt idx="0">
                  <c:v>Approvi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Flywheel!$D$10:$D$15</c:f>
              <c:strCache>
                <c:ptCount val="6"/>
                <c:pt idx="0">
                  <c:v>Trust </c:v>
                </c:pt>
                <c:pt idx="1">
                  <c:v>Autonomy</c:v>
                </c:pt>
                <c:pt idx="2">
                  <c:v>Experience</c:v>
                </c:pt>
                <c:pt idx="3">
                  <c:v>Speed</c:v>
                </c:pt>
                <c:pt idx="4">
                  <c:v>Transparency</c:v>
                </c:pt>
                <c:pt idx="5">
                  <c:v>Accountability</c:v>
                </c:pt>
              </c:strCache>
            </c:strRef>
          </c:cat>
          <c:val>
            <c:numRef>
              <c:f>Flywheel!$E$10:$E$15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B-4DFD-8F77-5EE2D45D78C4}"/>
            </c:ext>
          </c:extLst>
        </c:ser>
        <c:ser>
          <c:idx val="1"/>
          <c:order val="1"/>
          <c:tx>
            <c:strRef>
              <c:f>Flywheel!$F$9</c:f>
              <c:strCache>
                <c:ptCount val="1"/>
                <c:pt idx="0">
                  <c:v>Incumbent System</c:v>
                </c:pt>
              </c:strCache>
            </c:strRef>
          </c:tx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Flywheel!$D$10:$D$15</c:f>
              <c:strCache>
                <c:ptCount val="6"/>
                <c:pt idx="0">
                  <c:v>Trust </c:v>
                </c:pt>
                <c:pt idx="1">
                  <c:v>Autonomy</c:v>
                </c:pt>
                <c:pt idx="2">
                  <c:v>Experience</c:v>
                </c:pt>
                <c:pt idx="3">
                  <c:v>Speed</c:v>
                </c:pt>
                <c:pt idx="4">
                  <c:v>Transparency</c:v>
                </c:pt>
                <c:pt idx="5">
                  <c:v>Accountability</c:v>
                </c:pt>
              </c:strCache>
            </c:strRef>
          </c:cat>
          <c:val>
            <c:numRef>
              <c:f>Flywheel!$F$10:$F$15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B-4DFD-8F77-5EE2D45D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67096"/>
        <c:axId val="604075952"/>
      </c:radarChart>
      <c:catAx>
        <c:axId val="60406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5952"/>
        <c:crosses val="autoZero"/>
        <c:auto val="1"/>
        <c:lblAlgn val="ctr"/>
        <c:lblOffset val="100"/>
        <c:noMultiLvlLbl val="0"/>
      </c:catAx>
      <c:valAx>
        <c:axId val="6040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1246188</xdr:colOff>
      <xdr:row>35</xdr:row>
      <xdr:rowOff>21431</xdr:rowOff>
    </xdr:from>
    <xdr:to>
      <xdr:col>18</xdr:col>
      <xdr:colOff>388938</xdr:colOff>
      <xdr:row>52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98053-F727-4096-A2D0-1251D0D2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12</xdr:row>
      <xdr:rowOff>57150</xdr:rowOff>
    </xdr:from>
    <xdr:to>
      <xdr:col>21</xdr:col>
      <xdr:colOff>57150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667D2-E1B0-4752-B3E7-70F97855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thereumpric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F81"/>
  <sheetViews>
    <sheetView showGridLines="0" tabSelected="1" zoomScale="120" zoomScaleNormal="120" workbookViewId="0">
      <selection activeCell="K61" sqref="K61"/>
    </sheetView>
  </sheetViews>
  <sheetFormatPr defaultColWidth="8.85546875" defaultRowHeight="12.75" outlineLevelRow="1" x14ac:dyDescent="0.2"/>
  <cols>
    <col min="2" max="2" width="2.7109375" customWidth="1"/>
    <col min="3" max="3" width="46.5703125" bestFit="1" customWidth="1"/>
    <col min="4" max="9" width="14.28515625" customWidth="1"/>
    <col min="10" max="10" width="21" bestFit="1" customWidth="1"/>
    <col min="11" max="11" width="8.5703125" customWidth="1"/>
    <col min="12" max="12" width="15.140625" hidden="1" customWidth="1"/>
    <col min="13" max="16" width="8.5703125" customWidth="1"/>
  </cols>
  <sheetData>
    <row r="2" spans="1:30" x14ac:dyDescent="0.2">
      <c r="D2" s="9"/>
    </row>
    <row r="3" spans="1:30" x14ac:dyDescent="0.2">
      <c r="C3" s="53" t="s">
        <v>71</v>
      </c>
    </row>
    <row r="4" spans="1:30" x14ac:dyDescent="0.2">
      <c r="A4" s="5"/>
      <c r="D4" s="70">
        <f>2019</f>
        <v>2019</v>
      </c>
      <c r="E4" s="70">
        <f>D4+1</f>
        <v>2020</v>
      </c>
      <c r="F4" s="70">
        <f t="shared" ref="F4:I4" si="0">E4+1</f>
        <v>2021</v>
      </c>
      <c r="G4" s="70">
        <f t="shared" si="0"/>
        <v>2022</v>
      </c>
      <c r="H4" s="70">
        <f t="shared" si="0"/>
        <v>2023</v>
      </c>
      <c r="I4" s="70">
        <f t="shared" si="0"/>
        <v>2024</v>
      </c>
      <c r="J4" s="9"/>
      <c r="K4" s="9"/>
      <c r="L4" s="9"/>
      <c r="M4" s="9"/>
      <c r="N4" s="9"/>
      <c r="O4" s="9"/>
      <c r="P4" s="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outlineLevel="1" x14ac:dyDescent="0.2">
      <c r="C5" s="5" t="s">
        <v>38</v>
      </c>
      <c r="D5" s="6">
        <v>1000</v>
      </c>
      <c r="E5" s="6">
        <v>5000</v>
      </c>
      <c r="F5" s="6">
        <v>15000</v>
      </c>
      <c r="G5" s="6">
        <v>40000</v>
      </c>
      <c r="H5" s="6">
        <v>80000</v>
      </c>
      <c r="I5" s="6">
        <v>200000</v>
      </c>
      <c r="J5" s="1"/>
      <c r="K5" s="1"/>
      <c r="L5" s="1"/>
    </row>
    <row r="6" spans="1:30" outlineLevel="1" x14ac:dyDescent="0.2">
      <c r="C6" s="5" t="s">
        <v>39</v>
      </c>
      <c r="D6" s="6">
        <v>6</v>
      </c>
      <c r="E6" s="6">
        <v>7</v>
      </c>
      <c r="F6" s="6">
        <v>8</v>
      </c>
      <c r="G6" s="6">
        <v>9</v>
      </c>
      <c r="H6" s="6">
        <v>10</v>
      </c>
      <c r="I6" s="6">
        <v>10</v>
      </c>
      <c r="J6" s="3"/>
      <c r="K6" s="3"/>
      <c r="L6" s="3"/>
    </row>
    <row r="7" spans="1:30" outlineLevel="1" x14ac:dyDescent="0.2">
      <c r="C7" s="5" t="s">
        <v>76</v>
      </c>
      <c r="D7" s="6">
        <v>10</v>
      </c>
      <c r="E7" s="6">
        <v>10</v>
      </c>
      <c r="F7" s="6">
        <v>15</v>
      </c>
      <c r="G7" s="6">
        <v>20</v>
      </c>
      <c r="H7" s="6">
        <v>25</v>
      </c>
      <c r="I7" s="6">
        <v>30</v>
      </c>
      <c r="J7" s="3"/>
      <c r="K7" s="3"/>
      <c r="L7" s="3"/>
    </row>
    <row r="8" spans="1:30" x14ac:dyDescent="0.2">
      <c r="B8" s="24" t="s">
        <v>77</v>
      </c>
      <c r="D8" s="25">
        <f>D5*D6*D7</f>
        <v>60000</v>
      </c>
      <c r="E8" s="25">
        <f>E5*E6*E7</f>
        <v>350000</v>
      </c>
      <c r="F8" s="25">
        <f>F5*F6*F7</f>
        <v>1800000</v>
      </c>
      <c r="G8" s="25">
        <f>G5*G6*G7</f>
        <v>7200000</v>
      </c>
      <c r="H8" s="25">
        <f>H5*H6*H7</f>
        <v>20000000</v>
      </c>
      <c r="I8" s="25">
        <f>I5*I6*I7</f>
        <v>60000000</v>
      </c>
      <c r="J8" s="6"/>
      <c r="K8" s="6"/>
      <c r="L8" s="6"/>
    </row>
    <row r="9" spans="1:30" x14ac:dyDescent="0.2">
      <c r="B9" s="5"/>
      <c r="C9" s="5"/>
      <c r="D9" s="6"/>
      <c r="E9" s="6"/>
      <c r="F9" s="6"/>
      <c r="G9" s="6"/>
      <c r="H9" s="6"/>
      <c r="I9" s="6"/>
      <c r="J9" s="6"/>
      <c r="K9" s="6"/>
      <c r="L9" s="6"/>
    </row>
    <row r="10" spans="1:30" outlineLevel="1" x14ac:dyDescent="0.2">
      <c r="B10" s="5" t="s">
        <v>40</v>
      </c>
      <c r="C10" s="5"/>
      <c r="D10" s="6"/>
      <c r="E10" s="6"/>
      <c r="F10" s="6"/>
      <c r="G10" s="6"/>
      <c r="H10" s="6"/>
      <c r="I10" s="6"/>
      <c r="J10" s="6"/>
      <c r="K10" s="6"/>
      <c r="L10" s="6"/>
    </row>
    <row r="11" spans="1:30" outlineLevel="1" x14ac:dyDescent="0.2">
      <c r="B11" s="5"/>
      <c r="C11" s="5" t="s">
        <v>78</v>
      </c>
      <c r="D11" s="6">
        <v>250</v>
      </c>
      <c r="E11" s="6">
        <v>300</v>
      </c>
      <c r="F11" s="6">
        <v>500</v>
      </c>
      <c r="G11" s="6">
        <v>800</v>
      </c>
      <c r="H11" s="6">
        <v>800</v>
      </c>
      <c r="I11" s="30">
        <v>1200</v>
      </c>
      <c r="J11" s="6"/>
      <c r="K11" s="6"/>
      <c r="L11" s="6"/>
    </row>
    <row r="12" spans="1:30" outlineLevel="1" x14ac:dyDescent="0.2">
      <c r="B12" s="5"/>
      <c r="C12" s="5" t="s">
        <v>84</v>
      </c>
      <c r="D12" s="6">
        <f>D11/D6</f>
        <v>41.666666666666664</v>
      </c>
      <c r="E12" s="6">
        <f>E11/E6</f>
        <v>42.857142857142854</v>
      </c>
      <c r="F12" s="6">
        <f>F11/F6</f>
        <v>62.5</v>
      </c>
      <c r="G12" s="6">
        <f>G11/G6</f>
        <v>88.888888888888886</v>
      </c>
      <c r="H12" s="6">
        <f>H11/H6</f>
        <v>80</v>
      </c>
      <c r="I12" s="30">
        <f>I11/I6</f>
        <v>120</v>
      </c>
      <c r="J12" s="6"/>
      <c r="K12" s="6"/>
      <c r="L12" s="6"/>
    </row>
    <row r="13" spans="1:30" outlineLevel="1" x14ac:dyDescent="0.2">
      <c r="B13" s="5"/>
      <c r="C13" s="5" t="s">
        <v>79</v>
      </c>
      <c r="D13" s="55">
        <f>Costing!$D$3</f>
        <v>3.3000000000000002E-2</v>
      </c>
      <c r="E13" s="55">
        <f>Costing!$D$3</f>
        <v>3.3000000000000002E-2</v>
      </c>
      <c r="F13" s="55">
        <f>Costing!$D$3</f>
        <v>3.3000000000000002E-2</v>
      </c>
      <c r="G13" s="55">
        <f>Costing!$D$3</f>
        <v>3.3000000000000002E-2</v>
      </c>
      <c r="H13" s="55">
        <f>Costing!$D$3</f>
        <v>3.3000000000000002E-2</v>
      </c>
      <c r="I13" s="55">
        <f>0.033</f>
        <v>3.3000000000000002E-2</v>
      </c>
      <c r="J13" s="6"/>
      <c r="K13" s="6"/>
      <c r="L13" s="6"/>
    </row>
    <row r="14" spans="1:30" outlineLevel="1" x14ac:dyDescent="0.2">
      <c r="B14" s="5"/>
      <c r="C14" s="5" t="s">
        <v>80</v>
      </c>
      <c r="D14" s="54">
        <f>D13*D11</f>
        <v>8.25</v>
      </c>
      <c r="E14" s="54">
        <f t="shared" ref="E14:I14" si="1">E13*E11</f>
        <v>9.9</v>
      </c>
      <c r="F14" s="54">
        <f t="shared" si="1"/>
        <v>16.5</v>
      </c>
      <c r="G14" s="54">
        <f t="shared" si="1"/>
        <v>26.400000000000002</v>
      </c>
      <c r="H14" s="54">
        <f t="shared" si="1"/>
        <v>26.400000000000002</v>
      </c>
      <c r="I14" s="54">
        <f t="shared" si="1"/>
        <v>39.6</v>
      </c>
      <c r="J14" s="6"/>
      <c r="K14" s="6"/>
      <c r="L14" s="6"/>
    </row>
    <row r="15" spans="1:30" outlineLevel="1" x14ac:dyDescent="0.2">
      <c r="B15" s="5"/>
      <c r="C15" s="23" t="s">
        <v>81</v>
      </c>
      <c r="D15" s="26">
        <f>D14*D5</f>
        <v>8250</v>
      </c>
      <c r="E15" s="26">
        <f>E14*E5</f>
        <v>49500</v>
      </c>
      <c r="F15" s="26">
        <f>F14*F5</f>
        <v>247500</v>
      </c>
      <c r="G15" s="26">
        <f>G14*G5</f>
        <v>1056000</v>
      </c>
      <c r="H15" s="26">
        <f>H14*H5</f>
        <v>2112000</v>
      </c>
      <c r="I15" s="26">
        <f>I14*I5</f>
        <v>7920000</v>
      </c>
      <c r="J15" s="6"/>
      <c r="K15" s="6"/>
      <c r="L15" s="6"/>
    </row>
    <row r="16" spans="1:30" outlineLevel="1" x14ac:dyDescent="0.2">
      <c r="B16" s="5"/>
      <c r="C16" s="24" t="s">
        <v>42</v>
      </c>
      <c r="D16" s="25">
        <f>D5*D11</f>
        <v>250000</v>
      </c>
      <c r="E16" s="25">
        <f>E5*E11</f>
        <v>1500000</v>
      </c>
      <c r="F16" s="25">
        <f>F5*F11</f>
        <v>7500000</v>
      </c>
      <c r="G16" s="25">
        <f>G5*G11</f>
        <v>32000000</v>
      </c>
      <c r="H16" s="25">
        <f>H5*H11</f>
        <v>64000000</v>
      </c>
      <c r="I16" s="25">
        <f>I5*I11</f>
        <v>240000000</v>
      </c>
      <c r="J16" s="6"/>
      <c r="K16" s="6"/>
      <c r="L16" s="6"/>
    </row>
    <row r="17" spans="2:32" ht="9.75" customHeight="1" outlineLevel="1" x14ac:dyDescent="0.2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</row>
    <row r="18" spans="2:32" outlineLevel="1" x14ac:dyDescent="0.2">
      <c r="B18" s="5"/>
      <c r="C18" s="45" t="s">
        <v>85</v>
      </c>
      <c r="D18" s="46">
        <v>10000</v>
      </c>
      <c r="E18" s="46">
        <v>50000</v>
      </c>
      <c r="F18" s="46">
        <v>80000</v>
      </c>
      <c r="G18" s="46">
        <v>120000</v>
      </c>
      <c r="H18" s="46">
        <v>150000</v>
      </c>
      <c r="I18" s="46">
        <v>500000</v>
      </c>
      <c r="J18" s="6"/>
      <c r="K18" s="6"/>
      <c r="L18" s="6"/>
    </row>
    <row r="19" spans="2:32" x14ac:dyDescent="0.2">
      <c r="B19" s="5" t="s">
        <v>53</v>
      </c>
      <c r="C19" s="5"/>
      <c r="D19" s="7">
        <f>D15+D18</f>
        <v>18250</v>
      </c>
      <c r="E19" s="7">
        <f t="shared" ref="E19:I19" si="2">E15+E18</f>
        <v>99500</v>
      </c>
      <c r="F19" s="7">
        <f t="shared" si="2"/>
        <v>327500</v>
      </c>
      <c r="G19" s="7">
        <f t="shared" si="2"/>
        <v>1176000</v>
      </c>
      <c r="H19" s="7">
        <f t="shared" si="2"/>
        <v>2262000</v>
      </c>
      <c r="I19" s="7">
        <f t="shared" si="2"/>
        <v>8420000</v>
      </c>
      <c r="J19" s="2"/>
      <c r="K19" s="2"/>
      <c r="L19" s="2"/>
    </row>
    <row r="20" spans="2:32" x14ac:dyDescent="0.2">
      <c r="C20" s="5"/>
      <c r="D20" s="2"/>
      <c r="E20" s="2"/>
      <c r="F20" s="2"/>
      <c r="G20" s="2"/>
      <c r="H20" s="2"/>
      <c r="I20" s="2"/>
      <c r="J20" s="2"/>
      <c r="K20" s="2"/>
      <c r="L20" s="2"/>
    </row>
    <row r="21" spans="2:32" x14ac:dyDescent="0.2">
      <c r="B21" s="5" t="s">
        <v>10</v>
      </c>
      <c r="D21" s="7">
        <f>D8-D19</f>
        <v>41750</v>
      </c>
      <c r="E21" s="7">
        <f t="shared" ref="E21:I21" si="3">E8-E19</f>
        <v>250500</v>
      </c>
      <c r="F21" s="7">
        <f t="shared" si="3"/>
        <v>1472500</v>
      </c>
      <c r="G21" s="7">
        <f t="shared" si="3"/>
        <v>6024000</v>
      </c>
      <c r="H21" s="7">
        <f t="shared" si="3"/>
        <v>17738000</v>
      </c>
      <c r="I21" s="7">
        <f t="shared" si="3"/>
        <v>51580000</v>
      </c>
      <c r="J21" s="2"/>
      <c r="K21" s="2"/>
      <c r="L21" s="2"/>
    </row>
    <row r="22" spans="2:32" x14ac:dyDescent="0.2">
      <c r="B22" s="5" t="s">
        <v>82</v>
      </c>
      <c r="D22" s="56">
        <f>D21/D8</f>
        <v>0.6958333333333333</v>
      </c>
      <c r="E22" s="56">
        <f t="shared" ref="E22:H22" si="4">E21/E8</f>
        <v>0.71571428571428575</v>
      </c>
      <c r="F22" s="56">
        <f t="shared" si="4"/>
        <v>0.81805555555555554</v>
      </c>
      <c r="G22" s="56">
        <f t="shared" si="4"/>
        <v>0.83666666666666667</v>
      </c>
      <c r="H22" s="56">
        <f t="shared" si="4"/>
        <v>0.88690000000000002</v>
      </c>
      <c r="I22" s="56">
        <f>I21/I8</f>
        <v>0.85966666666666669</v>
      </c>
      <c r="J22" s="2"/>
      <c r="K22" s="2"/>
      <c r="L22" s="2"/>
    </row>
    <row r="23" spans="2:32" x14ac:dyDescent="0.2">
      <c r="B23" s="5"/>
      <c r="D23" s="27"/>
      <c r="E23" s="27"/>
      <c r="F23" s="27"/>
      <c r="G23" s="27"/>
      <c r="H23" s="27"/>
      <c r="I23" s="27"/>
      <c r="J23" s="2"/>
      <c r="K23" s="2"/>
      <c r="L23" s="2"/>
    </row>
    <row r="24" spans="2:32" hidden="1" x14ac:dyDescent="0.2">
      <c r="B24" s="53" t="s">
        <v>71</v>
      </c>
      <c r="C24" s="5"/>
      <c r="D24" s="52">
        <f>D4</f>
        <v>2019</v>
      </c>
      <c r="E24" s="52">
        <f>E4</f>
        <v>2020</v>
      </c>
      <c r="F24" s="52">
        <f>F4</f>
        <v>2021</v>
      </c>
      <c r="G24" s="52">
        <f>G4</f>
        <v>2022</v>
      </c>
      <c r="H24" s="52">
        <f>H4</f>
        <v>2023</v>
      </c>
      <c r="I24" s="52">
        <f>I4</f>
        <v>2024</v>
      </c>
      <c r="J24" s="2"/>
      <c r="K24" s="2"/>
      <c r="L24" s="2"/>
    </row>
    <row r="25" spans="2:32" outlineLevel="1" x14ac:dyDescent="0.2">
      <c r="B25" s="5" t="s">
        <v>6</v>
      </c>
      <c r="C25" s="5"/>
      <c r="M25" s="42" t="s">
        <v>70</v>
      </c>
      <c r="N25" s="42"/>
      <c r="O25" s="42"/>
      <c r="P25" s="42"/>
      <c r="Q25" s="42"/>
      <c r="R25" s="42"/>
    </row>
    <row r="26" spans="2:32" outlineLevel="1" x14ac:dyDescent="0.2">
      <c r="B26" s="5"/>
      <c r="C26" s="5" t="s">
        <v>69</v>
      </c>
      <c r="D26" s="15">
        <v>-300000</v>
      </c>
      <c r="E26" s="15">
        <v>-400000</v>
      </c>
      <c r="F26" s="15">
        <v>-500000</v>
      </c>
      <c r="G26" s="15">
        <v>-600000</v>
      </c>
      <c r="H26" s="15">
        <v>-800000</v>
      </c>
      <c r="I26" s="15">
        <f>-2000000</f>
        <v>-2000000</v>
      </c>
      <c r="M26" s="52">
        <f>D4</f>
        <v>2019</v>
      </c>
      <c r="N26" s="52">
        <f>E4</f>
        <v>2020</v>
      </c>
      <c r="O26" s="52">
        <f>F4</f>
        <v>2021</v>
      </c>
      <c r="P26" s="52">
        <f>G4</f>
        <v>2022</v>
      </c>
      <c r="Q26" s="52">
        <f>H4</f>
        <v>2023</v>
      </c>
      <c r="R26" s="52">
        <f>I4</f>
        <v>2024</v>
      </c>
    </row>
    <row r="27" spans="2:32" outlineLevel="1" x14ac:dyDescent="0.2">
      <c r="B27" s="5"/>
      <c r="C27" s="5" t="s">
        <v>17</v>
      </c>
      <c r="D27" s="15">
        <v>-35000</v>
      </c>
      <c r="E27" s="15">
        <f>D27</f>
        <v>-35000</v>
      </c>
      <c r="F27" s="15">
        <f>E27</f>
        <v>-35000</v>
      </c>
      <c r="G27" s="15">
        <v>-100000</v>
      </c>
      <c r="H27" s="15">
        <v>-350000</v>
      </c>
      <c r="I27" s="15">
        <v>-1000000</v>
      </c>
      <c r="L27" s="47" t="s">
        <v>67</v>
      </c>
      <c r="M27" s="50">
        <v>6</v>
      </c>
      <c r="N27" s="50">
        <v>10</v>
      </c>
      <c r="O27" s="50">
        <v>15</v>
      </c>
      <c r="P27" s="50">
        <v>20</v>
      </c>
      <c r="Q27" s="50">
        <f>H26/(G26/P27)</f>
        <v>26.666666666666668</v>
      </c>
      <c r="R27" s="50">
        <f>I26/(H26/Q27)</f>
        <v>66.666666666666671</v>
      </c>
    </row>
    <row r="28" spans="2:32" outlineLevel="1" x14ac:dyDescent="0.2">
      <c r="B28" s="5"/>
      <c r="C28" s="5" t="s">
        <v>73</v>
      </c>
      <c r="D28" s="15">
        <v>-10000</v>
      </c>
      <c r="E28" s="15">
        <v>-20000</v>
      </c>
      <c r="F28" s="15">
        <v>-30000</v>
      </c>
      <c r="G28" s="15">
        <v>-50000</v>
      </c>
      <c r="H28" s="15">
        <v>-100000</v>
      </c>
      <c r="I28" s="15">
        <v>-200000</v>
      </c>
      <c r="J28" s="2"/>
      <c r="L28" s="47" t="s">
        <v>68</v>
      </c>
      <c r="M28" s="2"/>
      <c r="N28" s="51">
        <f>N27/M27-1</f>
        <v>0.66666666666666674</v>
      </c>
      <c r="O28" s="51">
        <f t="shared" ref="O28:R28" si="5">O27/N27-1</f>
        <v>0.5</v>
      </c>
      <c r="P28" s="51">
        <f t="shared" si="5"/>
        <v>0.33333333333333326</v>
      </c>
      <c r="Q28" s="51">
        <f>Q27/P27-1</f>
        <v>0.33333333333333348</v>
      </c>
      <c r="R28" s="51">
        <f t="shared" si="5"/>
        <v>1.5</v>
      </c>
    </row>
    <row r="29" spans="2:32" outlineLevel="1" x14ac:dyDescent="0.2">
      <c r="B29" s="5"/>
      <c r="C29" s="5" t="s">
        <v>72</v>
      </c>
      <c r="D29" s="15">
        <v>-300000</v>
      </c>
      <c r="E29" s="15">
        <v>-500000</v>
      </c>
      <c r="F29" s="15">
        <v>-700000</v>
      </c>
      <c r="G29" s="15">
        <v>-1000000</v>
      </c>
      <c r="H29" s="15">
        <v>-1500000</v>
      </c>
      <c r="I29" s="15">
        <v>-5000000</v>
      </c>
      <c r="J29" s="2"/>
      <c r="L29" s="47" t="s">
        <v>83</v>
      </c>
      <c r="M29" s="2">
        <f>-D26/M27</f>
        <v>50000</v>
      </c>
      <c r="N29" s="2">
        <f>-E26/N27</f>
        <v>40000</v>
      </c>
      <c r="O29" s="2">
        <f>-F26/O27</f>
        <v>33333.333333333336</v>
      </c>
      <c r="P29" s="2">
        <f>-G26/P27</f>
        <v>30000</v>
      </c>
      <c r="Q29" s="2">
        <f>-H26/Q27</f>
        <v>30000</v>
      </c>
      <c r="R29" s="2">
        <f>-I26/R27</f>
        <v>29999.999999999996</v>
      </c>
    </row>
    <row r="30" spans="2:32" outlineLevel="1" x14ac:dyDescent="0.2">
      <c r="B30" s="5"/>
      <c r="C30" s="5" t="s">
        <v>11</v>
      </c>
      <c r="D30" s="15">
        <v>-500000</v>
      </c>
      <c r="E30" s="15">
        <v>-500000</v>
      </c>
      <c r="F30" s="15">
        <v>-500000</v>
      </c>
      <c r="G30" s="15">
        <v>-500000</v>
      </c>
      <c r="H30" s="15">
        <v>-500000</v>
      </c>
      <c r="I30" s="15">
        <v>-1000000</v>
      </c>
      <c r="J30" s="11"/>
      <c r="K30" s="11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2:32" outlineLevel="1" x14ac:dyDescent="0.2">
      <c r="B31" s="5"/>
      <c r="C31" s="5" t="s">
        <v>45</v>
      </c>
      <c r="D31" s="15">
        <v>0</v>
      </c>
      <c r="E31" s="15">
        <v>-10000</v>
      </c>
      <c r="F31" s="15">
        <v>-50000</v>
      </c>
      <c r="G31" s="15">
        <v>-100000</v>
      </c>
      <c r="H31" s="15">
        <v>-500000</v>
      </c>
      <c r="I31" s="15">
        <v>-1000000</v>
      </c>
      <c r="J31" s="11"/>
      <c r="K31" s="11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2:32" outlineLevel="1" x14ac:dyDescent="0.2">
      <c r="B32" s="5"/>
      <c r="C32" s="5" t="s">
        <v>74</v>
      </c>
      <c r="D32" s="15">
        <v>0</v>
      </c>
      <c r="E32" s="15">
        <v>-10000</v>
      </c>
      <c r="F32" s="15">
        <v>-20000</v>
      </c>
      <c r="G32" s="15">
        <v>-50000</v>
      </c>
      <c r="H32" s="15">
        <v>-150000</v>
      </c>
      <c r="I32" s="15">
        <v>-1000000</v>
      </c>
      <c r="J32" s="11"/>
      <c r="K32" s="11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2:32" outlineLevel="1" x14ac:dyDescent="0.2">
      <c r="B33" s="5"/>
      <c r="C33" s="5"/>
      <c r="D33" s="15"/>
      <c r="E33" s="15"/>
      <c r="F33" s="15"/>
      <c r="G33" s="15"/>
      <c r="H33" s="15"/>
      <c r="I33" s="15"/>
      <c r="J33" s="11"/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2:32" outlineLevel="1" x14ac:dyDescent="0.2">
      <c r="B34" s="5"/>
      <c r="C34" s="5"/>
      <c r="D34" s="68">
        <f>D4</f>
        <v>2019</v>
      </c>
      <c r="E34" s="68">
        <f t="shared" ref="E34:I34" si="6">E4</f>
        <v>2020</v>
      </c>
      <c r="F34" s="68">
        <f t="shared" si="6"/>
        <v>2021</v>
      </c>
      <c r="G34" s="68">
        <f t="shared" si="6"/>
        <v>2022</v>
      </c>
      <c r="H34" s="68">
        <f t="shared" si="6"/>
        <v>2023</v>
      </c>
      <c r="I34" s="68">
        <f t="shared" si="6"/>
        <v>2024</v>
      </c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2:32" outlineLevel="1" x14ac:dyDescent="0.2">
      <c r="B35" s="5"/>
      <c r="C35" s="5" t="s">
        <v>65</v>
      </c>
      <c r="D35" s="69">
        <f>D29/D5</f>
        <v>-300</v>
      </c>
      <c r="E35" s="15">
        <f>E29/E5</f>
        <v>-100</v>
      </c>
      <c r="F35" s="15">
        <f>F29/F5</f>
        <v>-46.666666666666664</v>
      </c>
      <c r="G35" s="15">
        <f>G29/G5</f>
        <v>-25</v>
      </c>
      <c r="H35" s="15">
        <f>H29/H5</f>
        <v>-18.75</v>
      </c>
      <c r="I35" s="15">
        <f>I29/I5</f>
        <v>-25</v>
      </c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2:32" outlineLevel="1" x14ac:dyDescent="0.2">
      <c r="B36" s="5"/>
      <c r="C36" s="5" t="s">
        <v>66</v>
      </c>
      <c r="D36" s="15">
        <f>D6*D7</f>
        <v>60</v>
      </c>
      <c r="E36" s="15">
        <f>E6*E7</f>
        <v>70</v>
      </c>
      <c r="F36" s="15">
        <f>F6*F7</f>
        <v>120</v>
      </c>
      <c r="G36" s="15">
        <f>G6*G7</f>
        <v>180</v>
      </c>
      <c r="H36" s="15">
        <f>H6*H7</f>
        <v>250</v>
      </c>
      <c r="I36" s="15">
        <f>I6*I7</f>
        <v>300</v>
      </c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 outlineLevel="1" x14ac:dyDescent="0.2">
      <c r="B37" s="5"/>
      <c r="C37" s="5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2" x14ac:dyDescent="0.2">
      <c r="B38" s="5" t="s">
        <v>0</v>
      </c>
      <c r="C38" s="5"/>
      <c r="D38" s="28">
        <f t="shared" ref="D38:I38" si="7">SUM(D26:D32)</f>
        <v>-1145000</v>
      </c>
      <c r="E38" s="28">
        <f t="shared" si="7"/>
        <v>-1475000</v>
      </c>
      <c r="F38" s="28">
        <f t="shared" si="7"/>
        <v>-1835000</v>
      </c>
      <c r="G38" s="28">
        <f t="shared" si="7"/>
        <v>-2400000</v>
      </c>
      <c r="H38" s="28">
        <f t="shared" si="7"/>
        <v>-3900000</v>
      </c>
      <c r="I38" s="28">
        <f t="shared" si="7"/>
        <v>-11200000</v>
      </c>
      <c r="J38" s="2"/>
      <c r="K38" s="2"/>
      <c r="L38" s="2"/>
    </row>
    <row r="39" spans="2:32" x14ac:dyDescent="0.2">
      <c r="B39" s="5"/>
      <c r="C39" s="5" t="s">
        <v>8</v>
      </c>
      <c r="D39" s="12">
        <f t="shared" ref="D39:I39" si="8">-D38/D$8</f>
        <v>19.083333333333332</v>
      </c>
      <c r="E39" s="12">
        <f t="shared" si="8"/>
        <v>4.2142857142857144</v>
      </c>
      <c r="F39" s="12">
        <f t="shared" si="8"/>
        <v>1.0194444444444444</v>
      </c>
      <c r="G39" s="12">
        <f t="shared" si="8"/>
        <v>0.33333333333333331</v>
      </c>
      <c r="H39" s="12">
        <f t="shared" si="8"/>
        <v>0.19500000000000001</v>
      </c>
      <c r="I39" s="12">
        <f t="shared" si="8"/>
        <v>0.18666666666666668</v>
      </c>
      <c r="J39" s="2"/>
      <c r="K39" s="2"/>
      <c r="L39" s="2"/>
    </row>
    <row r="40" spans="2:32" outlineLevel="1" x14ac:dyDescent="0.2">
      <c r="B40" s="5" t="s">
        <v>1</v>
      </c>
      <c r="C40" s="5"/>
      <c r="D40" s="28">
        <f>D21+D38</f>
        <v>-1103250</v>
      </c>
      <c r="E40" s="28">
        <f>E21+E38</f>
        <v>-1224500</v>
      </c>
      <c r="F40" s="28">
        <f>F21+F38</f>
        <v>-362500</v>
      </c>
      <c r="G40" s="28">
        <f>G21+G38</f>
        <v>3624000</v>
      </c>
      <c r="H40" s="28">
        <f>H21+H38</f>
        <v>13838000</v>
      </c>
      <c r="I40" s="28">
        <f>I21+I38</f>
        <v>40380000</v>
      </c>
      <c r="J40" s="7"/>
      <c r="K40" s="7"/>
      <c r="L40" s="7"/>
    </row>
    <row r="41" spans="2:32" outlineLevel="1" x14ac:dyDescent="0.2">
      <c r="B41" s="5"/>
      <c r="C41" s="5" t="s">
        <v>8</v>
      </c>
      <c r="D41" s="1">
        <f t="shared" ref="D41:I41" si="9">+D40/D$8</f>
        <v>-18.387499999999999</v>
      </c>
      <c r="E41" s="1">
        <f t="shared" si="9"/>
        <v>-3.4985714285714287</v>
      </c>
      <c r="F41" s="1">
        <f t="shared" si="9"/>
        <v>-0.2013888888888889</v>
      </c>
      <c r="G41" s="1">
        <f t="shared" si="9"/>
        <v>0.5033333333333333</v>
      </c>
      <c r="H41" s="1">
        <f t="shared" si="9"/>
        <v>0.69189999999999996</v>
      </c>
      <c r="I41" s="1">
        <f t="shared" si="9"/>
        <v>0.67300000000000004</v>
      </c>
      <c r="J41" s="7"/>
      <c r="K41" s="7"/>
      <c r="L41" s="7"/>
    </row>
    <row r="42" spans="2:32" outlineLevel="1" x14ac:dyDescent="0.2">
      <c r="B42" s="5"/>
      <c r="C42" s="5" t="s">
        <v>48</v>
      </c>
      <c r="D42" s="29">
        <f>D53</f>
        <v>0</v>
      </c>
      <c r="E42" s="29">
        <f t="shared" ref="E42:I42" si="10">E53</f>
        <v>0</v>
      </c>
      <c r="F42" s="29">
        <f t="shared" si="10"/>
        <v>0</v>
      </c>
      <c r="G42" s="29">
        <f t="shared" si="10"/>
        <v>0</v>
      </c>
      <c r="H42" s="29">
        <f t="shared" si="10"/>
        <v>900000</v>
      </c>
      <c r="I42" s="29">
        <f t="shared" si="10"/>
        <v>0</v>
      </c>
      <c r="J42" s="7"/>
      <c r="K42" s="7"/>
      <c r="L42" s="7"/>
    </row>
    <row r="43" spans="2:32" outlineLevel="1" x14ac:dyDescent="0.2">
      <c r="B43" s="5"/>
      <c r="C43" s="5" t="s">
        <v>2</v>
      </c>
      <c r="D43" s="27">
        <v>0</v>
      </c>
      <c r="E43" s="27">
        <v>0</v>
      </c>
      <c r="F43" s="27">
        <v>0</v>
      </c>
      <c r="G43" s="27">
        <v>0.21</v>
      </c>
      <c r="H43" s="27">
        <v>0.21</v>
      </c>
      <c r="I43" s="27">
        <v>0.21</v>
      </c>
      <c r="J43" s="2"/>
      <c r="K43" s="2"/>
      <c r="L43" s="2"/>
    </row>
    <row r="44" spans="2:32" outlineLevel="1" x14ac:dyDescent="0.2">
      <c r="B44" s="5" t="s">
        <v>3</v>
      </c>
      <c r="C44" s="5"/>
      <c r="D44" s="28">
        <f>D40*(1-D43)</f>
        <v>-1103250</v>
      </c>
      <c r="E44" s="28">
        <f t="shared" ref="E44:I44" si="11">E40*(1-E43)</f>
        <v>-1224500</v>
      </c>
      <c r="F44" s="28">
        <f t="shared" si="11"/>
        <v>-362500</v>
      </c>
      <c r="G44" s="28">
        <f t="shared" si="11"/>
        <v>2862960</v>
      </c>
      <c r="H44" s="28">
        <f t="shared" si="11"/>
        <v>10932020</v>
      </c>
      <c r="I44" s="28">
        <f t="shared" si="11"/>
        <v>31900200</v>
      </c>
      <c r="J44" s="2"/>
      <c r="K44" s="2"/>
      <c r="L44" s="2"/>
    </row>
    <row r="45" spans="2:32" x14ac:dyDescent="0.2">
      <c r="H45" s="7"/>
      <c r="I45" s="7"/>
      <c r="J45" s="7"/>
      <c r="K45" s="7"/>
      <c r="L45" s="7"/>
    </row>
    <row r="46" spans="2:32" x14ac:dyDescent="0.2">
      <c r="B46" s="5" t="s">
        <v>47</v>
      </c>
      <c r="D46" s="40">
        <f>D40</f>
        <v>-1103250</v>
      </c>
      <c r="E46" s="40">
        <f t="shared" ref="E46:I46" si="12">E40</f>
        <v>-1224500</v>
      </c>
      <c r="F46" s="40">
        <f t="shared" si="12"/>
        <v>-362500</v>
      </c>
      <c r="G46" s="40">
        <f t="shared" si="12"/>
        <v>3624000</v>
      </c>
      <c r="H46" s="40">
        <f t="shared" si="12"/>
        <v>13838000</v>
      </c>
      <c r="I46" s="40">
        <f t="shared" si="12"/>
        <v>40380000</v>
      </c>
      <c r="J46" s="7"/>
      <c r="K46" s="7"/>
      <c r="L46" s="7"/>
    </row>
    <row r="47" spans="2:32" x14ac:dyDescent="0.2">
      <c r="B47" s="5"/>
      <c r="D47" s="40"/>
      <c r="E47" s="40"/>
      <c r="F47" s="40"/>
      <c r="G47" s="40"/>
      <c r="H47" s="40"/>
      <c r="I47" s="40"/>
      <c r="J47" s="7"/>
      <c r="K47" s="7"/>
      <c r="L47" s="7"/>
    </row>
    <row r="48" spans="2:32" x14ac:dyDescent="0.2">
      <c r="B48" s="5"/>
      <c r="D48" s="4"/>
      <c r="E48" s="35" t="s">
        <v>44</v>
      </c>
      <c r="F48" s="35" t="s">
        <v>43</v>
      </c>
      <c r="G48" s="35" t="s">
        <v>75</v>
      </c>
      <c r="H48" s="40"/>
      <c r="I48" s="40"/>
      <c r="J48" s="7"/>
      <c r="K48" s="7"/>
      <c r="L48" s="7"/>
    </row>
    <row r="49" spans="2:12" x14ac:dyDescent="0.2">
      <c r="D49" s="14" t="s">
        <v>46</v>
      </c>
      <c r="E49" s="36">
        <f>IRR(D46:G46)</f>
        <v>0.13796877479694225</v>
      </c>
      <c r="F49" s="37">
        <f>IRR(D46:H46)</f>
        <v>0.81299884880346052</v>
      </c>
      <c r="G49" s="13">
        <f>IRR(D46:I46,0.3)</f>
        <v>1.19333812470017</v>
      </c>
      <c r="H49" s="7"/>
      <c r="I49" s="7"/>
      <c r="J49" s="7"/>
      <c r="K49" s="7"/>
      <c r="L49" s="7"/>
    </row>
    <row r="50" spans="2:12" x14ac:dyDescent="0.2">
      <c r="B50" s="47"/>
      <c r="H50" s="41"/>
      <c r="I50" s="7"/>
      <c r="J50" s="7"/>
      <c r="K50" s="7"/>
      <c r="L50" s="7"/>
    </row>
    <row r="51" spans="2:12" x14ac:dyDescent="0.2">
      <c r="B51" s="5" t="s">
        <v>5</v>
      </c>
      <c r="C51" s="5"/>
      <c r="H51" s="7"/>
      <c r="I51" s="7"/>
      <c r="J51" s="7"/>
      <c r="K51" s="7"/>
      <c r="L51" s="7"/>
    </row>
    <row r="52" spans="2:12" x14ac:dyDescent="0.2">
      <c r="B52" s="5"/>
      <c r="C52" s="5" t="s">
        <v>12</v>
      </c>
      <c r="D52" s="7">
        <v>-1300000</v>
      </c>
      <c r="E52" s="7">
        <v>0</v>
      </c>
      <c r="F52" s="7">
        <v>0</v>
      </c>
      <c r="G52" s="7">
        <v>1000000</v>
      </c>
      <c r="H52" s="30">
        <v>2100000</v>
      </c>
      <c r="I52" s="7">
        <f>D64*I46</f>
        <v>12114000</v>
      </c>
      <c r="J52" s="7"/>
      <c r="K52" s="7"/>
      <c r="L52" s="7"/>
    </row>
    <row r="53" spans="2:12" x14ac:dyDescent="0.2">
      <c r="B53" s="5"/>
      <c r="C53" s="5" t="s">
        <v>14</v>
      </c>
      <c r="D53" s="5">
        <v>0</v>
      </c>
      <c r="E53" s="5">
        <v>0</v>
      </c>
      <c r="F53" s="5">
        <v>0</v>
      </c>
      <c r="G53" s="5">
        <v>0</v>
      </c>
      <c r="H53" s="30">
        <v>900000</v>
      </c>
      <c r="I53" s="30"/>
      <c r="J53" s="7"/>
      <c r="K53" s="7"/>
      <c r="L53" s="7"/>
    </row>
    <row r="54" spans="2:12" x14ac:dyDescent="0.2">
      <c r="B54" s="5"/>
      <c r="C54" s="5" t="s">
        <v>13</v>
      </c>
      <c r="D54" s="8">
        <f t="shared" ref="D54:I54" si="13">SUM(D52:D53)</f>
        <v>-1300000</v>
      </c>
      <c r="E54" s="8">
        <f t="shared" si="13"/>
        <v>0</v>
      </c>
      <c r="F54" s="8">
        <f t="shared" si="13"/>
        <v>0</v>
      </c>
      <c r="G54" s="8">
        <f t="shared" si="13"/>
        <v>1000000</v>
      </c>
      <c r="H54" s="8">
        <f t="shared" si="13"/>
        <v>3000000</v>
      </c>
      <c r="I54" s="8">
        <f t="shared" si="13"/>
        <v>12114000</v>
      </c>
      <c r="J54" s="4"/>
      <c r="K54" s="4"/>
      <c r="L54" s="4"/>
    </row>
    <row r="55" spans="2:12" x14ac:dyDescent="0.2">
      <c r="D55" s="4"/>
      <c r="E55" s="4"/>
      <c r="F55" s="4"/>
      <c r="G55" s="4"/>
      <c r="H55" s="4"/>
      <c r="I55" s="4"/>
      <c r="J55" s="4"/>
      <c r="K55" s="4"/>
      <c r="L55" s="4"/>
    </row>
    <row r="56" spans="2:12" x14ac:dyDescent="0.2">
      <c r="D56" s="4"/>
      <c r="E56" s="35" t="s">
        <v>44</v>
      </c>
      <c r="F56" s="35" t="s">
        <v>43</v>
      </c>
      <c r="G56" s="35" t="s">
        <v>75</v>
      </c>
      <c r="H56" s="4"/>
      <c r="I56" s="4"/>
      <c r="J56" s="4"/>
      <c r="K56" s="4"/>
      <c r="L56" s="4"/>
    </row>
    <row r="57" spans="2:12" x14ac:dyDescent="0.2">
      <c r="D57" s="14" t="s">
        <v>4</v>
      </c>
      <c r="E57" s="36">
        <f>IRR(D54:G54)</f>
        <v>-8.3739672925820519E-2</v>
      </c>
      <c r="F57" s="37">
        <f>IRR(D54:H54)</f>
        <v>0.35270795559880352</v>
      </c>
      <c r="G57" s="13">
        <f>IRR(D54:I54,0.3)</f>
        <v>0.73291766950806503</v>
      </c>
      <c r="H57" s="4"/>
      <c r="I57" s="4"/>
      <c r="J57" s="4"/>
      <c r="K57" s="4"/>
      <c r="L57" s="4"/>
    </row>
    <row r="59" spans="2:12" x14ac:dyDescent="0.2">
      <c r="B59" s="9" t="s">
        <v>7</v>
      </c>
    </row>
    <row r="60" spans="2:12" x14ac:dyDescent="0.2">
      <c r="B60" s="9"/>
    </row>
    <row r="61" spans="2:12" x14ac:dyDescent="0.2">
      <c r="B61" s="5" t="s">
        <v>12</v>
      </c>
      <c r="C61" s="5"/>
      <c r="D61" s="33">
        <f>SUM(D52:F52)</f>
        <v>-1300000</v>
      </c>
      <c r="E61" s="47"/>
      <c r="F61" s="5"/>
      <c r="G61" s="31"/>
      <c r="I61" s="38"/>
      <c r="J61" s="39"/>
    </row>
    <row r="62" spans="2:12" x14ac:dyDescent="0.2">
      <c r="B62" s="5"/>
      <c r="C62" s="5" t="s">
        <v>15</v>
      </c>
      <c r="D62" s="33">
        <v>0</v>
      </c>
      <c r="F62" s="5"/>
      <c r="G62" s="32"/>
    </row>
    <row r="63" spans="2:12" x14ac:dyDescent="0.2">
      <c r="B63" s="5" t="s">
        <v>16</v>
      </c>
      <c r="C63" s="5"/>
      <c r="D63" s="33">
        <f>SUM(D61:D62)</f>
        <v>-1300000</v>
      </c>
      <c r="F63" s="5"/>
      <c r="G63" s="33"/>
      <c r="H63" s="5"/>
      <c r="I63" s="5"/>
    </row>
    <row r="64" spans="2:12" x14ac:dyDescent="0.2">
      <c r="B64" s="5"/>
      <c r="C64" s="5" t="s">
        <v>9</v>
      </c>
      <c r="D64" s="34">
        <v>0.3</v>
      </c>
      <c r="E64" s="47"/>
    </row>
    <row r="66" spans="2:9" x14ac:dyDescent="0.2">
      <c r="H66" s="12"/>
      <c r="I66" s="12"/>
    </row>
    <row r="67" spans="2:9" x14ac:dyDescent="0.2">
      <c r="B67" s="5" t="s">
        <v>55</v>
      </c>
      <c r="C67" s="12"/>
      <c r="D67" s="12"/>
    </row>
    <row r="68" spans="2:9" x14ac:dyDescent="0.2">
      <c r="B68" s="5"/>
      <c r="C68" s="5"/>
      <c r="H68" s="7"/>
      <c r="I68" s="7"/>
    </row>
    <row r="69" spans="2:9" x14ac:dyDescent="0.2">
      <c r="C69" s="5" t="s">
        <v>12</v>
      </c>
      <c r="D69" s="7">
        <f>-1300000</f>
        <v>-1300000</v>
      </c>
      <c r="E69" s="7">
        <v>0</v>
      </c>
      <c r="F69" s="7">
        <v>0</v>
      </c>
      <c r="G69" s="7">
        <v>1000000</v>
      </c>
      <c r="H69" s="30">
        <v>2100000</v>
      </c>
      <c r="I69" s="7">
        <f>D81*I46</f>
        <v>12114000</v>
      </c>
    </row>
    <row r="70" spans="2:9" x14ac:dyDescent="0.2">
      <c r="C70" s="5" t="s">
        <v>14</v>
      </c>
      <c r="D70" s="5">
        <v>0</v>
      </c>
      <c r="E70" s="5">
        <v>0</v>
      </c>
      <c r="F70" s="5">
        <v>0</v>
      </c>
      <c r="G70" s="5">
        <v>0</v>
      </c>
      <c r="H70" s="30">
        <v>900000</v>
      </c>
      <c r="I70" s="30"/>
    </row>
    <row r="71" spans="2:9" x14ac:dyDescent="0.2">
      <c r="C71" s="5" t="s">
        <v>13</v>
      </c>
      <c r="D71" s="8">
        <f t="shared" ref="D71" si="14">SUM(D69:D70)</f>
        <v>-1300000</v>
      </c>
      <c r="E71" s="8">
        <f t="shared" ref="E71" si="15">SUM(E69:E70)</f>
        <v>0</v>
      </c>
      <c r="F71" s="8">
        <f t="shared" ref="F71" si="16">SUM(F69:F70)</f>
        <v>0</v>
      </c>
      <c r="G71" s="8">
        <f t="shared" ref="G71" si="17">SUM(G69:G70)</f>
        <v>1000000</v>
      </c>
      <c r="H71" s="8">
        <f t="shared" ref="H71" si="18">SUM(H69:H70)</f>
        <v>3000000</v>
      </c>
      <c r="I71" s="8">
        <f t="shared" ref="I71" si="19">SUM(I69:I70)</f>
        <v>12114000</v>
      </c>
    </row>
    <row r="72" spans="2:9" x14ac:dyDescent="0.2">
      <c r="D72" s="4"/>
      <c r="E72" s="4"/>
      <c r="F72" s="4"/>
      <c r="G72" s="4"/>
      <c r="H72" s="4"/>
      <c r="I72" s="4"/>
    </row>
    <row r="73" spans="2:9" x14ac:dyDescent="0.2">
      <c r="D73" s="4"/>
      <c r="E73" s="35" t="str">
        <f>E56</f>
        <v>4-year</v>
      </c>
      <c r="F73" s="35" t="str">
        <f t="shared" ref="F73:G73" si="20">F56</f>
        <v>5-year</v>
      </c>
      <c r="G73" s="35" t="str">
        <f t="shared" si="20"/>
        <v>6-year</v>
      </c>
      <c r="H73" s="4"/>
      <c r="I73" s="4"/>
    </row>
    <row r="74" spans="2:9" x14ac:dyDescent="0.2">
      <c r="D74" s="14" t="s">
        <v>4</v>
      </c>
      <c r="E74" s="36">
        <f>IRR(D71:G71)</f>
        <v>-8.3739672925820519E-2</v>
      </c>
      <c r="F74" s="37">
        <f>IRR(D71:H71)</f>
        <v>0.35270795559880352</v>
      </c>
      <c r="G74" s="13">
        <f>IRR(D71:I71,0.3)</f>
        <v>0.73291766950806503</v>
      </c>
      <c r="H74" s="4"/>
      <c r="I74" s="48"/>
    </row>
    <row r="78" spans="2:9" x14ac:dyDescent="0.2">
      <c r="C78" s="5"/>
      <c r="D78" s="33">
        <f>SUM(D69:F69)</f>
        <v>-1300000</v>
      </c>
      <c r="E78" s="47" t="s">
        <v>54</v>
      </c>
      <c r="F78" s="5"/>
      <c r="G78" s="31"/>
      <c r="I78" s="38"/>
    </row>
    <row r="79" spans="2:9" x14ac:dyDescent="0.2">
      <c r="C79" s="5" t="s">
        <v>15</v>
      </c>
      <c r="D79" s="33">
        <v>0</v>
      </c>
      <c r="F79" s="5"/>
      <c r="G79" s="32"/>
    </row>
    <row r="80" spans="2:9" x14ac:dyDescent="0.2">
      <c r="C80" s="5"/>
      <c r="D80" s="33">
        <f>SUM(D78:D79)</f>
        <v>-1300000</v>
      </c>
      <c r="F80" s="5"/>
      <c r="G80" s="33"/>
      <c r="H80" s="5"/>
      <c r="I80" s="5"/>
    </row>
    <row r="81" spans="3:4" x14ac:dyDescent="0.2">
      <c r="C81" s="5" t="s">
        <v>9</v>
      </c>
      <c r="D81" s="34">
        <v>0.3</v>
      </c>
    </row>
  </sheetData>
  <mergeCells count="1">
    <mergeCell ref="M25:R25"/>
  </mergeCells>
  <phoneticPr fontId="0" type="noConversion"/>
  <printOptions horizontalCentered="1" verticalCentered="1"/>
  <pageMargins left="0.75" right="0.75" top="0.5" bottom="0.5" header="0" footer="0"/>
  <pageSetup paperSize="9" scale="97" orientation="portrait" r:id="rId1"/>
  <headerFooter alignWithMargins="0"/>
  <ignoredErrors>
    <ignoredError sqref="D6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E719-6AE6-45F9-8C13-080CF48B2CE7}">
  <dimension ref="A1:O26"/>
  <sheetViews>
    <sheetView showGridLines="0" workbookViewId="0">
      <selection activeCell="G29" sqref="G29"/>
    </sheetView>
  </sheetViews>
  <sheetFormatPr defaultColWidth="10.7109375" defaultRowHeight="15" x14ac:dyDescent="0.25"/>
  <cols>
    <col min="1" max="1" width="9.140625" style="20" customWidth="1"/>
    <col min="2" max="2" width="28.42578125" style="20" customWidth="1"/>
    <col min="3" max="3" width="38.140625" style="20" customWidth="1"/>
    <col min="4" max="4" width="9.85546875" style="20" customWidth="1"/>
    <col min="5" max="5" width="25.85546875" style="20" customWidth="1"/>
    <col min="6" max="6" width="24.140625" style="20" customWidth="1"/>
    <col min="7" max="7" width="34.7109375" style="20" bestFit="1" customWidth="1"/>
    <col min="8" max="13" width="11.42578125" style="20" customWidth="1"/>
    <col min="14" max="16384" width="10.7109375" style="20"/>
  </cols>
  <sheetData>
    <row r="1" spans="1:15" ht="38.1" customHeight="1" x14ac:dyDescent="0.25">
      <c r="A1" s="43" t="s">
        <v>18</v>
      </c>
      <c r="B1" s="43" t="s">
        <v>51</v>
      </c>
      <c r="C1" s="43" t="s">
        <v>52</v>
      </c>
      <c r="D1" s="43" t="s">
        <v>50</v>
      </c>
      <c r="E1" s="43" t="s">
        <v>35</v>
      </c>
      <c r="F1" s="43" t="s">
        <v>28</v>
      </c>
    </row>
    <row r="2" spans="1:15" ht="39" customHeight="1" x14ac:dyDescent="0.25">
      <c r="A2" s="44"/>
      <c r="B2" s="44"/>
      <c r="C2" s="44"/>
      <c r="D2" s="44"/>
      <c r="E2" s="44"/>
      <c r="F2" s="44"/>
      <c r="H2" s="20" t="s">
        <v>36</v>
      </c>
      <c r="I2" s="20" t="s">
        <v>37</v>
      </c>
      <c r="L2" s="20">
        <f>10000*D3</f>
        <v>330</v>
      </c>
      <c r="M2" s="20">
        <f>L2*7.8</f>
        <v>2574</v>
      </c>
    </row>
    <row r="3" spans="1:15" ht="60" x14ac:dyDescent="0.25">
      <c r="A3" s="16">
        <v>1</v>
      </c>
      <c r="B3" s="16" t="s">
        <v>30</v>
      </c>
      <c r="C3" s="16" t="s">
        <v>19</v>
      </c>
      <c r="D3" s="16">
        <v>3.3000000000000002E-2</v>
      </c>
      <c r="E3" s="16"/>
      <c r="F3" s="21" t="s">
        <v>20</v>
      </c>
      <c r="G3" s="20" t="s">
        <v>41</v>
      </c>
      <c r="H3" s="22">
        <v>1.4999999999999999E-2</v>
      </c>
      <c r="I3" s="20">
        <f>D3/H3*7.8</f>
        <v>17.16</v>
      </c>
      <c r="J3" s="20">
        <f>D3/H3</f>
        <v>2.2000000000000002</v>
      </c>
      <c r="K3" s="20" t="s">
        <v>31</v>
      </c>
      <c r="L3" s="20" t="s">
        <v>32</v>
      </c>
      <c r="N3" s="20" t="s">
        <v>33</v>
      </c>
      <c r="O3" s="20" t="s">
        <v>34</v>
      </c>
    </row>
    <row r="4" spans="1:15" x14ac:dyDescent="0.25">
      <c r="A4" s="16">
        <v>2</v>
      </c>
      <c r="B4" s="16"/>
      <c r="C4" s="16" t="s">
        <v>21</v>
      </c>
      <c r="D4" s="16"/>
      <c r="E4" s="16"/>
      <c r="F4" s="16"/>
    </row>
    <row r="5" spans="1:15" x14ac:dyDescent="0.25">
      <c r="A5" s="16">
        <v>3</v>
      </c>
      <c r="B5" s="16"/>
      <c r="C5" s="16" t="s">
        <v>27</v>
      </c>
      <c r="D5" s="16"/>
      <c r="E5" s="16"/>
      <c r="F5" s="16"/>
    </row>
    <row r="6" spans="1:15" x14ac:dyDescent="0.25">
      <c r="A6" s="16"/>
      <c r="B6" s="16"/>
      <c r="C6" s="16"/>
      <c r="D6" s="16"/>
      <c r="E6" s="16"/>
      <c r="F6" s="16"/>
    </row>
    <row r="7" spans="1:15" x14ac:dyDescent="0.25">
      <c r="A7" s="16"/>
      <c r="B7" s="16"/>
      <c r="C7" s="16" t="s">
        <v>22</v>
      </c>
      <c r="D7" s="16"/>
      <c r="E7" s="16"/>
      <c r="F7" s="16"/>
    </row>
    <row r="8" spans="1:15" x14ac:dyDescent="0.25">
      <c r="A8" s="16">
        <v>4</v>
      </c>
      <c r="B8" s="16"/>
      <c r="C8" s="16"/>
      <c r="D8" s="16"/>
      <c r="E8" s="16"/>
      <c r="F8" s="16"/>
    </row>
    <row r="9" spans="1:15" x14ac:dyDescent="0.25">
      <c r="A9" s="16">
        <v>5</v>
      </c>
      <c r="B9" s="16"/>
      <c r="C9" s="16"/>
      <c r="D9" s="16"/>
      <c r="E9" s="16"/>
      <c r="F9" s="16"/>
    </row>
    <row r="10" spans="1:15" x14ac:dyDescent="0.25">
      <c r="A10" s="16">
        <v>6</v>
      </c>
      <c r="B10" s="16"/>
      <c r="C10" s="16"/>
      <c r="D10" s="16"/>
      <c r="E10" s="16"/>
      <c r="F10" s="16"/>
    </row>
    <row r="11" spans="1:15" x14ac:dyDescent="0.25">
      <c r="A11" s="16">
        <v>7</v>
      </c>
      <c r="B11" s="16"/>
      <c r="C11" s="16" t="s">
        <v>23</v>
      </c>
      <c r="D11" s="16"/>
      <c r="E11" s="16"/>
      <c r="F11" s="16" t="s">
        <v>49</v>
      </c>
    </row>
    <row r="12" spans="1:15" ht="69" customHeight="1" x14ac:dyDescent="0.25">
      <c r="A12" s="16">
        <v>8</v>
      </c>
      <c r="B12" s="16"/>
      <c r="C12" s="16" t="s">
        <v>29</v>
      </c>
      <c r="D12" s="16"/>
      <c r="E12" s="16"/>
      <c r="F12" s="16"/>
    </row>
    <row r="13" spans="1:15" ht="94.15" customHeight="1" x14ac:dyDescent="0.25">
      <c r="A13" s="16">
        <v>9</v>
      </c>
      <c r="B13" s="16"/>
      <c r="C13" s="16" t="s">
        <v>24</v>
      </c>
      <c r="D13" s="17"/>
      <c r="E13" s="16"/>
      <c r="F13" s="16"/>
    </row>
    <row r="14" spans="1:15" ht="62.1" customHeight="1" x14ac:dyDescent="0.25">
      <c r="A14" s="16">
        <v>10</v>
      </c>
      <c r="B14" s="18"/>
      <c r="C14" s="16" t="s">
        <v>25</v>
      </c>
      <c r="D14" s="18"/>
      <c r="E14" s="19"/>
      <c r="F14" s="66"/>
    </row>
    <row r="15" spans="1:15" ht="63" customHeight="1" x14ac:dyDescent="0.25">
      <c r="A15" s="16">
        <v>11</v>
      </c>
      <c r="B15" s="16"/>
      <c r="C15" s="16" t="s">
        <v>26</v>
      </c>
      <c r="D15" s="16"/>
      <c r="E15" s="65"/>
      <c r="F15" s="67"/>
    </row>
    <row r="16" spans="1:15" x14ac:dyDescent="0.25">
      <c r="H16" s="60" t="s">
        <v>87</v>
      </c>
      <c r="I16" s="62">
        <v>0.2</v>
      </c>
      <c r="J16" s="60" t="s">
        <v>86</v>
      </c>
    </row>
    <row r="17" spans="4:13" x14ac:dyDescent="0.25">
      <c r="D17" s="57"/>
    </row>
    <row r="18" spans="4:13" x14ac:dyDescent="0.25">
      <c r="G18" s="53" t="s">
        <v>71</v>
      </c>
      <c r="H18" s="64">
        <f>Financials!D4</f>
        <v>2019</v>
      </c>
      <c r="I18" s="64">
        <f>Financials!E4</f>
        <v>2020</v>
      </c>
      <c r="J18" s="64">
        <f>Financials!F4</f>
        <v>2021</v>
      </c>
      <c r="K18" s="64">
        <f>Financials!G4</f>
        <v>2022</v>
      </c>
      <c r="L18" s="64">
        <f>Financials!H4</f>
        <v>2023</v>
      </c>
      <c r="M18" s="64">
        <f>Financials!I4</f>
        <v>2024</v>
      </c>
    </row>
    <row r="19" spans="4:13" x14ac:dyDescent="0.25">
      <c r="E19" s="20">
        <v>2019</v>
      </c>
      <c r="G19" s="57" t="s">
        <v>90</v>
      </c>
      <c r="H19" s="20">
        <f>D3</f>
        <v>3.3000000000000002E-2</v>
      </c>
      <c r="I19" s="58">
        <f>H19*(1-$I$16)</f>
        <v>2.6400000000000003E-2</v>
      </c>
      <c r="J19" s="58">
        <f>I19*(1-$I$16)</f>
        <v>2.1120000000000003E-2</v>
      </c>
      <c r="K19" s="58">
        <f>J19*(1-$I$16)</f>
        <v>1.6896000000000005E-2</v>
      </c>
      <c r="L19" s="58">
        <f>K19*(1-$I$16)</f>
        <v>1.3516800000000004E-2</v>
      </c>
      <c r="M19" s="58">
        <f>L19*(1-$I$16)</f>
        <v>1.0813440000000004E-2</v>
      </c>
    </row>
    <row r="20" spans="4:13" x14ac:dyDescent="0.25">
      <c r="E20" s="20">
        <f>E19+1</f>
        <v>2020</v>
      </c>
      <c r="G20" s="57" t="s">
        <v>88</v>
      </c>
      <c r="H20" s="61">
        <f>Financials!D15-(Financials!D11*Costing!H19*Financials!D5)</f>
        <v>0</v>
      </c>
      <c r="I20" s="61">
        <f>Financials!E15-(Financials!E11*Costing!I19*Financials!E5)</f>
        <v>9899.9999999999927</v>
      </c>
      <c r="J20" s="61">
        <f>Financials!F15-(Financials!F11*Costing!J19*Financials!F5)</f>
        <v>89099.999999999971</v>
      </c>
      <c r="K20" s="61">
        <f>Financials!G15-(Financials!G11*Costing!K19*Financials!G5)</f>
        <v>515327.99999999988</v>
      </c>
      <c r="L20" s="61">
        <f>Financials!H15-(Financials!H11*Costing!L19*Financials!H5)</f>
        <v>1246924.7999999998</v>
      </c>
      <c r="M20" s="61">
        <f>Financials!I15-(Financials!I11*Costing!M19*Financials!I5)</f>
        <v>5324774.3999999985</v>
      </c>
    </row>
    <row r="21" spans="4:13" x14ac:dyDescent="0.25">
      <c r="E21" s="20">
        <f>E20+1</f>
        <v>2021</v>
      </c>
      <c r="G21" s="59" t="s">
        <v>89</v>
      </c>
      <c r="M21" s="63">
        <f>SUM(H20:M20)</f>
        <v>7186027.1999999983</v>
      </c>
    </row>
    <row r="22" spans="4:13" x14ac:dyDescent="0.25">
      <c r="E22" s="20">
        <f t="shared" ref="E21:E24" si="0">E21+1</f>
        <v>2022</v>
      </c>
      <c r="K22" s="58"/>
    </row>
    <row r="23" spans="4:13" x14ac:dyDescent="0.25">
      <c r="E23" s="20">
        <f t="shared" si="0"/>
        <v>2023</v>
      </c>
      <c r="K23" s="58"/>
    </row>
    <row r="24" spans="4:13" x14ac:dyDescent="0.25">
      <c r="E24" s="20">
        <f t="shared" si="0"/>
        <v>2024</v>
      </c>
      <c r="K24" s="58"/>
    </row>
    <row r="25" spans="4:13" x14ac:dyDescent="0.25">
      <c r="K25" s="58"/>
    </row>
    <row r="26" spans="4:13" x14ac:dyDescent="0.25">
      <c r="K26" s="58"/>
    </row>
  </sheetData>
  <mergeCells count="6">
    <mergeCell ref="A1:A2"/>
    <mergeCell ref="B1:B2"/>
    <mergeCell ref="D1:D2"/>
    <mergeCell ref="E1:E2"/>
    <mergeCell ref="F1:F2"/>
    <mergeCell ref="C1:C2"/>
  </mergeCells>
  <hyperlinks>
    <hyperlink ref="F3" r:id="rId1" xr:uid="{3C1E9875-D99A-4A3B-B519-A2894AA3E7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1A66-C2C6-40FF-B168-3BA3EE6C671B}">
  <dimension ref="D9:F15"/>
  <sheetViews>
    <sheetView workbookViewId="0">
      <selection activeCell="Q48" sqref="Q48"/>
    </sheetView>
  </sheetViews>
  <sheetFormatPr defaultRowHeight="12.75" x14ac:dyDescent="0.2"/>
  <cols>
    <col min="4" max="4" width="14.28515625" bestFit="1" customWidth="1"/>
    <col min="5" max="6" width="17" customWidth="1"/>
  </cols>
  <sheetData>
    <row r="9" spans="4:6" x14ac:dyDescent="0.2">
      <c r="D9" s="47" t="s">
        <v>64</v>
      </c>
      <c r="E9" s="47" t="s">
        <v>62</v>
      </c>
      <c r="F9" s="47" t="s">
        <v>63</v>
      </c>
    </row>
    <row r="10" spans="4:6" ht="15.75" x14ac:dyDescent="0.2">
      <c r="D10" s="49" t="s">
        <v>56</v>
      </c>
      <c r="E10">
        <v>5</v>
      </c>
      <c r="F10">
        <v>3</v>
      </c>
    </row>
    <row r="11" spans="4:6" ht="15.75" x14ac:dyDescent="0.2">
      <c r="D11" s="49" t="s">
        <v>57</v>
      </c>
      <c r="E11">
        <v>5</v>
      </c>
      <c r="F11">
        <v>2</v>
      </c>
    </row>
    <row r="12" spans="4:6" ht="15.75" x14ac:dyDescent="0.2">
      <c r="D12" s="49" t="s">
        <v>58</v>
      </c>
      <c r="E12">
        <v>4</v>
      </c>
      <c r="F12">
        <v>4</v>
      </c>
    </row>
    <row r="13" spans="4:6" ht="15.75" x14ac:dyDescent="0.2">
      <c r="D13" s="49" t="s">
        <v>59</v>
      </c>
      <c r="E13">
        <v>5</v>
      </c>
      <c r="F13">
        <v>2</v>
      </c>
    </row>
    <row r="14" spans="4:6" ht="15.75" x14ac:dyDescent="0.2">
      <c r="D14" s="49" t="s">
        <v>60</v>
      </c>
      <c r="E14">
        <v>5</v>
      </c>
      <c r="F14">
        <v>2</v>
      </c>
    </row>
    <row r="15" spans="4:6" ht="15.75" x14ac:dyDescent="0.2">
      <c r="D15" s="49" t="s">
        <v>61</v>
      </c>
      <c r="E15">
        <v>6</v>
      </c>
      <c r="F15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Financials</vt:lpstr>
      <vt:lpstr>Costing</vt:lpstr>
      <vt:lpstr>Flywheel</vt:lpstr>
      <vt:lpstr>Financials!Print_Area</vt:lpstr>
    </vt:vector>
  </TitlesOfParts>
  <Company>TRI International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Phillip Bonarigo</cp:lastModifiedBy>
  <cp:lastPrinted>2006-06-01T22:33:13Z</cp:lastPrinted>
  <dcterms:created xsi:type="dcterms:W3CDTF">2000-05-14T07:11:49Z</dcterms:created>
  <dcterms:modified xsi:type="dcterms:W3CDTF">2019-02-01T06:55:13Z</dcterms:modified>
</cp:coreProperties>
</file>