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aul Burgeson\Desktop\gitrepos\velocity\Workshop\Size assessment\"/>
    </mc:Choice>
  </mc:AlternateContent>
  <xr:revisionPtr revIDLastSave="0" documentId="13_ncr:1_{B90130F7-AB01-492F-8CB2-8DECD6BD7F16}" xr6:coauthVersionLast="47" xr6:coauthVersionMax="47" xr10:uidLastSave="{00000000-0000-0000-0000-000000000000}"/>
  <bookViews>
    <workbookView xWindow="-120" yWindow="-120" windowWidth="29040" windowHeight="15840" activeTab="3" xr2:uid="{FF5B7AA4-E009-4CBE-9F08-201AC053F4DB}"/>
  </bookViews>
  <sheets>
    <sheet name="FuselageTop" sheetId="2" r:id="rId1"/>
    <sheet name="Right Wing" sheetId="4" r:id="rId2"/>
    <sheet name="Right Conard" sheetId="6" r:id="rId3"/>
    <sheet name="FueselageSide" sheetId="7" r:id="rId4"/>
  </sheets>
  <definedNames>
    <definedName name="ExternalData_1" localSheetId="0" hidden="1">FuselageTop!$A$1:$B$23</definedName>
    <definedName name="ExternalData_2" localSheetId="3" hidden="1">FueselageSide!$A$1:$B$7</definedName>
    <definedName name="ExternalData_2" localSheetId="2" hidden="1">'Right Conard'!$A$1:$B$5</definedName>
    <definedName name="ExternalData_2" localSheetId="1" hidden="1">'Right Wing'!$A$1:$B$7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7" l="1"/>
  <c r="D2" i="7"/>
  <c r="D3" i="7"/>
  <c r="D4" i="7"/>
  <c r="D5" i="7"/>
  <c r="D6" i="7"/>
  <c r="D7" i="7"/>
  <c r="C2" i="7"/>
  <c r="C3" i="7"/>
  <c r="C4" i="7"/>
  <c r="C5" i="7"/>
  <c r="C6" i="7"/>
  <c r="C7" i="7"/>
  <c r="D10" i="6"/>
  <c r="D9" i="6"/>
  <c r="D2" i="6"/>
  <c r="D3" i="6"/>
  <c r="D4" i="6"/>
  <c r="D5" i="6"/>
  <c r="C2" i="6"/>
  <c r="C3" i="6"/>
  <c r="C4" i="6"/>
  <c r="C5" i="6"/>
  <c r="B6" i="6"/>
  <c r="A6" i="6"/>
  <c r="D11" i="4"/>
  <c r="D10" i="4"/>
  <c r="D2" i="4"/>
  <c r="D3" i="4"/>
  <c r="D4" i="4"/>
  <c r="D5" i="4"/>
  <c r="D6" i="4"/>
  <c r="D7" i="4"/>
  <c r="C2" i="4"/>
  <c r="C3" i="4"/>
  <c r="C4" i="4"/>
  <c r="C5" i="4"/>
  <c r="C6" i="4"/>
  <c r="C7" i="4"/>
  <c r="B8" i="4"/>
  <c r="A8" i="4"/>
  <c r="D29" i="2"/>
  <c r="D28" i="2"/>
  <c r="D27" i="2"/>
  <c r="D26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B24" i="2"/>
  <c r="A2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67AC2A0-916A-42F6-B124-09E0E5D7311E}" keepAlive="1" name="Query - FueselageSide" description="Connection to the 'FueselageSide' query in the workbook." type="5" refreshedVersion="8" background="1" saveData="1">
    <dbPr connection="Provider=Microsoft.Mashup.OleDb.1;Data Source=$Workbook$;Location=FueselageSide;Extended Properties=&quot;&quot;" command="SELECT * FROM [FueselageSide]"/>
  </connection>
  <connection id="2" xr16:uid="{2856B8A1-19D1-4A11-B3F5-03BE8AE35C68}" keepAlive="1" name="Query - FuselageTop" description="Connection to the 'FuselageTop' query in the workbook." type="5" refreshedVersion="8" background="1" saveData="1">
    <dbPr connection="Provider=Microsoft.Mashup.OleDb.1;Data Source=$Workbook$;Location=FuselageTop;Extended Properties=&quot;&quot;" command="SELECT * FROM [FuselageTop]"/>
  </connection>
  <connection id="3" xr16:uid="{F82349E2-5E1C-4E16-958A-3A07522EDB3F}" keepAlive="1" name="Query - Right Conard" description="Connection to the 'Right Conard' query in the workbook." type="5" refreshedVersion="8" background="1" saveData="1">
    <dbPr connection="Provider=Microsoft.Mashup.OleDb.1;Data Source=$Workbook$;Location=&quot;Right Conard&quot;;Extended Properties=&quot;&quot;" command="SELECT * FROM [Right Conard]"/>
  </connection>
  <connection id="4" xr16:uid="{982C3502-DC12-47DA-A09E-CD3A3610FF7F}" keepAlive="1" name="Query - Right Wing" description="Connection to the 'Right Wing' query in the workbook." type="5" refreshedVersion="8" background="1" saveData="1">
    <dbPr connection="Provider=Microsoft.Mashup.OleDb.1;Data Source=$Workbook$;Location=&quot;Right Wing&quot;;Extended Properties=&quot;&quot;" command="SELECT * FROM [Right Wing]"/>
  </connection>
</connections>
</file>

<file path=xl/sharedStrings.xml><?xml version="1.0" encoding="utf-8"?>
<sst xmlns="http://schemas.openxmlformats.org/spreadsheetml/2006/main" count="34" uniqueCount="13">
  <si>
    <t>X Coor</t>
  </si>
  <si>
    <t>Y Coor</t>
  </si>
  <si>
    <t>X Center</t>
  </si>
  <si>
    <t>Y Center</t>
  </si>
  <si>
    <t>Min Delta X</t>
  </si>
  <si>
    <t>Delta X</t>
  </si>
  <si>
    <t>Min Delta Y</t>
  </si>
  <si>
    <t>Delta Y</t>
  </si>
  <si>
    <t>ft</t>
  </si>
  <si>
    <t>X Adj</t>
  </si>
  <si>
    <t>Y Adj</t>
  </si>
  <si>
    <t>Min Ground to Belly Height</t>
  </si>
  <si>
    <t>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</si>
</sst>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1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FuselageTop!$D$1</c:f>
              <c:strCache>
                <c:ptCount val="1"/>
                <c:pt idx="0">
                  <c:v>Y Center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FuselageTop!$C$2:$C$23</c:f>
              <c:numCache>
                <c:formatCode>General</c:formatCode>
                <c:ptCount val="22"/>
                <c:pt idx="0">
                  <c:v>-6.2256577619271951</c:v>
                </c:pt>
                <c:pt idx="1">
                  <c:v>-1.8429782652580613</c:v>
                </c:pt>
                <c:pt idx="2">
                  <c:v>-1.2234371845770795</c:v>
                </c:pt>
                <c:pt idx="3">
                  <c:v>-2.8755467330596893</c:v>
                </c:pt>
                <c:pt idx="4">
                  <c:v>1.5644976784876974E-2</c:v>
                </c:pt>
                <c:pt idx="5">
                  <c:v>2.8609447547271358</c:v>
                </c:pt>
                <c:pt idx="6">
                  <c:v>1.2547271381468263</c:v>
                </c:pt>
                <c:pt idx="7">
                  <c:v>1.8513222528766562</c:v>
                </c:pt>
                <c:pt idx="8">
                  <c:v>6.256947715496942</c:v>
                </c:pt>
                <c:pt idx="9">
                  <c:v>6.256947715496942</c:v>
                </c:pt>
                <c:pt idx="10">
                  <c:v>2.1266738442904227</c:v>
                </c:pt>
                <c:pt idx="11">
                  <c:v>1.8054303209743594</c:v>
                </c:pt>
                <c:pt idx="12">
                  <c:v>7.7713814682726579</c:v>
                </c:pt>
                <c:pt idx="13">
                  <c:v>7.4501379449565945</c:v>
                </c:pt>
                <c:pt idx="14">
                  <c:v>1.3465110019514128</c:v>
                </c:pt>
                <c:pt idx="15">
                  <c:v>1.5644976784876974E-2</c:v>
                </c:pt>
                <c:pt idx="16">
                  <c:v>-1.3152210483816731</c:v>
                </c:pt>
                <c:pt idx="17">
                  <c:v>-7.7400915147029146</c:v>
                </c:pt>
                <c:pt idx="18">
                  <c:v>-7.7400915147029146</c:v>
                </c:pt>
                <c:pt idx="19">
                  <c:v>-1.7741403674046197</c:v>
                </c:pt>
                <c:pt idx="20">
                  <c:v>-2.095383890720683</c:v>
                </c:pt>
                <c:pt idx="21">
                  <c:v>-6.1797658300248983</c:v>
                </c:pt>
              </c:numCache>
            </c:numRef>
          </c:xVal>
          <c:yVal>
            <c:numRef>
              <c:f>FuselageTop!$D$2:$D$23</c:f>
              <c:numCache>
                <c:formatCode>General</c:formatCode>
                <c:ptCount val="22"/>
                <c:pt idx="0">
                  <c:v>4.4734203620214004</c:v>
                </c:pt>
                <c:pt idx="1">
                  <c:v>4.450474396070252</c:v>
                </c:pt>
                <c:pt idx="2">
                  <c:v>7.2728282080613695</c:v>
                </c:pt>
                <c:pt idx="3">
                  <c:v>7.8235313908889026</c:v>
                </c:pt>
                <c:pt idx="4">
                  <c:v>9.0167216203485623</c:v>
                </c:pt>
                <c:pt idx="5">
                  <c:v>7.8235313908889026</c:v>
                </c:pt>
                <c:pt idx="6">
                  <c:v>7.2269362761590763</c:v>
                </c:pt>
                <c:pt idx="7">
                  <c:v>4.4275284301191</c:v>
                </c:pt>
                <c:pt idx="8">
                  <c:v>4.4734203620214004</c:v>
                </c:pt>
                <c:pt idx="9">
                  <c:v>2.7754188816364991</c:v>
                </c:pt>
                <c:pt idx="10">
                  <c:v>-2.5939371509319695</c:v>
                </c:pt>
                <c:pt idx="11">
                  <c:v>-5.2556692012650528</c:v>
                </c:pt>
                <c:pt idx="12">
                  <c:v>-5.0262095417535821</c:v>
                </c:pt>
                <c:pt idx="13">
                  <c:v>-6.7701029540407758</c:v>
                </c:pt>
                <c:pt idx="14">
                  <c:v>-6.7701029540407758</c:v>
                </c:pt>
                <c:pt idx="15">
                  <c:v>-9.6612946638853359</c:v>
                </c:pt>
                <c:pt idx="16">
                  <c:v>-6.7701029540407758</c:v>
                </c:pt>
                <c:pt idx="17">
                  <c:v>-6.7701029540407758</c:v>
                </c:pt>
                <c:pt idx="18">
                  <c:v>-5.0262095417535821</c:v>
                </c:pt>
                <c:pt idx="19">
                  <c:v>-5.2556692012650528</c:v>
                </c:pt>
                <c:pt idx="20">
                  <c:v>-2.5939371509319695</c:v>
                </c:pt>
                <c:pt idx="21">
                  <c:v>2.7295269497342076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92-438B-9305-FCB281FC40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0591375"/>
        <c:axId val="1180592335"/>
      </c:scatterChart>
      <c:valAx>
        <c:axId val="1180591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0592335"/>
        <c:crosses val="autoZero"/>
        <c:crossBetween val="midCat"/>
      </c:valAx>
      <c:valAx>
        <c:axId val="1180592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05913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'Right Wing'!$D$1</c:f>
              <c:strCache>
                <c:ptCount val="1"/>
                <c:pt idx="0">
                  <c:v>Y Center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'Right Wing'!$C$2:$C$7</c:f>
              <c:numCache>
                <c:formatCode>0.00</c:formatCode>
                <c:ptCount val="6"/>
                <c:pt idx="0">
                  <c:v>-7.6563039723661461</c:v>
                </c:pt>
                <c:pt idx="1">
                  <c:v>-7.6563039723661461</c:v>
                </c:pt>
                <c:pt idx="2">
                  <c:v>1.5220824080927677</c:v>
                </c:pt>
                <c:pt idx="3">
                  <c:v>1.5679743399950645</c:v>
                </c:pt>
                <c:pt idx="4">
                  <c:v>5.9277078707130535</c:v>
                </c:pt>
                <c:pt idx="5">
                  <c:v>6.2948433259314065</c:v>
                </c:pt>
              </c:numCache>
            </c:numRef>
          </c:xVal>
          <c:yVal>
            <c:numRef>
              <c:f>'Right Wing'!$D$2:$D$7</c:f>
              <c:numCache>
                <c:formatCode>0.00</c:formatCode>
                <c:ptCount val="6"/>
                <c:pt idx="0">
                  <c:v>4.6121391561806107</c:v>
                </c:pt>
                <c:pt idx="1">
                  <c:v>1.3538119911176913</c:v>
                </c:pt>
                <c:pt idx="2">
                  <c:v>-3.1894892672094723</c:v>
                </c:pt>
                <c:pt idx="3">
                  <c:v>-1.5373797187268714</c:v>
                </c:pt>
                <c:pt idx="4">
                  <c:v>-1.4914877868245711</c:v>
                </c:pt>
                <c:pt idx="5">
                  <c:v>0.25240562546262169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47-4BF8-8CD7-97428FF002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870223"/>
        <c:axId val="451873583"/>
      </c:scatterChart>
      <c:valAx>
        <c:axId val="451870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873583"/>
        <c:crosses val="autoZero"/>
        <c:crossBetween val="midCat"/>
      </c:valAx>
      <c:valAx>
        <c:axId val="451873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8702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'Right Conard'!$D$1</c:f>
              <c:strCache>
                <c:ptCount val="1"/>
                <c:pt idx="0">
                  <c:v>Y Center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'Right Conard'!$C$2:$C$5</c:f>
              <c:numCache>
                <c:formatCode>General</c:formatCode>
                <c:ptCount val="4"/>
                <c:pt idx="0">
                  <c:v>2.8682457438934108</c:v>
                </c:pt>
                <c:pt idx="1">
                  <c:v>-3.0977054034048841</c:v>
                </c:pt>
                <c:pt idx="2">
                  <c:v>-3.0977054034048841</c:v>
                </c:pt>
                <c:pt idx="3">
                  <c:v>3.3271650629163574</c:v>
                </c:pt>
              </c:numCache>
            </c:numRef>
          </c:xVal>
          <c:yVal>
            <c:numRef>
              <c:f>'Right Conard'!$D$2:$D$5</c:f>
              <c:numCache>
                <c:formatCode>General</c:formatCode>
                <c:ptCount val="4"/>
                <c:pt idx="0">
                  <c:v>0.69985196150999407</c:v>
                </c:pt>
                <c:pt idx="1">
                  <c:v>0.9293116210214647</c:v>
                </c:pt>
                <c:pt idx="2">
                  <c:v>-0.81458179126572894</c:v>
                </c:pt>
                <c:pt idx="3">
                  <c:v>-0.81458179126572894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93-4108-A083-B9599945B8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0593295"/>
        <c:axId val="1180581295"/>
      </c:scatterChart>
      <c:valAx>
        <c:axId val="1180593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0581295"/>
        <c:crosses val="autoZero"/>
        <c:crossBetween val="midCat"/>
      </c:valAx>
      <c:valAx>
        <c:axId val="1180581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0593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FueselageSide!$D$1</c:f>
              <c:strCache>
                <c:ptCount val="1"/>
                <c:pt idx="0">
                  <c:v>Y Adj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FueselageSide!$C$2:$C$7</c:f>
              <c:numCache>
                <c:formatCode>General</c:formatCode>
                <c:ptCount val="6"/>
                <c:pt idx="0">
                  <c:v>0</c:v>
                </c:pt>
                <c:pt idx="1">
                  <c:v>100.05882352941174</c:v>
                </c:pt>
                <c:pt idx="2">
                  <c:v>185.82352941176472</c:v>
                </c:pt>
                <c:pt idx="3">
                  <c:v>83.117647058823508</c:v>
                </c:pt>
                <c:pt idx="4">
                  <c:v>161.47058823529412</c:v>
                </c:pt>
                <c:pt idx="5">
                  <c:v>55.455882352941188</c:v>
                </c:pt>
              </c:numCache>
            </c:numRef>
          </c:xVal>
          <c:yVal>
            <c:numRef>
              <c:f>FueselageSide!$D$2:$D$7</c:f>
              <c:numCache>
                <c:formatCode>General</c:formatCode>
                <c:ptCount val="6"/>
                <c:pt idx="0">
                  <c:v>54.529411764705856</c:v>
                </c:pt>
                <c:pt idx="1">
                  <c:v>66.705882352941174</c:v>
                </c:pt>
                <c:pt idx="2">
                  <c:v>43.147058823529392</c:v>
                </c:pt>
                <c:pt idx="3">
                  <c:v>26.999999999999986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ED-44F9-A4FC-F8947DD6EC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0305663"/>
        <c:axId val="370299903"/>
      </c:scatterChart>
      <c:valAx>
        <c:axId val="370305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299903"/>
        <c:crosses val="autoZero"/>
        <c:crossBetween val="midCat"/>
      </c:valAx>
      <c:valAx>
        <c:axId val="370299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305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371475</xdr:colOff>
      <xdr:row>0</xdr:row>
      <xdr:rowOff>119061</xdr:rowOff>
    </xdr:from>
    <xdr:to>
      <xdr:col>11</xdr:col>
      <xdr:colOff>571500</xdr:colOff>
      <xdr:row>24</xdr:row>
      <xdr:rowOff>180974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27BEA54-6FE2-5586-8EBB-896BCCC817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371475</xdr:colOff>
      <xdr:row>25</xdr:row>
      <xdr:rowOff>152400</xdr:rowOff>
    </xdr:from>
    <xdr:to>
      <xdr:col>16</xdr:col>
      <xdr:colOff>58127</xdr:colOff>
      <xdr:row>53</xdr:row>
      <xdr:rowOff>57881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1168F8D-76B9-3791-0FD0-6966A50192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190875" y="4914900"/>
          <a:ext cx="7001852" cy="523948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514349</xdr:colOff>
      <xdr:row>0</xdr:row>
      <xdr:rowOff>128586</xdr:rowOff>
    </xdr:from>
    <xdr:to>
      <xdr:col>14</xdr:col>
      <xdr:colOff>238124</xdr:colOff>
      <xdr:row>18</xdr:row>
      <xdr:rowOff>133349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A177BE1-6AFE-708F-838F-CF3AD4F963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514350</xdr:colOff>
      <xdr:row>19</xdr:row>
      <xdr:rowOff>123825</xdr:rowOff>
    </xdr:from>
    <xdr:to>
      <xdr:col>16</xdr:col>
      <xdr:colOff>239107</xdr:colOff>
      <xdr:row>46</xdr:row>
      <xdr:rowOff>143596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1544945-E1E3-99FD-2CF2-E59FE948E1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333750" y="3743325"/>
          <a:ext cx="7039957" cy="516327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457200</xdr:colOff>
      <xdr:row>0</xdr:row>
      <xdr:rowOff>185737</xdr:rowOff>
    </xdr:from>
    <xdr:to>
      <xdr:col>13</xdr:col>
      <xdr:colOff>152400</xdr:colOff>
      <xdr:row>15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AFD697-B456-E0A9-91C4-085060630D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361950</xdr:colOff>
      <xdr:row>15</xdr:row>
      <xdr:rowOff>95250</xdr:rowOff>
    </xdr:from>
    <xdr:to>
      <xdr:col>15</xdr:col>
      <xdr:colOff>124813</xdr:colOff>
      <xdr:row>43</xdr:row>
      <xdr:rowOff>38837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EE4C9E4-F42E-DAB1-B8AB-5180090634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571750" y="2952750"/>
          <a:ext cx="7078063" cy="527758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142875</xdr:colOff>
      <xdr:row>0</xdr:row>
      <xdr:rowOff>176212</xdr:rowOff>
    </xdr:from>
    <xdr:to>
      <xdr:col>16</xdr:col>
      <xdr:colOff>257175</xdr:colOff>
      <xdr:row>15</xdr:row>
      <xdr:rowOff>61912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137C3CA-77F3-2FDA-F5BD-C8921B4E3B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152400</xdr:colOff>
      <xdr:row>15</xdr:row>
      <xdr:rowOff>19050</xdr:rowOff>
    </xdr:from>
    <xdr:to>
      <xdr:col>20</xdr:col>
      <xdr:colOff>325517</xdr:colOff>
      <xdr:row>40</xdr:row>
      <xdr:rowOff>124504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3B17C61-D971-27F9-0222-99D2A143A4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52500" y="2876550"/>
          <a:ext cx="11946017" cy="4867954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F9255C3C-5E7E-4A22-9257-B8E5543BC60F}" autoFormatId="16" applyNumberFormats="0" applyBorderFormats="0" applyFontFormats="0" applyPatternFormats="0" applyAlignmentFormats="0" applyWidthHeightFormats="0">
  <queryTableRefresh nextId="5" unboundColumnsRight="2">
    <queryTableFields count="4">
      <queryTableField id="1" name="Column1" tableColumnId="1"/>
      <queryTableField id="2" name="Column2" tableColumnId="2"/>
      <queryTableField id="3" dataBound="0" tableColumnId="3"/>
      <queryTableField id="4" dataBound="0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4" xr16:uid="{FAED45B8-AB81-493B-9A7D-3B4050CEE437}" autoFormatId="16" applyNumberFormats="0" applyBorderFormats="0" applyFontFormats="0" applyPatternFormats="0" applyAlignmentFormats="0" applyWidthHeightFormats="0">
  <queryTableRefresh nextId="5" unboundColumnsRight="2">
    <queryTableFields count="4">
      <queryTableField id="1" name="Column1" tableColumnId="1"/>
      <queryTableField id="2" name="Column2" tableColumnId="2"/>
      <queryTableField id="3" dataBound="0" tableColumnId="3"/>
      <queryTableField id="4" dataBound="0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38A18611-25AC-4987-812D-1C69B818E9DD}" autoFormatId="16" applyNumberFormats="0" applyBorderFormats="0" applyFontFormats="0" applyPatternFormats="0" applyAlignmentFormats="0" applyWidthHeightFormats="0">
  <queryTableRefresh nextId="5" unboundColumnsRight="2">
    <queryTableFields count="4">
      <queryTableField id="1" name="Column1" tableColumnId="1"/>
      <queryTableField id="2" name="Column2" tableColumnId="2"/>
      <queryTableField id="3" dataBound="0" tableColumnId="3"/>
      <queryTableField id="4" dataBound="0" tableColumnId="4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177168C3-3D9C-4AB8-B8FE-166FDA308874}" autoFormatId="16" applyNumberFormats="0" applyBorderFormats="0" applyFontFormats="0" applyPatternFormats="0" applyAlignmentFormats="0" applyWidthHeightFormats="0">
  <queryTableRefresh nextId="5" unboundColumnsRight="2">
    <queryTableFields count="4">
      <queryTableField id="1" name="Column1" tableColumnId="1"/>
      <queryTableField id="2" name="Column2" tableColumnId="2"/>
      <queryTableField id="3" dataBound="0" tableColumnId="3"/>
      <queryTableField id="4" dataBound="0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A5ABD15-0BD2-4E7F-A1F8-5BE311DE078C}" name="FuselageTop" displayName="FuselageTop" ref="A1:D24" tableType="queryTable" totalsRowCount="1">
  <autoFilter ref="A1:D23" xr:uid="{8A5ABD15-0BD2-4E7F-A1F8-5BE311DE078C}"/>
  <tableColumns count="4">
    <tableColumn id="1" xr3:uid="{98707255-BE2F-4F14-8B78-5048E5379786}" uniqueName="1" name="X Coor" totalsRowFunction="average" queryTableFieldId="1"/>
    <tableColumn id="2" xr3:uid="{1E8D6016-EE96-4EF2-A535-279C9E18A9CD}" uniqueName="2" name="Y Coor" totalsRowFunction="average" queryTableFieldId="2"/>
    <tableColumn id="3" xr3:uid="{120C2263-07E3-4C5A-AA20-353DABC8FC14}" uniqueName="3" name="X Center" queryTableFieldId="3" dataDxfId="10">
      <calculatedColumnFormula>FuselageTop[[#This Row],[X Coor]]-FuselageTop[[#Totals],[X Coor]]</calculatedColumnFormula>
    </tableColumn>
    <tableColumn id="4" xr3:uid="{A23146A0-BB19-48E0-9D22-94D6724637AD}" uniqueName="4" name="Y Center" queryTableFieldId="4" dataDxfId="9">
      <calculatedColumnFormula>FuselageTop[[#This Row],[Y Coor]]-FuselageTop[[#Totals],[Y Coor]]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3058C0B-256D-48C3-995A-3F545B6D8FD2}" name="Right_Wing" displayName="Right_Wing" ref="A1:D8" tableType="queryTable" totalsRowCount="1" dataDxfId="4">
  <autoFilter ref="A1:D7" xr:uid="{A3058C0B-256D-48C3-995A-3F545B6D8FD2}"/>
  <tableColumns count="4">
    <tableColumn id="1" xr3:uid="{C30A36BE-9FB9-40D0-B379-3B40801541E1}" uniqueName="1" name="X Coor" totalsRowFunction="average" queryTableFieldId="1" dataDxfId="8"/>
    <tableColumn id="2" xr3:uid="{B49DDCF9-4B6D-4EAC-9E69-FBEABA014949}" uniqueName="2" name="Y Coor" totalsRowFunction="average" queryTableFieldId="2" dataDxfId="7"/>
    <tableColumn id="3" xr3:uid="{7DCB9BE5-FACF-4AC6-8810-6912EFB813AD}" uniqueName="3" name="X Center" queryTableFieldId="3" dataDxfId="6">
      <calculatedColumnFormula>Right_Wing[[#This Row],[X Coor]]-Right_Wing[[#Totals],[X Coor]]</calculatedColumnFormula>
    </tableColumn>
    <tableColumn id="4" xr3:uid="{70398055-E4BD-4F92-A7FC-32BF96E93413}" uniqueName="4" name="Y Center" queryTableFieldId="4" dataDxfId="5">
      <calculatedColumnFormula>Right_Wing[[#This Row],[Y Coor]]-Right_Wing[[#Totals],[Y Coor]]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25486B1-43A5-441A-A695-933DB56209A6}" name="Right_Conard" displayName="Right_Conard" ref="A1:D6" tableType="queryTable" totalsRowCount="1">
  <autoFilter ref="A1:D5" xr:uid="{925486B1-43A5-441A-A695-933DB56209A6}"/>
  <tableColumns count="4">
    <tableColumn id="1" xr3:uid="{A6AECBF3-D5AA-4AD7-A136-3BD3FD26F818}" uniqueName="1" name="X Coor" totalsRowFunction="average" queryTableFieldId="1"/>
    <tableColumn id="2" xr3:uid="{04AA9599-D41F-4A3C-AB45-E8E40FCE2546}" uniqueName="2" name="Y Coor" totalsRowFunction="average" queryTableFieldId="2"/>
    <tableColumn id="3" xr3:uid="{554402FA-AE03-4305-8E0F-48AB28D9BA50}" uniqueName="3" name="X Center" queryTableFieldId="3" dataDxfId="3">
      <calculatedColumnFormula>Right_Conard[[#This Row],[X Coor]]-Right_Conard[[#Totals],[X Coor]]</calculatedColumnFormula>
    </tableColumn>
    <tableColumn id="4" xr3:uid="{8E24D941-E1AC-4076-B7A9-85C2495BE52B}" uniqueName="4" name="Y Center" queryTableFieldId="4" dataDxfId="2">
      <calculatedColumnFormula>Right_Conard[[#This Row],[Y Coor]]-Right_Conard[[#Totals],[Y Coor]]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BC1F366-0AD4-4832-AFA4-23DACFA1592A}" name="FueselageSide" displayName="FueselageSide" ref="A1:D7" tableType="queryTable" totalsRowShown="0">
  <autoFilter ref="A1:D7" xr:uid="{9BC1F366-0AD4-4832-AFA4-23DACFA1592A}"/>
  <tableColumns count="4">
    <tableColumn id="1" xr3:uid="{2A9D0347-6319-4A75-9680-19037591081A}" uniqueName="1" name="X Coor" queryTableFieldId="1"/>
    <tableColumn id="2" xr3:uid="{0F8608A4-1848-4F2A-BE48-6BA01A38A641}" uniqueName="2" name="Y Coor" queryTableFieldId="2"/>
    <tableColumn id="3" xr3:uid="{1B0D7EE8-F396-4603-A4D0-E0C57D780FD1}" uniqueName="3" name="X Adj" queryTableFieldId="3" dataDxfId="1">
      <calculatedColumnFormula>FueselageSide[[#This Row],[X Coor]]-A$2</calculatedColumnFormula>
    </tableColumn>
    <tableColumn id="4" xr3:uid="{BA98D9B3-0C18-49A8-B6C7-643E00F7322F}" uniqueName="4" name="Y Adj" queryTableFieldId="4" dataDxfId="0">
      <calculatedColumnFormula>FueselageSide[[#This Row],[Y Coor]]-B$7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D75E3-2533-4917-A73D-DE805A0DC1B0}">
  <dimension ref="A1:E29"/>
  <sheetViews>
    <sheetView topLeftCell="A16" workbookViewId="0">
      <selection activeCell="B34" sqref="B34"/>
    </sheetView>
  </sheetViews>
  <sheetFormatPr defaultRowHeight="15" x14ac:dyDescent="0.25"/>
  <cols>
    <col min="1" max="2" width="12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28.315321983715762</v>
      </c>
      <c r="B2">
        <v>17.139995567514156</v>
      </c>
      <c r="C2">
        <f>FuselageTop[[#This Row],[X Coor]]-FuselageTop[[#Totals],[X Coor]]</f>
        <v>-6.2256577619271951</v>
      </c>
      <c r="D2">
        <f>FuselageTop[[#This Row],[Y Coor]]-FuselageTop[[#Totals],[Y Coor]]</f>
        <v>4.4734203620214004</v>
      </c>
    </row>
    <row r="3" spans="1:4" x14ac:dyDescent="0.25">
      <c r="A3">
        <v>32.698001480384896</v>
      </c>
      <c r="B3">
        <v>17.117049601563007</v>
      </c>
      <c r="C3">
        <f>FuselageTop[[#This Row],[X Coor]]-FuselageTop[[#Totals],[X Coor]]</f>
        <v>-1.8429782652580613</v>
      </c>
      <c r="D3">
        <f>FuselageTop[[#This Row],[Y Coor]]-FuselageTop[[#Totals],[Y Coor]]</f>
        <v>4.450474396070252</v>
      </c>
    </row>
    <row r="4" spans="1:4" x14ac:dyDescent="0.25">
      <c r="A4">
        <v>33.317542561065878</v>
      </c>
      <c r="B4">
        <v>19.939403413554125</v>
      </c>
      <c r="C4">
        <f>FuselageTop[[#This Row],[X Coor]]-FuselageTop[[#Totals],[X Coor]]</f>
        <v>-1.2234371845770795</v>
      </c>
      <c r="D4">
        <f>FuselageTop[[#This Row],[Y Coor]]-FuselageTop[[#Totals],[Y Coor]]</f>
        <v>7.2728282080613695</v>
      </c>
    </row>
    <row r="5" spans="1:4" x14ac:dyDescent="0.25">
      <c r="A5">
        <v>31.665433012583268</v>
      </c>
      <c r="B5">
        <v>20.490106596381658</v>
      </c>
      <c r="C5">
        <f>FuselageTop[[#This Row],[X Coor]]-FuselageTop[[#Totals],[X Coor]]</f>
        <v>-2.8755467330596893</v>
      </c>
      <c r="D5">
        <f>FuselageTop[[#This Row],[Y Coor]]-FuselageTop[[#Totals],[Y Coor]]</f>
        <v>7.8235313908889026</v>
      </c>
    </row>
    <row r="6" spans="1:4" x14ac:dyDescent="0.25">
      <c r="A6">
        <v>34.556624722427834</v>
      </c>
      <c r="B6">
        <v>21.683296825841317</v>
      </c>
      <c r="C6">
        <f>FuselageTop[[#This Row],[X Coor]]-FuselageTop[[#Totals],[X Coor]]</f>
        <v>1.5644976784876974E-2</v>
      </c>
      <c r="D6">
        <f>FuselageTop[[#This Row],[Y Coor]]-FuselageTop[[#Totals],[Y Coor]]</f>
        <v>9.0167216203485623</v>
      </c>
    </row>
    <row r="7" spans="1:4" x14ac:dyDescent="0.25">
      <c r="A7">
        <v>37.401924500370093</v>
      </c>
      <c r="B7">
        <v>20.490106596381658</v>
      </c>
      <c r="C7">
        <f>FuselageTop[[#This Row],[X Coor]]-FuselageTop[[#Totals],[X Coor]]</f>
        <v>2.8609447547271358</v>
      </c>
      <c r="D7">
        <f>FuselageTop[[#This Row],[Y Coor]]-FuselageTop[[#Totals],[Y Coor]]</f>
        <v>7.8235313908889026</v>
      </c>
    </row>
    <row r="8" spans="1:4" x14ac:dyDescent="0.25">
      <c r="A8">
        <v>35.795706883789784</v>
      </c>
      <c r="B8">
        <v>19.893511481651831</v>
      </c>
      <c r="C8">
        <f>FuselageTop[[#This Row],[X Coor]]-FuselageTop[[#Totals],[X Coor]]</f>
        <v>1.2547271381468263</v>
      </c>
      <c r="D8">
        <f>FuselageTop[[#This Row],[Y Coor]]-FuselageTop[[#Totals],[Y Coor]]</f>
        <v>7.2269362761590763</v>
      </c>
    </row>
    <row r="9" spans="1:4" x14ac:dyDescent="0.25">
      <c r="A9">
        <v>36.392301998519613</v>
      </c>
      <c r="B9">
        <v>17.094103635611855</v>
      </c>
      <c r="C9">
        <f>FuselageTop[[#This Row],[X Coor]]-FuselageTop[[#Totals],[X Coor]]</f>
        <v>1.8513222528766562</v>
      </c>
      <c r="D9">
        <f>FuselageTop[[#This Row],[Y Coor]]-FuselageTop[[#Totals],[Y Coor]]</f>
        <v>4.4275284301191</v>
      </c>
    </row>
    <row r="10" spans="1:4" x14ac:dyDescent="0.25">
      <c r="A10">
        <v>40.797927461139899</v>
      </c>
      <c r="B10">
        <v>17.139995567514156</v>
      </c>
      <c r="C10">
        <f>FuselageTop[[#This Row],[X Coor]]-FuselageTop[[#Totals],[X Coor]]</f>
        <v>6.256947715496942</v>
      </c>
      <c r="D10">
        <f>FuselageTop[[#This Row],[Y Coor]]-FuselageTop[[#Totals],[Y Coor]]</f>
        <v>4.4734203620214004</v>
      </c>
    </row>
    <row r="11" spans="1:4" x14ac:dyDescent="0.25">
      <c r="A11">
        <v>40.797927461139899</v>
      </c>
      <c r="B11">
        <v>15.441994087129254</v>
      </c>
      <c r="C11">
        <f>FuselageTop[[#This Row],[X Coor]]-FuselageTop[[#Totals],[X Coor]]</f>
        <v>6.256947715496942</v>
      </c>
      <c r="D11">
        <f>FuselageTop[[#This Row],[Y Coor]]-FuselageTop[[#Totals],[Y Coor]]</f>
        <v>2.7754188816364991</v>
      </c>
    </row>
    <row r="12" spans="1:4" x14ac:dyDescent="0.25">
      <c r="A12">
        <v>36.66765358993338</v>
      </c>
      <c r="B12">
        <v>10.072638054560786</v>
      </c>
      <c r="C12">
        <f>FuselageTop[[#This Row],[X Coor]]-FuselageTop[[#Totals],[X Coor]]</f>
        <v>2.1266738442904227</v>
      </c>
      <c r="D12">
        <f>FuselageTop[[#This Row],[Y Coor]]-FuselageTop[[#Totals],[Y Coor]]</f>
        <v>-2.5939371509319695</v>
      </c>
    </row>
    <row r="13" spans="1:4" x14ac:dyDescent="0.25">
      <c r="A13">
        <v>36.346410066617317</v>
      </c>
      <c r="B13">
        <v>7.4109060042277024</v>
      </c>
      <c r="C13">
        <f>FuselageTop[[#This Row],[X Coor]]-FuselageTop[[#Totals],[X Coor]]</f>
        <v>1.8054303209743594</v>
      </c>
      <c r="D13">
        <f>FuselageTop[[#This Row],[Y Coor]]-FuselageTop[[#Totals],[Y Coor]]</f>
        <v>-5.2556692012650528</v>
      </c>
    </row>
    <row r="14" spans="1:4" x14ac:dyDescent="0.25">
      <c r="A14">
        <v>42.312361213915615</v>
      </c>
      <c r="B14">
        <v>7.640365663739173</v>
      </c>
      <c r="C14">
        <f>FuselageTop[[#This Row],[X Coor]]-FuselageTop[[#Totals],[X Coor]]</f>
        <v>7.7713814682726579</v>
      </c>
      <c r="D14">
        <f>FuselageTop[[#This Row],[Y Coor]]-FuselageTop[[#Totals],[Y Coor]]</f>
        <v>-5.0262095417535821</v>
      </c>
    </row>
    <row r="15" spans="1:4" x14ac:dyDescent="0.25">
      <c r="A15">
        <v>41.991117690599552</v>
      </c>
      <c r="B15">
        <v>5.8964722514519794</v>
      </c>
      <c r="C15">
        <f>FuselageTop[[#This Row],[X Coor]]-FuselageTop[[#Totals],[X Coor]]</f>
        <v>7.4501379449565945</v>
      </c>
      <c r="D15">
        <f>FuselageTop[[#This Row],[Y Coor]]-FuselageTop[[#Totals],[Y Coor]]</f>
        <v>-6.7701029540407758</v>
      </c>
    </row>
    <row r="16" spans="1:4" x14ac:dyDescent="0.25">
      <c r="A16">
        <v>35.88749074759437</v>
      </c>
      <c r="B16">
        <v>5.8964722514519794</v>
      </c>
      <c r="C16">
        <f>FuselageTop[[#This Row],[X Coor]]-FuselageTop[[#Totals],[X Coor]]</f>
        <v>1.3465110019514128</v>
      </c>
      <c r="D16">
        <f>FuselageTop[[#This Row],[Y Coor]]-FuselageTop[[#Totals],[Y Coor]]</f>
        <v>-6.7701029540407758</v>
      </c>
    </row>
    <row r="17" spans="1:5" x14ac:dyDescent="0.25">
      <c r="A17">
        <v>34.556624722427834</v>
      </c>
      <c r="B17">
        <v>3.0052805416074184</v>
      </c>
      <c r="C17">
        <f>FuselageTop[[#This Row],[X Coor]]-FuselageTop[[#Totals],[X Coor]]</f>
        <v>1.5644976784876974E-2</v>
      </c>
      <c r="D17">
        <f>FuselageTop[[#This Row],[Y Coor]]-FuselageTop[[#Totals],[Y Coor]]</f>
        <v>-9.6612946638853359</v>
      </c>
    </row>
    <row r="18" spans="1:5" x14ac:dyDescent="0.25">
      <c r="A18">
        <v>33.225758697261284</v>
      </c>
      <c r="B18">
        <v>5.8964722514519794</v>
      </c>
      <c r="C18">
        <f>FuselageTop[[#This Row],[X Coor]]-FuselageTop[[#Totals],[X Coor]]</f>
        <v>-1.3152210483816731</v>
      </c>
      <c r="D18">
        <f>FuselageTop[[#This Row],[Y Coor]]-FuselageTop[[#Totals],[Y Coor]]</f>
        <v>-6.7701029540407758</v>
      </c>
    </row>
    <row r="19" spans="1:5" x14ac:dyDescent="0.25">
      <c r="A19">
        <v>26.800888230940043</v>
      </c>
      <c r="B19">
        <v>5.8964722514519794</v>
      </c>
      <c r="C19">
        <f>FuselageTop[[#This Row],[X Coor]]-FuselageTop[[#Totals],[X Coor]]</f>
        <v>-7.7400915147029146</v>
      </c>
      <c r="D19">
        <f>FuselageTop[[#This Row],[Y Coor]]-FuselageTop[[#Totals],[Y Coor]]</f>
        <v>-6.7701029540407758</v>
      </c>
    </row>
    <row r="20" spans="1:5" x14ac:dyDescent="0.25">
      <c r="A20">
        <v>26.800888230940043</v>
      </c>
      <c r="B20">
        <v>7.640365663739173</v>
      </c>
      <c r="C20">
        <f>FuselageTop[[#This Row],[X Coor]]-FuselageTop[[#Totals],[X Coor]]</f>
        <v>-7.7400915147029146</v>
      </c>
      <c r="D20">
        <f>FuselageTop[[#This Row],[Y Coor]]-FuselageTop[[#Totals],[Y Coor]]</f>
        <v>-5.0262095417535821</v>
      </c>
    </row>
    <row r="21" spans="1:5" x14ac:dyDescent="0.25">
      <c r="A21">
        <v>32.766839378238338</v>
      </c>
      <c r="B21">
        <v>7.4109060042277024</v>
      </c>
      <c r="C21">
        <f>FuselageTop[[#This Row],[X Coor]]-FuselageTop[[#Totals],[X Coor]]</f>
        <v>-1.7741403674046197</v>
      </c>
      <c r="D21">
        <f>FuselageTop[[#This Row],[Y Coor]]-FuselageTop[[#Totals],[Y Coor]]</f>
        <v>-5.2556692012650528</v>
      </c>
    </row>
    <row r="22" spans="1:5" x14ac:dyDescent="0.25">
      <c r="A22">
        <v>32.445595854922274</v>
      </c>
      <c r="B22">
        <v>10.072638054560786</v>
      </c>
      <c r="C22">
        <f>FuselageTop[[#This Row],[X Coor]]-FuselageTop[[#Totals],[X Coor]]</f>
        <v>-2.095383890720683</v>
      </c>
      <c r="D22">
        <f>FuselageTop[[#This Row],[Y Coor]]-FuselageTop[[#Totals],[Y Coor]]</f>
        <v>-2.5939371509319695</v>
      </c>
    </row>
    <row r="23" spans="1:5" x14ac:dyDescent="0.25">
      <c r="A23">
        <v>28.361213915618059</v>
      </c>
      <c r="B23">
        <v>15.396102155226963</v>
      </c>
      <c r="C23">
        <f>FuselageTop[[#This Row],[X Coor]]-FuselageTop[[#Totals],[X Coor]]</f>
        <v>-6.1797658300248983</v>
      </c>
      <c r="D23">
        <f>FuselageTop[[#This Row],[Y Coor]]-FuselageTop[[#Totals],[Y Coor]]</f>
        <v>2.7295269497342076</v>
      </c>
    </row>
    <row r="24" spans="1:5" x14ac:dyDescent="0.25">
      <c r="A24">
        <f>SUBTOTAL(101,FuselageTop[X Coor])</f>
        <v>34.540979745642957</v>
      </c>
      <c r="B24">
        <f>SUBTOTAL(101,FuselageTop[Y Coor])</f>
        <v>12.666575205492755</v>
      </c>
    </row>
    <row r="26" spans="1:5" x14ac:dyDescent="0.25">
      <c r="C26" t="s">
        <v>4</v>
      </c>
      <c r="D26" s="1">
        <f>C10-C2</f>
        <v>12.482605477424137</v>
      </c>
      <c r="E26" t="s">
        <v>8</v>
      </c>
    </row>
    <row r="27" spans="1:5" x14ac:dyDescent="0.25">
      <c r="C27" t="s">
        <v>5</v>
      </c>
      <c r="D27" s="1">
        <f>MAX(FuselageTop[X Center])-MIN(FuselageTop[X Center])</f>
        <v>15.511472982975572</v>
      </c>
      <c r="E27" t="s">
        <v>8</v>
      </c>
    </row>
    <row r="28" spans="1:5" x14ac:dyDescent="0.25">
      <c r="C28" t="s">
        <v>6</v>
      </c>
      <c r="D28" s="1">
        <f>D5-MIN(FuselageTop[Y Center])</f>
        <v>17.484826054774238</v>
      </c>
      <c r="E28" t="s">
        <v>8</v>
      </c>
    </row>
    <row r="29" spans="1:5" x14ac:dyDescent="0.25">
      <c r="C29" t="s">
        <v>7</v>
      </c>
      <c r="D29" s="1">
        <f>MAX(FuselageTop[Y Center])-MIN(FuselageTop[Y Center])</f>
        <v>18.678016284233898</v>
      </c>
      <c r="E29" t="s">
        <v>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056D8-D0AC-4EB1-B928-AD7A36BDA1D4}">
  <dimension ref="A1:E11"/>
  <sheetViews>
    <sheetView workbookViewId="0">
      <selection activeCell="D10" sqref="D10:D11"/>
    </sheetView>
  </sheetViews>
  <sheetFormatPr defaultRowHeight="15" x14ac:dyDescent="0.25"/>
  <cols>
    <col min="1" max="2" width="12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</row>
    <row r="2" spans="1:5" x14ac:dyDescent="0.25">
      <c r="A2" s="1">
        <v>19.136935603256848</v>
      </c>
      <c r="B2" s="1">
        <v>23.243622510519337</v>
      </c>
      <c r="C2" s="1">
        <f>Right_Wing[[#This Row],[X Coor]]-Right_Wing[[#Totals],[X Coor]]</f>
        <v>-7.6563039723661461</v>
      </c>
      <c r="D2" s="1">
        <f>Right_Wing[[#This Row],[Y Coor]]-Right_Wing[[#Totals],[Y Coor]]</f>
        <v>4.6121391561806107</v>
      </c>
    </row>
    <row r="3" spans="1:5" x14ac:dyDescent="0.25">
      <c r="A3" s="1">
        <v>19.136935603256848</v>
      </c>
      <c r="B3" s="1">
        <v>19.985295345456418</v>
      </c>
      <c r="C3" s="1">
        <f>Right_Wing[[#This Row],[X Coor]]-Right_Wing[[#Totals],[X Coor]]</f>
        <v>-7.6563039723661461</v>
      </c>
      <c r="D3" s="1">
        <f>Right_Wing[[#This Row],[Y Coor]]-Right_Wing[[#Totals],[Y Coor]]</f>
        <v>1.3538119911176913</v>
      </c>
    </row>
    <row r="4" spans="1:5" x14ac:dyDescent="0.25">
      <c r="A4" s="1">
        <v>28.315321983715762</v>
      </c>
      <c r="B4" s="1">
        <v>15.441994087129254</v>
      </c>
      <c r="C4" s="1">
        <f>Right_Wing[[#This Row],[X Coor]]-Right_Wing[[#Totals],[X Coor]]</f>
        <v>1.5220824080927677</v>
      </c>
      <c r="D4" s="1">
        <f>Right_Wing[[#This Row],[Y Coor]]-Right_Wing[[#Totals],[Y Coor]]</f>
        <v>-3.1894892672094723</v>
      </c>
    </row>
    <row r="5" spans="1:5" x14ac:dyDescent="0.25">
      <c r="A5" s="1">
        <v>28.361213915618059</v>
      </c>
      <c r="B5" s="1">
        <v>17.094103635611855</v>
      </c>
      <c r="C5" s="1">
        <f>Right_Wing[[#This Row],[X Coor]]-Right_Wing[[#Totals],[X Coor]]</f>
        <v>1.5679743399950645</v>
      </c>
      <c r="D5" s="1">
        <f>Right_Wing[[#This Row],[Y Coor]]-Right_Wing[[#Totals],[Y Coor]]</f>
        <v>-1.5373797187268714</v>
      </c>
    </row>
    <row r="6" spans="1:5" x14ac:dyDescent="0.25">
      <c r="A6" s="1">
        <v>32.720947446336048</v>
      </c>
      <c r="B6" s="1">
        <v>17.139995567514156</v>
      </c>
      <c r="C6" s="1">
        <f>Right_Wing[[#This Row],[X Coor]]-Right_Wing[[#Totals],[X Coor]]</f>
        <v>5.9277078707130535</v>
      </c>
      <c r="D6" s="1">
        <f>Right_Wing[[#This Row],[Y Coor]]-Right_Wing[[#Totals],[Y Coor]]</f>
        <v>-1.4914877868245711</v>
      </c>
    </row>
    <row r="7" spans="1:5" x14ac:dyDescent="0.25">
      <c r="A7" s="1">
        <v>33.088082901554401</v>
      </c>
      <c r="B7" s="1">
        <v>18.883888979801348</v>
      </c>
      <c r="C7" s="1">
        <f>Right_Wing[[#This Row],[X Coor]]-Right_Wing[[#Totals],[X Coor]]</f>
        <v>6.2948433259314065</v>
      </c>
      <c r="D7" s="1">
        <f>Right_Wing[[#This Row],[Y Coor]]-Right_Wing[[#Totals],[Y Coor]]</f>
        <v>0.25240562546262169</v>
      </c>
    </row>
    <row r="8" spans="1:5" x14ac:dyDescent="0.25">
      <c r="A8">
        <f>SUBTOTAL(101,Right_Wing[X Coor])</f>
        <v>26.793239575622994</v>
      </c>
      <c r="B8">
        <f>SUBTOTAL(101,Right_Wing[Y Coor])</f>
        <v>18.631483354338727</v>
      </c>
    </row>
    <row r="10" spans="1:5" x14ac:dyDescent="0.25">
      <c r="C10" t="s">
        <v>5</v>
      </c>
      <c r="D10" s="1">
        <f>MAX(Right_Wing[X Center])-MIN(Right_Wing[X Center])</f>
        <v>13.951147298297553</v>
      </c>
      <c r="E10" t="s">
        <v>8</v>
      </c>
    </row>
    <row r="11" spans="1:5" x14ac:dyDescent="0.25">
      <c r="C11" t="s">
        <v>7</v>
      </c>
      <c r="D11" s="1">
        <f>MAX(Right_Wing[Y Center])-MIN(Right_Wing[Y Center])</f>
        <v>7.801628423390083</v>
      </c>
      <c r="E11" t="s">
        <v>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5C2C9-E8BE-4315-82A2-5AFC6F1BECAF}">
  <dimension ref="A1:E10"/>
  <sheetViews>
    <sheetView workbookViewId="0">
      <selection activeCell="C15" sqref="C15"/>
    </sheetView>
  </sheetViews>
  <sheetFormatPr defaultRowHeight="15" x14ac:dyDescent="0.25"/>
  <cols>
    <col min="1" max="2" width="12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</row>
    <row r="2" spans="1:5" x14ac:dyDescent="0.25">
      <c r="A2">
        <v>32.766839378238338</v>
      </c>
      <c r="B2">
        <v>7.4109060042277024</v>
      </c>
      <c r="C2">
        <f>Right_Conard[[#This Row],[X Coor]]-Right_Conard[[#Totals],[X Coor]]</f>
        <v>2.8682457438934108</v>
      </c>
      <c r="D2">
        <f>Right_Conard[[#This Row],[Y Coor]]-Right_Conard[[#Totals],[Y Coor]]</f>
        <v>0.69985196150999407</v>
      </c>
    </row>
    <row r="3" spans="1:5" x14ac:dyDescent="0.25">
      <c r="A3">
        <v>26.800888230940043</v>
      </c>
      <c r="B3">
        <v>7.640365663739173</v>
      </c>
      <c r="C3">
        <f>Right_Conard[[#This Row],[X Coor]]-Right_Conard[[#Totals],[X Coor]]</f>
        <v>-3.0977054034048841</v>
      </c>
      <c r="D3">
        <f>Right_Conard[[#This Row],[Y Coor]]-Right_Conard[[#Totals],[Y Coor]]</f>
        <v>0.9293116210214647</v>
      </c>
    </row>
    <row r="4" spans="1:5" x14ac:dyDescent="0.25">
      <c r="A4">
        <v>26.800888230940043</v>
      </c>
      <c r="B4">
        <v>5.8964722514519794</v>
      </c>
      <c r="C4">
        <f>Right_Conard[[#This Row],[X Coor]]-Right_Conard[[#Totals],[X Coor]]</f>
        <v>-3.0977054034048841</v>
      </c>
      <c r="D4">
        <f>Right_Conard[[#This Row],[Y Coor]]-Right_Conard[[#Totals],[Y Coor]]</f>
        <v>-0.81458179126572894</v>
      </c>
    </row>
    <row r="5" spans="1:5" x14ac:dyDescent="0.25">
      <c r="A5">
        <v>33.225758697261284</v>
      </c>
      <c r="B5">
        <v>5.8964722514519794</v>
      </c>
      <c r="C5">
        <f>Right_Conard[[#This Row],[X Coor]]-Right_Conard[[#Totals],[X Coor]]</f>
        <v>3.3271650629163574</v>
      </c>
      <c r="D5">
        <f>Right_Conard[[#This Row],[Y Coor]]-Right_Conard[[#Totals],[Y Coor]]</f>
        <v>-0.81458179126572894</v>
      </c>
    </row>
    <row r="6" spans="1:5" x14ac:dyDescent="0.25">
      <c r="A6">
        <f>SUBTOTAL(101,Right_Conard[X Coor])</f>
        <v>29.898593634344927</v>
      </c>
      <c r="B6">
        <f>SUBTOTAL(101,Right_Conard[Y Coor])</f>
        <v>6.7110540427177083</v>
      </c>
    </row>
    <row r="9" spans="1:5" x14ac:dyDescent="0.25">
      <c r="C9" t="s">
        <v>5</v>
      </c>
      <c r="D9" s="1">
        <f>MAX(Right_Conard[X Center])-MIN(Right_Conard[X Center])</f>
        <v>6.4248704663212415</v>
      </c>
      <c r="E9" t="s">
        <v>8</v>
      </c>
    </row>
    <row r="10" spans="1:5" x14ac:dyDescent="0.25">
      <c r="C10" t="s">
        <v>7</v>
      </c>
      <c r="D10" s="1">
        <f>MAX(Right_Conard[Y Center])-MIN(Right_Conard[Y Center])</f>
        <v>1.7438934122871936</v>
      </c>
      <c r="E10" t="s">
        <v>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C88DF-5C52-482B-A076-DB97DAAED01E}">
  <dimension ref="A1:D9"/>
  <sheetViews>
    <sheetView tabSelected="1" workbookViewId="0">
      <selection activeCell="B10" sqref="B10"/>
    </sheetView>
  </sheetViews>
  <sheetFormatPr defaultRowHeight="15" x14ac:dyDescent="0.25"/>
  <cols>
    <col min="1" max="2" width="12" bestFit="1" customWidth="1"/>
  </cols>
  <sheetData>
    <row r="1" spans="1:4" x14ac:dyDescent="0.25">
      <c r="A1" t="s">
        <v>0</v>
      </c>
      <c r="B1" t="s">
        <v>1</v>
      </c>
      <c r="C1" t="s">
        <v>9</v>
      </c>
      <c r="D1" t="s">
        <v>10</v>
      </c>
    </row>
    <row r="2" spans="1:4" x14ac:dyDescent="0.25">
      <c r="A2">
        <v>131.29411764705881</v>
      </c>
      <c r="B2">
        <v>99.393361530078067</v>
      </c>
      <c r="C2">
        <f>FueselageSide[[#This Row],[X Coor]]-A$2</f>
        <v>0</v>
      </c>
      <c r="D2">
        <f>FueselageSide[[#This Row],[Y Coor]]-B$7</f>
        <v>54.529411764705856</v>
      </c>
    </row>
    <row r="3" spans="1:4" x14ac:dyDescent="0.25">
      <c r="A3">
        <v>231.35294117647055</v>
      </c>
      <c r="B3">
        <v>111.56983211831339</v>
      </c>
      <c r="C3">
        <f>FueselageSide[[#This Row],[X Coor]]-A$2</f>
        <v>100.05882352941174</v>
      </c>
      <c r="D3">
        <f>FueselageSide[[#This Row],[Y Coor]]-B$7</f>
        <v>66.705882352941174</v>
      </c>
    </row>
    <row r="4" spans="1:4" x14ac:dyDescent="0.25">
      <c r="A4">
        <v>317.11764705882354</v>
      </c>
      <c r="B4">
        <v>88.011008588901603</v>
      </c>
      <c r="C4">
        <f>FueselageSide[[#This Row],[X Coor]]-A$2</f>
        <v>185.82352941176472</v>
      </c>
      <c r="D4">
        <f>FueselageSide[[#This Row],[Y Coor]]-B$7</f>
        <v>43.147058823529392</v>
      </c>
    </row>
    <row r="5" spans="1:4" x14ac:dyDescent="0.25">
      <c r="A5">
        <v>214.41176470588232</v>
      </c>
      <c r="B5">
        <v>71.863949765372197</v>
      </c>
      <c r="C5">
        <f>FueselageSide[[#This Row],[X Coor]]-A$2</f>
        <v>83.117647058823508</v>
      </c>
      <c r="D5">
        <f>FueselageSide[[#This Row],[Y Coor]]-B$7</f>
        <v>26.999999999999986</v>
      </c>
    </row>
    <row r="6" spans="1:4" x14ac:dyDescent="0.25">
      <c r="A6">
        <v>292.76470588235293</v>
      </c>
      <c r="B6">
        <v>44.863949765372212</v>
      </c>
      <c r="C6">
        <f>FueselageSide[[#This Row],[X Coor]]-A$2</f>
        <v>161.47058823529412</v>
      </c>
      <c r="D6">
        <f>FueselageSide[[#This Row],[Y Coor]]-B$7</f>
        <v>0</v>
      </c>
    </row>
    <row r="7" spans="1:4" x14ac:dyDescent="0.25">
      <c r="A7">
        <v>186.75</v>
      </c>
      <c r="B7">
        <v>44.863949765372212</v>
      </c>
      <c r="C7">
        <f>FueselageSide[[#This Row],[X Coor]]-A$2</f>
        <v>55.455882352941188</v>
      </c>
      <c r="D7">
        <f>FueselageSide[[#This Row],[Y Coor]]-B$7</f>
        <v>0</v>
      </c>
    </row>
    <row r="9" spans="1:4" x14ac:dyDescent="0.25">
      <c r="B9" s="2" t="s">
        <v>11</v>
      </c>
      <c r="C9">
        <f>D5</f>
        <v>26.999999999999986</v>
      </c>
      <c r="D9" t="s">
        <v>12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4 E A A B Q S w M E F A A C A A g A I W O W W f / c m o K j A A A A 9 g A A A B I A H A B D b 2 5 m a W c v U G F j a 2 F n Z S 5 4 b W w g o h g A K K A U A A A A A A A A A A A A A A A A A A A A A A A A A A A A h Y + 9 D o I w F I V f h X S n P 7 A Q c q m D q y Q m R O P a Q I V G u B h a L O / m 4 C P 5 C m I U d X M 8 3 / m G c + 7 X G 6 y m r g 0 u e r C m x 4 w I y k m g s e w r g 3 V G R n c M E 7 K S s F X l S d U 6 m G W 0 6 W S r j D T O n V P G v P f U x 7 Q f a h Z x L t g h 3 x R l o z t F P r L 5 L 4 c G r V N Y a i J h / x o j I y r i h I q E U w 5 s g Z A b / A r R v P f Z / k B Y j 6 0 b B y 0 1 h r s C 2 B K B v T / I B 1 B L A w Q U A A I A C A A h Y 5 Z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I W O W W Y S w l O g 5 A Q A A 5 w U A A B M A H A B G b 3 J t d W x h c y 9 T Z W N 0 a W 9 u M S 5 t I K I Y A C i g F A A A A A A A A A A A A A A A A A A A A A A A A A A A A O W U s W r D M B C G d 4 P f Q S h L A s a Q Q J c W L 3 W a s b S 1 S 4 a q g 2 J f b R F Z Z 3 R S I A 1 5 9 y q I 0 l C 6 B 1 I t 0 t 0 v 7 u 7 / Q C J o n E L D q r j P 7 9 I k T a i X F l q 2 8 g R a d l D j y A q m w a U J C 6 t C b x s I m Z J 2 + R I b P 4 B x 0 5 X S k J d o X A h o y s t b 8 U p g S T x J r 9 m 9 t x 0 Q G r E E 2 j o c R a e c h R F J 7 E B j o 9 x e r N F u q Q 9 S p T 6 B S S I g O h U W Z 1 P k D e 3 4 L H t b g l a D c m A L n v G M l a j 9 Y K h Y Z O z B N N g q 0 x X z x U 0 I n z 0 6 q N x e Q / F z z B / R w P s s i 2 4 m v O y l 6 Y L d e j 8 C D 7 Z q u Q m X a i s N f a A d Y v W T S N N o P T s c e M z O Q 3 c X F G b 8 s A F 7 z N i 3 s v i l H G d p o s y f L c + R T / i L 6 n r H 1 s E D v y D 0 n y n + D / P A U d r 2 8 t T j H N f P f e U h v u x K t X D R D + Z s j i v F / g V Q S w E C L Q A U A A I A C A A h Y 5 Z Z / 9 y a g q M A A A D 2 A A A A E g A A A A A A A A A A A A A A A A A A A A A A Q 2 9 u Z m l n L 1 B h Y 2 t h Z 2 U u e G 1 s U E s B A i 0 A F A A C A A g A I W O W W Q / K 6 a u k A A A A 6 Q A A A B M A A A A A A A A A A A A A A A A A 7 w A A A F t D b 2 5 0 Z W 5 0 X 1 R 5 c G V z X S 5 4 b W x Q S w E C L Q A U A A I A C A A h Y 5 Z Z h L C U 6 D k B A A D n B Q A A E w A A A A A A A A A A A A A A A A D g A Q A A R m 9 y b X V s Y X M v U 2 V j d G l v b j E u b V B L B Q Y A A A A A A w A D A M I A A A B m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y H g A A A A A A A J A e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n V z Z W x h Z 2 V U b 3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l Y 2 E 3 N T c 1 Y i 0 4 N D V l L T R i N z k t Y T c 0 Y S 0 4 M 2 I x M z V k Y 2 Y y N T c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R n V z Z W x h Z 2 V U b 3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I t M j J U M T Q 6 N D A 6 M j Y u N D k 4 M j Q 2 N F o i I C 8 + P E V u d H J 5 I F R 5 c G U 9 I k Z p b G x D b 2 x 1 b W 5 U e X B l c y I g V m F s d W U 9 I n N C U V U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1 c 2 V s Y W d l V G 9 w L 0 F 1 d G 9 S Z W 1 v d m V k Q 2 9 s d W 1 u c z E u e 0 N v b H V t b j E s M H 0 m c X V v d D s s J n F 1 b 3 Q 7 U 2 V j d G l v b j E v R n V z Z W x h Z 2 V U b 3 A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G d X N l b G F n Z V R v c C 9 B d X R v U m V t b 3 Z l Z E N v b H V t b n M x L n t D b 2 x 1 b W 4 x L D B 9 J n F 1 b 3 Q 7 L C Z x d W 9 0 O 1 N l Y 3 R p b 2 4 x L 0 Z 1 c 2 V s Y W d l V G 9 w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Z 1 c 2 V s Y W d l V G 9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1 c 2 V s Y W d l V G 9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l n a H Q l M j B X a W 5 n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T U y N W I 5 Y T I t M 2 Q w M y 0 0 M D E 2 L T g x M j I t N G M 0 M T V h O G F k M T I 0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J p Z 2 h 0 X 1 d p b m c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i 0 y M l Q x N z o x M D o 1 N S 4 5 N z E y M T g y W i I g L z 4 8 R W 5 0 c n k g V H l w Z T 0 i R m l s b E N v b H V t b l R 5 c G V z I i B W Y W x 1 Z T 0 i c 0 J R V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l n a H Q g V 2 l u Z y 9 B d X R v U m V t b 3 Z l Z E N v b H V t b n M x L n t D b 2 x 1 b W 4 x L D B 9 J n F 1 b 3 Q 7 L C Z x d W 9 0 O 1 N l Y 3 R p b 2 4 x L 1 J p Z 2 h 0 I F d p b m c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S a W d o d C B X a W 5 n L 0 F 1 d G 9 S Z W 1 v d m V k Q 2 9 s d W 1 u c z E u e 0 N v b H V t b j E s M H 0 m c X V v d D s s J n F 1 b 3 Q 7 U 2 V j d G l v b j E v U m l n a H Q g V 2 l u Z y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a W d o d C U y M F d p b m c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l n a H Q l M j B X a W 5 n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l n a H Q l M j B D b 2 5 h c m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k M z M z Y j Q 0 N C 0 4 M j g 4 L T Q w N G Y t O T A 0 Y S 0 x N j c 1 N j I 1 M j Z l M T k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m l n a H R f Q 2 9 u Y X J k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I t M j J U M T c 6 M T k 6 M z Y u N z k 3 O T Y y M V o i I C 8 + P E V u d H J 5 I F R 5 c G U 9 I k Z p b G x D b 2 x 1 b W 5 U e X B l c y I g V m F s d W U 9 I n N C U V U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p Z 2 h 0 I E N v b m F y Z C 9 B d X R v U m V t b 3 Z l Z E N v b H V t b n M x L n t D b 2 x 1 b W 4 x L D B 9 J n F 1 b 3 Q 7 L C Z x d W 9 0 O 1 N l Y 3 R p b 2 4 x L 1 J p Z 2 h 0 I E N v b m F y Z C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J p Z 2 h 0 I E N v b m F y Z C 9 B d X R v U m V t b 3 Z l Z E N v b H V t b n M x L n t D b 2 x 1 b W 4 x L D B 9 J n F 1 b 3 Q 7 L C Z x d W 9 0 O 1 N l Y 3 R p b 2 4 x L 1 J p Z 2 h 0 I E N v b m F y Z C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a W d o d C U y M E N v b m F y Z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a W d o d C U y M E N v b m F y Z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1 Z X N l b G F n Z V N p Z G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4 N G E 3 O T d m O C 0 2 Z j N h L T Q 2 O G Q t O W I y Z C 0 3 M G U 5 Z D l l Z j N j N j I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R n V l c 2 V s Y W d l U 2 l k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y L T I y V D E 3 O j I 1 O j A z L j k z O T U y O D Z a I i A v P j x F b n R y e S B U e X B l P S J G a W x s Q 2 9 s d W 1 u V H l w Z X M i I F Z h b H V l P S J z Q l F V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d W V z Z W x h Z 2 V T a W R l L 0 F 1 d G 9 S Z W 1 v d m V k Q 2 9 s d W 1 u c z E u e 0 N v b H V t b j E s M H 0 m c X V v d D s s J n F 1 b 3 Q 7 U 2 V j d G l v b j E v R n V l c 2 V s Y W d l U 2 l k Z S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Z 1 Z X N l b G F n Z V N p Z G U v Q X V 0 b 1 J l b W 9 2 Z W R D b 2 x 1 b W 5 z M S 5 7 Q 2 9 s d W 1 u M S w w f S Z x d W 9 0 O y w m c X V v d D t T Z W N 0 a W 9 u M S 9 G d W V z Z W x h Z 2 V T a W R l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Z 1 Z X N l b G F n Z V N p Z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n V l c 2 V s Y W d l U 2 l k Z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q 5 8 M I X q 0 W T a 1 Z N Z S 5 p m f l A A A A A A I A A A A A A B B m A A A A A Q A A I A A A A H r 7 u 4 V N B F 1 m k 4 Y t 7 n B W W Q a y n H T H i i C / P o a E r v k Y Q R I n A A A A A A 6 A A A A A A g A A I A A A A O B / 2 f 9 E 6 E j g q y z A A B 3 4 I D C 7 Q 1 b w Z B 4 W 7 B E l b 8 x K R 8 v P U A A A A O B C R R K v V l p F H W 4 n 7 l B v N 1 t T 1 A x 5 4 x l n D u o N h q 2 t N 4 Q T x c z K o s q J b u V S Q K o J x n d t l C J W J E / R e t q 0 V K k P D q E R s 4 w e 5 L J E K N K i 5 q i 8 7 x a n y u B 4 Q A A A A J e J L B h W 6 i e R F j M 3 9 z d X l x R 2 f K J s q R d h s o O W b C i J K 2 d U t H 4 E 7 1 r b X z 3 K S J H f q C h 8 H a G C y M 9 f N G y 6 N E f b S i O b f q E = < / D a t a M a s h u p > 
</file>

<file path=customXml/itemProps1.xml><?xml version="1.0" encoding="utf-8"?>
<ds:datastoreItem xmlns:ds="http://schemas.openxmlformats.org/officeDocument/2006/customXml" ds:itemID="{ED28F763-F9F0-4704-BD5F-1896F773750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FuselageTop</vt:lpstr>
      <vt:lpstr>Right Wing</vt:lpstr>
      <vt:lpstr>Right Conard</vt:lpstr>
      <vt:lpstr>FueselageSide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Burgeson</dc:creator>
  <cp:lastModifiedBy>Paul Burgeson</cp:lastModifiedBy>
  <dcterms:created xsi:type="dcterms:W3CDTF">2024-12-22T14:39:43Z</dcterms:created>
  <dcterms:modified xsi:type="dcterms:W3CDTF">2024-12-22T17:40:23Z</dcterms:modified>
</cp:coreProperties>
</file>