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sb1\Documents\GitHub\lbdslim\"/>
    </mc:Choice>
  </mc:AlternateContent>
  <xr:revisionPtr revIDLastSave="0" documentId="13_ncr:1_{8607D312-2620-48A5-92DD-A7A6629C45FB}" xr6:coauthVersionLast="36" xr6:coauthVersionMax="36" xr10:uidLastSave="{00000000-0000-0000-0000-000000000000}"/>
  <bookViews>
    <workbookView xWindow="0" yWindow="0" windowWidth="25200" windowHeight="11778" activeTab="2" xr2:uid="{0A13F19E-9CAF-425F-8126-E9E8F01A7964}"/>
  </bookViews>
  <sheets>
    <sheet name="Main" sheetId="2" r:id="rId1"/>
    <sheet name="Speedup Gain" sheetId="3" r:id="rId2"/>
    <sheet name="Scalabilit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6" i="1" l="1"/>
  <c r="N46" i="1"/>
  <c r="M46" i="1"/>
  <c r="O45" i="1"/>
  <c r="N45" i="1"/>
  <c r="M45" i="1"/>
  <c r="O44" i="1"/>
  <c r="N44" i="1"/>
  <c r="M44" i="1"/>
  <c r="M54" i="1" s="1"/>
  <c r="O43" i="1"/>
  <c r="O53" i="1" s="1"/>
  <c r="N43" i="1"/>
  <c r="N53" i="1" s="1"/>
  <c r="M43" i="1"/>
  <c r="L43" i="1"/>
  <c r="L53" i="1" s="1"/>
  <c r="N52" i="1"/>
  <c r="O52" i="1"/>
  <c r="M52" i="1"/>
  <c r="L52" i="1"/>
  <c r="P36" i="1"/>
  <c r="P35" i="1"/>
  <c r="P34" i="1"/>
  <c r="P33" i="1"/>
  <c r="P32" i="1"/>
  <c r="O55" i="1"/>
  <c r="N54" i="1"/>
  <c r="M53" i="1"/>
  <c r="O56" i="1"/>
  <c r="N56" i="1"/>
  <c r="M56" i="1"/>
  <c r="N55" i="1"/>
  <c r="M55" i="1"/>
  <c r="O54" i="1"/>
  <c r="F29" i="3" l="1"/>
  <c r="E29" i="3"/>
  <c r="D29" i="3"/>
  <c r="J11" i="3" s="1"/>
  <c r="F28" i="3"/>
  <c r="L10" i="3" s="1"/>
  <c r="E28" i="3"/>
  <c r="D28" i="3"/>
  <c r="L25" i="3"/>
  <c r="K25" i="3"/>
  <c r="J25" i="3"/>
  <c r="F27" i="3"/>
  <c r="L9" i="3" s="1"/>
  <c r="E27" i="3"/>
  <c r="K9" i="3" s="1"/>
  <c r="D27" i="3"/>
  <c r="L24" i="3"/>
  <c r="K24" i="3"/>
  <c r="J24" i="3"/>
  <c r="F26" i="3"/>
  <c r="L8" i="3" s="1"/>
  <c r="E26" i="3"/>
  <c r="K8" i="3" s="1"/>
  <c r="D26" i="3"/>
  <c r="J8" i="3" s="1"/>
  <c r="L23" i="3"/>
  <c r="K23" i="3"/>
  <c r="J23" i="3"/>
  <c r="F25" i="3"/>
  <c r="L7" i="3" s="1"/>
  <c r="E25" i="3"/>
  <c r="K7" i="3" s="1"/>
  <c r="D25" i="3"/>
  <c r="J7" i="3" s="1"/>
  <c r="L22" i="3"/>
  <c r="K22" i="3"/>
  <c r="J22" i="3"/>
  <c r="L21" i="3"/>
  <c r="L27" i="3" s="1"/>
  <c r="L28" i="3" s="1"/>
  <c r="K21" i="3"/>
  <c r="J21" i="3"/>
  <c r="L11" i="3"/>
  <c r="K11" i="3"/>
  <c r="K10" i="3"/>
  <c r="J10" i="3"/>
  <c r="J9" i="3"/>
  <c r="K13" i="3" l="1"/>
  <c r="K14" i="3" s="1"/>
  <c r="J27" i="3"/>
  <c r="J28" i="3" s="1"/>
  <c r="L13" i="3"/>
  <c r="L14" i="3" s="1"/>
  <c r="J13" i="3"/>
  <c r="J14" i="3" s="1"/>
  <c r="K27" i="3"/>
  <c r="K28" i="3" s="1"/>
  <c r="U23" i="1"/>
  <c r="U33" i="1" s="1"/>
  <c r="U24" i="1"/>
  <c r="U34" i="1" s="1"/>
  <c r="U25" i="1"/>
  <c r="U35" i="1" s="1"/>
  <c r="U26" i="1"/>
  <c r="U36" i="1" s="1"/>
  <c r="W26" i="1"/>
  <c r="W36" i="1" s="1"/>
  <c r="V26" i="1"/>
  <c r="V36" i="1" s="1"/>
  <c r="W25" i="1"/>
  <c r="V25" i="1"/>
  <c r="V35" i="1" s="1"/>
  <c r="W24" i="1"/>
  <c r="V24" i="1"/>
  <c r="W23" i="1"/>
  <c r="W33" i="1" s="1"/>
  <c r="V23" i="1"/>
  <c r="V33" i="1" s="1"/>
  <c r="T23" i="1"/>
  <c r="T33" i="1" s="1"/>
  <c r="W22" i="1"/>
  <c r="W32" i="1" s="1"/>
  <c r="V22" i="1"/>
  <c r="V32" i="1" s="1"/>
  <c r="U22" i="1"/>
  <c r="U32" i="1" s="1"/>
  <c r="T22" i="1"/>
  <c r="T32" i="1" s="1"/>
  <c r="W35" i="1"/>
  <c r="W34" i="1"/>
  <c r="V34" i="1"/>
  <c r="O22" i="1"/>
  <c r="N22" i="1"/>
  <c r="M22" i="1"/>
  <c r="L22" i="1"/>
  <c r="G22" i="1"/>
  <c r="F22" i="1"/>
  <c r="E22" i="1"/>
  <c r="D22" i="1"/>
  <c r="G26" i="1" l="1"/>
  <c r="G36" i="1" s="1"/>
  <c r="F26" i="1"/>
  <c r="F36" i="1" s="1"/>
  <c r="E26" i="1"/>
  <c r="E36" i="1" s="1"/>
  <c r="O26" i="1"/>
  <c r="O36" i="1" s="1"/>
  <c r="N26" i="1"/>
  <c r="N36" i="1" s="1"/>
  <c r="M26" i="1"/>
  <c r="M36" i="1" s="1"/>
  <c r="G25" i="1"/>
  <c r="G35" i="1" s="1"/>
  <c r="F25" i="1"/>
  <c r="F35" i="1" s="1"/>
  <c r="E25" i="1"/>
  <c r="E35" i="1" s="1"/>
  <c r="O25" i="1"/>
  <c r="O35" i="1" s="1"/>
  <c r="N25" i="1"/>
  <c r="N35" i="1" s="1"/>
  <c r="M25" i="1"/>
  <c r="M35" i="1" s="1"/>
  <c r="O24" i="1"/>
  <c r="O34" i="1" s="1"/>
  <c r="N24" i="1"/>
  <c r="N34" i="1" s="1"/>
  <c r="M24" i="1"/>
  <c r="M34" i="1" s="1"/>
  <c r="G24" i="1"/>
  <c r="G34" i="1" s="1"/>
  <c r="F24" i="1"/>
  <c r="F34" i="1" s="1"/>
  <c r="E24" i="1"/>
  <c r="E34" i="1" s="1"/>
  <c r="G23" i="1"/>
  <c r="G33" i="1" s="1"/>
  <c r="F23" i="1"/>
  <c r="F33" i="1" s="1"/>
  <c r="E23" i="1"/>
  <c r="E33" i="1" s="1"/>
  <c r="D23" i="1"/>
  <c r="D33" i="1" s="1"/>
  <c r="O23" i="1"/>
  <c r="O33" i="1" s="1"/>
  <c r="N23" i="1"/>
  <c r="N33" i="1" s="1"/>
  <c r="M23" i="1"/>
  <c r="M33" i="1" s="1"/>
  <c r="L23" i="1"/>
  <c r="L33" i="1" s="1"/>
  <c r="O32" i="1"/>
  <c r="N32" i="1"/>
  <c r="M32" i="1"/>
  <c r="L32" i="1"/>
  <c r="G32" i="1"/>
  <c r="F32" i="1"/>
  <c r="E32" i="1"/>
  <c r="D32" i="1"/>
</calcChain>
</file>

<file path=xl/sharedStrings.xml><?xml version="1.0" encoding="utf-8"?>
<sst xmlns="http://schemas.openxmlformats.org/spreadsheetml/2006/main" count="189" uniqueCount="76">
  <si>
    <t>Speedup</t>
  </si>
  <si>
    <t>Effective Speedup</t>
  </si>
  <si>
    <t>Efficiency</t>
  </si>
  <si>
    <t>Effective Efficiency</t>
  </si>
  <si>
    <t>Index Size\Processes</t>
  </si>
  <si>
    <t>N/A</t>
  </si>
  <si>
    <t>Average Query Time(s)</t>
  </si>
  <si>
    <t>Max Query Time (s)</t>
  </si>
  <si>
    <t>Total Execution Time (s)</t>
  </si>
  <si>
    <t>Highlighted Cells indicate the reference for computing Speedup and Efficiency</t>
  </si>
  <si>
    <t>Experiments could not be performed since each MPI index chunk exceeds limits i.e. 10.5 Million spectra/MPI process</t>
  </si>
  <si>
    <t>Experiment ran on 1 node only since 1 core</t>
  </si>
  <si>
    <t>No significant difference in results for either configuration</t>
  </si>
  <si>
    <t>Experiment Settings</t>
  </si>
  <si>
    <t>Dataset</t>
  </si>
  <si>
    <t>PXD009072 (FL0320_MSQ805_IBombik_Stimb_6ul.ms2)</t>
  </si>
  <si>
    <t>Database</t>
  </si>
  <si>
    <t>UniProt (UP000005640) - Human</t>
  </si>
  <si>
    <t>Digestion Settings</t>
  </si>
  <si>
    <t>Missed Cleavages</t>
  </si>
  <si>
    <t>Min/Max length</t>
  </si>
  <si>
    <t>06 to 40 aa</t>
  </si>
  <si>
    <t>Min/Max mass</t>
  </si>
  <si>
    <t>100 - 5000 amu</t>
  </si>
  <si>
    <t>Redundancy</t>
  </si>
  <si>
    <t>No</t>
  </si>
  <si>
    <t>Decoys</t>
  </si>
  <si>
    <t>Enzyme</t>
  </si>
  <si>
    <t>Trypsin</t>
  </si>
  <si>
    <t>Max frag Z</t>
  </si>
  <si>
    <t>Ion Series</t>
  </si>
  <si>
    <t>b- and y-</t>
  </si>
  <si>
    <t>SCALING Factor</t>
  </si>
  <si>
    <t>F</t>
  </si>
  <si>
    <t>ΔM</t>
  </si>
  <si>
    <t>∞ (infinity)</t>
  </si>
  <si>
    <t>ΔF</t>
  </si>
  <si>
    <t>0.05Da</t>
  </si>
  <si>
    <t>Min Shared Peaks</t>
  </si>
  <si>
    <t>MS/MS file conversion</t>
  </si>
  <si>
    <t>msconvert -&gt; ms2</t>
  </si>
  <si>
    <t>Mods</t>
  </si>
  <si>
    <t>Query Peaks</t>
  </si>
  <si>
    <t>top 100 (normalized)</t>
  </si>
  <si>
    <t>Machine</t>
  </si>
  <si>
    <t>Compute Cluster</t>
  </si>
  <si>
    <t>Allowed CPUs</t>
  </si>
  <si>
    <t>Allowed RAM</t>
  </si>
  <si>
    <t>32GB</t>
  </si>
  <si>
    <t>Processor Architecture</t>
  </si>
  <si>
    <t>Clock Speed</t>
  </si>
  <si>
    <t>2000-2600MHz</t>
  </si>
  <si>
    <t>Intel x86_64 (NUMA 8 cores x DIMM)</t>
  </si>
  <si>
    <t>SLM-Transform Index Settings</t>
  </si>
  <si>
    <t>Max Index Chunk Size</t>
  </si>
  <si>
    <t>FIU Panther Cluster</t>
  </si>
  <si>
    <t>10.5 Million spectra (819 million ions)</t>
  </si>
  <si>
    <t>M+16, NQ+0.98, CK+114.04</t>
  </si>
  <si>
    <t>16 cores</t>
  </si>
  <si>
    <t>Average Query Time (s)</t>
  </si>
  <si>
    <t>Index Size</t>
  </si>
  <si>
    <t>Chunk</t>
  </si>
  <si>
    <t>Cyclic</t>
  </si>
  <si>
    <t>Random</t>
  </si>
  <si>
    <t>Average</t>
  </si>
  <si>
    <t>%Age</t>
  </si>
  <si>
    <t>Speedup Gain = Max Query Time (chunk) / Max Query Time (policy)</t>
  </si>
  <si>
    <t>Raw Imbalance (s)</t>
  </si>
  <si>
    <t>Imbalance = Raw Imbalance /Average Query Time</t>
  </si>
  <si>
    <t>Scalability</t>
  </si>
  <si>
    <t>Speedup/Load Balance Gain</t>
  </si>
  <si>
    <t>Please Note: All experiments run with 16-CPUS (16 partitions)</t>
  </si>
  <si>
    <t>All experiments run with Cyclic Policy</t>
  </si>
  <si>
    <t>Please Note: At least 2 nodes in all experiments except green</t>
  </si>
  <si>
    <t>UNCALIBRATED</t>
  </si>
  <si>
    <t>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</si>
</sst>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2" applyNumberFormat="0" applyAlignment="0" applyProtection="0"/>
  </cellStyleXfs>
  <cellXfs count="25">
    <xf numFmtId="0" fontId="0" fillId="0" borderId="0" xfId="0"/>
    <xf numFmtId="0" fontId="1" fillId="0" borderId="1" xfId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2" borderId="0" xfId="0" applyFont="1" applyFill="1"/>
    <xf numFmtId="0" fontId="3" fillId="0" borderId="1" xfId="1" applyFont="1"/>
    <xf numFmtId="0" fontId="0" fillId="3" borderId="0" xfId="0" applyFill="1"/>
    <xf numFmtId="0" fontId="2" fillId="3" borderId="0" xfId="0" applyFont="1" applyFill="1"/>
    <xf numFmtId="0" fontId="4" fillId="0" borderId="0" xfId="0" applyFont="1"/>
    <xf numFmtId="0" fontId="5" fillId="0" borderId="0" xfId="0" applyFont="1"/>
    <xf numFmtId="0" fontId="2" fillId="0" borderId="0" xfId="0" applyFont="1" applyFill="1"/>
    <xf numFmtId="0" fontId="0" fillId="4" borderId="0" xfId="0" applyFill="1"/>
    <xf numFmtId="0" fontId="2" fillId="4" borderId="0" xfId="0" applyFont="1" applyFill="1"/>
    <xf numFmtId="0" fontId="6" fillId="0" borderId="0" xfId="0" applyFont="1"/>
    <xf numFmtId="17" fontId="0" fillId="0" borderId="0" xfId="0" applyNumberFormat="1"/>
    <xf numFmtId="0" fontId="7" fillId="0" borderId="0" xfId="0" applyFont="1"/>
    <xf numFmtId="0" fontId="12" fillId="6" borderId="0" xfId="3" applyFont="1"/>
    <xf numFmtId="0" fontId="13" fillId="5" borderId="0" xfId="2" applyFont="1"/>
    <xf numFmtId="0" fontId="14" fillId="7" borderId="0" xfId="4" applyFont="1"/>
    <xf numFmtId="0" fontId="0" fillId="0" borderId="0" xfId="0" applyFont="1"/>
    <xf numFmtId="0" fontId="15" fillId="8" borderId="2" xfId="5" applyFont="1"/>
    <xf numFmtId="0" fontId="16" fillId="0" borderId="0" xfId="0" applyFont="1"/>
    <xf numFmtId="0" fontId="2" fillId="0" borderId="0" xfId="0" applyFont="1" applyAlignment="1">
      <alignment horizontal="right"/>
    </xf>
    <xf numFmtId="0" fontId="0" fillId="0" borderId="3" xfId="0" applyFill="1" applyBorder="1"/>
  </cellXfs>
  <cellStyles count="6">
    <cellStyle name="Bad" xfId="3" builtinId="27"/>
    <cellStyle name="Calculation" xfId="5" builtinId="22"/>
    <cellStyle name="Good" xfId="2" builtinId="26"/>
    <cellStyle name="Heading 2" xfId="1" builtinId="17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1365-9B56-40DF-A209-002EDE8B0912}">
  <dimension ref="F2:G38"/>
  <sheetViews>
    <sheetView topLeftCell="A13" workbookViewId="0">
      <selection activeCell="F38" sqref="F38"/>
    </sheetView>
  </sheetViews>
  <sheetFormatPr defaultRowHeight="14.4" x14ac:dyDescent="0.55000000000000004"/>
  <cols>
    <col min="6" max="6" width="36.734375" customWidth="1"/>
    <col min="7" max="7" width="45.26171875" customWidth="1"/>
  </cols>
  <sheetData>
    <row r="2" spans="6:7" x14ac:dyDescent="0.55000000000000004">
      <c r="F2" s="2" t="s">
        <v>13</v>
      </c>
    </row>
    <row r="4" spans="6:7" x14ac:dyDescent="0.55000000000000004">
      <c r="F4" s="2" t="s">
        <v>14</v>
      </c>
      <c r="G4" t="s">
        <v>15</v>
      </c>
    </row>
    <row r="5" spans="6:7" x14ac:dyDescent="0.55000000000000004">
      <c r="F5" s="2" t="s">
        <v>16</v>
      </c>
      <c r="G5" t="s">
        <v>17</v>
      </c>
    </row>
    <row r="7" spans="6:7" x14ac:dyDescent="0.55000000000000004">
      <c r="F7" s="2" t="s">
        <v>18</v>
      </c>
    </row>
    <row r="9" spans="6:7" x14ac:dyDescent="0.55000000000000004">
      <c r="F9" t="s">
        <v>19</v>
      </c>
      <c r="G9">
        <v>2</v>
      </c>
    </row>
    <row r="10" spans="6:7" x14ac:dyDescent="0.55000000000000004">
      <c r="F10" t="s">
        <v>20</v>
      </c>
      <c r="G10" s="15" t="s">
        <v>21</v>
      </c>
    </row>
    <row r="11" spans="6:7" x14ac:dyDescent="0.55000000000000004">
      <c r="F11" t="s">
        <v>22</v>
      </c>
      <c r="G11" t="s">
        <v>23</v>
      </c>
    </row>
    <row r="12" spans="6:7" x14ac:dyDescent="0.55000000000000004">
      <c r="F12" t="s">
        <v>24</v>
      </c>
      <c r="G12" t="s">
        <v>25</v>
      </c>
    </row>
    <row r="13" spans="6:7" x14ac:dyDescent="0.55000000000000004">
      <c r="F13" t="s">
        <v>26</v>
      </c>
      <c r="G13" t="s">
        <v>25</v>
      </c>
    </row>
    <row r="14" spans="6:7" x14ac:dyDescent="0.55000000000000004">
      <c r="F14" t="s">
        <v>27</v>
      </c>
      <c r="G14" t="s">
        <v>28</v>
      </c>
    </row>
    <row r="17" spans="6:7" x14ac:dyDescent="0.55000000000000004">
      <c r="F17" s="2" t="s">
        <v>53</v>
      </c>
    </row>
    <row r="19" spans="6:7" x14ac:dyDescent="0.55000000000000004">
      <c r="F19" t="s">
        <v>29</v>
      </c>
      <c r="G19">
        <v>3</v>
      </c>
    </row>
    <row r="20" spans="6:7" x14ac:dyDescent="0.55000000000000004">
      <c r="F20" t="s">
        <v>30</v>
      </c>
      <c r="G20" t="s">
        <v>31</v>
      </c>
    </row>
    <row r="21" spans="6:7" x14ac:dyDescent="0.55000000000000004">
      <c r="F21" s="16" t="s">
        <v>32</v>
      </c>
      <c r="G21">
        <v>100</v>
      </c>
    </row>
    <row r="22" spans="6:7" x14ac:dyDescent="0.55000000000000004">
      <c r="F22" t="s">
        <v>33</v>
      </c>
      <c r="G22">
        <v>39</v>
      </c>
    </row>
    <row r="23" spans="6:7" x14ac:dyDescent="0.55000000000000004">
      <c r="F23" s="16" t="s">
        <v>34</v>
      </c>
      <c r="G23" s="16" t="s">
        <v>35</v>
      </c>
    </row>
    <row r="24" spans="6:7" x14ac:dyDescent="0.55000000000000004">
      <c r="F24" s="16" t="s">
        <v>36</v>
      </c>
      <c r="G24" t="s">
        <v>37</v>
      </c>
    </row>
    <row r="25" spans="6:7" x14ac:dyDescent="0.55000000000000004">
      <c r="F25" s="16" t="s">
        <v>38</v>
      </c>
      <c r="G25">
        <v>4</v>
      </c>
    </row>
    <row r="26" spans="6:7" x14ac:dyDescent="0.55000000000000004">
      <c r="F26" s="16" t="s">
        <v>39</v>
      </c>
      <c r="G26" t="s">
        <v>40</v>
      </c>
    </row>
    <row r="27" spans="6:7" x14ac:dyDescent="0.55000000000000004">
      <c r="F27" s="16" t="s">
        <v>41</v>
      </c>
      <c r="G27" t="s">
        <v>57</v>
      </c>
    </row>
    <row r="28" spans="6:7" x14ac:dyDescent="0.55000000000000004">
      <c r="F28" s="16" t="s">
        <v>42</v>
      </c>
      <c r="G28" t="s">
        <v>43</v>
      </c>
    </row>
    <row r="29" spans="6:7" x14ac:dyDescent="0.55000000000000004">
      <c r="F29" s="16" t="s">
        <v>54</v>
      </c>
      <c r="G29" t="s">
        <v>56</v>
      </c>
    </row>
    <row r="32" spans="6:7" x14ac:dyDescent="0.55000000000000004">
      <c r="F32" s="2" t="s">
        <v>44</v>
      </c>
    </row>
    <row r="34" spans="6:7" x14ac:dyDescent="0.55000000000000004">
      <c r="F34" t="s">
        <v>45</v>
      </c>
      <c r="G34" t="s">
        <v>55</v>
      </c>
    </row>
    <row r="35" spans="6:7" x14ac:dyDescent="0.55000000000000004">
      <c r="F35" t="s">
        <v>46</v>
      </c>
      <c r="G35" t="s">
        <v>58</v>
      </c>
    </row>
    <row r="36" spans="6:7" x14ac:dyDescent="0.55000000000000004">
      <c r="F36" t="s">
        <v>47</v>
      </c>
      <c r="G36" t="s">
        <v>48</v>
      </c>
    </row>
    <row r="37" spans="6:7" x14ac:dyDescent="0.55000000000000004">
      <c r="F37" t="s">
        <v>49</v>
      </c>
      <c r="G37" t="s">
        <v>52</v>
      </c>
    </row>
    <row r="38" spans="6:7" x14ac:dyDescent="0.55000000000000004">
      <c r="F38" t="s">
        <v>50</v>
      </c>
      <c r="G38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C443-7405-4190-8E52-F46377F871EE}">
  <dimension ref="C1:L29"/>
  <sheetViews>
    <sheetView workbookViewId="0">
      <selection activeCell="K1" sqref="K1"/>
    </sheetView>
  </sheetViews>
  <sheetFormatPr defaultRowHeight="14.4" x14ac:dyDescent="0.55000000000000004"/>
  <cols>
    <col min="3" max="3" width="8.7890625" bestFit="1" customWidth="1"/>
    <col min="4" max="4" width="19.7890625" bestFit="1" customWidth="1"/>
    <col min="5" max="5" width="12.7890625" customWidth="1"/>
    <col min="6" max="6" width="17.7890625" customWidth="1"/>
    <col min="9" max="9" width="11.578125" customWidth="1"/>
    <col min="10" max="10" width="12" customWidth="1"/>
    <col min="11" max="11" width="11.05078125" customWidth="1"/>
    <col min="12" max="12" width="11.1015625" customWidth="1"/>
  </cols>
  <sheetData>
    <row r="1" spans="3:12" ht="28.5" thickBot="1" x14ac:dyDescent="1.1000000000000001">
      <c r="F1" s="6" t="s">
        <v>70</v>
      </c>
      <c r="K1" s="22" t="s">
        <v>71</v>
      </c>
    </row>
    <row r="2" spans="3:12" ht="14.7" thickTop="1" x14ac:dyDescent="0.55000000000000004"/>
    <row r="4" spans="3:12" x14ac:dyDescent="0.55000000000000004">
      <c r="C4" s="2" t="s">
        <v>59</v>
      </c>
      <c r="I4" s="2" t="s">
        <v>68</v>
      </c>
    </row>
    <row r="6" spans="3:12" x14ac:dyDescent="0.55000000000000004">
      <c r="C6" s="2" t="s">
        <v>60</v>
      </c>
      <c r="D6" s="17" t="s">
        <v>61</v>
      </c>
      <c r="E6" s="18" t="s">
        <v>62</v>
      </c>
      <c r="F6" s="19" t="s">
        <v>63</v>
      </c>
      <c r="I6" s="2" t="s">
        <v>60</v>
      </c>
      <c r="J6" s="17" t="s">
        <v>61</v>
      </c>
      <c r="K6" s="18" t="s">
        <v>62</v>
      </c>
      <c r="L6" s="19" t="s">
        <v>63</v>
      </c>
    </row>
    <row r="7" spans="3:12" x14ac:dyDescent="0.55000000000000004">
      <c r="C7">
        <v>4</v>
      </c>
      <c r="D7">
        <v>13.84</v>
      </c>
      <c r="E7">
        <v>13.55</v>
      </c>
      <c r="F7">
        <v>14.132999999999999</v>
      </c>
      <c r="I7">
        <v>4</v>
      </c>
      <c r="J7">
        <f t="shared" ref="J7:L11" si="0">D25/D7</f>
        <v>0.3504335260115608</v>
      </c>
      <c r="K7">
        <f t="shared" si="0"/>
        <v>0.11808118081180809</v>
      </c>
      <c r="L7">
        <f t="shared" si="0"/>
        <v>8.2572702186372443E-2</v>
      </c>
    </row>
    <row r="8" spans="3:12" x14ac:dyDescent="0.55000000000000004">
      <c r="C8">
        <v>18</v>
      </c>
      <c r="D8">
        <v>44.55</v>
      </c>
      <c r="E8">
        <v>41.51</v>
      </c>
      <c r="F8">
        <v>46.8</v>
      </c>
      <c r="I8">
        <v>18</v>
      </c>
      <c r="J8">
        <f t="shared" si="0"/>
        <v>1.2648709315375986</v>
      </c>
      <c r="K8">
        <f t="shared" si="0"/>
        <v>0.13635268609973511</v>
      </c>
      <c r="L8">
        <f t="shared" si="0"/>
        <v>9.7863247863247987E-2</v>
      </c>
    </row>
    <row r="9" spans="3:12" x14ac:dyDescent="0.55000000000000004">
      <c r="C9">
        <v>30</v>
      </c>
      <c r="D9">
        <v>89.62</v>
      </c>
      <c r="E9">
        <v>88.12</v>
      </c>
      <c r="F9">
        <v>95.7</v>
      </c>
      <c r="I9">
        <v>30</v>
      </c>
      <c r="J9">
        <f t="shared" si="0"/>
        <v>1.1987279625083687</v>
      </c>
      <c r="K9">
        <f t="shared" si="0"/>
        <v>0.15013617793917372</v>
      </c>
      <c r="L9">
        <f t="shared" si="0"/>
        <v>0.22204806687565307</v>
      </c>
    </row>
    <row r="10" spans="3:12" x14ac:dyDescent="0.55000000000000004">
      <c r="C10">
        <v>41</v>
      </c>
      <c r="D10">
        <v>124.18</v>
      </c>
      <c r="E10">
        <v>122.69</v>
      </c>
      <c r="F10">
        <v>132.13999999999999</v>
      </c>
      <c r="I10">
        <v>41</v>
      </c>
      <c r="J10">
        <f t="shared" si="0"/>
        <v>1.2036559832501206</v>
      </c>
      <c r="K10">
        <f t="shared" si="0"/>
        <v>0.17800961773575683</v>
      </c>
      <c r="L10">
        <f t="shared" si="0"/>
        <v>0.27924928106553665</v>
      </c>
    </row>
    <row r="11" spans="3:12" x14ac:dyDescent="0.55000000000000004">
      <c r="C11">
        <v>49</v>
      </c>
      <c r="D11">
        <v>113.98</v>
      </c>
      <c r="E11">
        <v>110.19</v>
      </c>
      <c r="F11">
        <v>121.34</v>
      </c>
      <c r="I11">
        <v>49</v>
      </c>
      <c r="J11">
        <f t="shared" si="0"/>
        <v>1.6761712581154584</v>
      </c>
      <c r="K11">
        <f t="shared" si="0"/>
        <v>0.10436518740357564</v>
      </c>
      <c r="L11">
        <f t="shared" si="0"/>
        <v>0.16243612988297351</v>
      </c>
    </row>
    <row r="13" spans="3:12" x14ac:dyDescent="0.55000000000000004">
      <c r="C13" s="2" t="s">
        <v>7</v>
      </c>
      <c r="I13" s="21" t="s">
        <v>64</v>
      </c>
      <c r="J13" s="21">
        <f>AVERAGE(J7:J11)</f>
        <v>1.1387719322846213</v>
      </c>
      <c r="K13" s="21">
        <f>AVERAGE(K7:K11)</f>
        <v>0.1373889699980099</v>
      </c>
      <c r="L13" s="21">
        <f>AVERAGE(L7:L11)</f>
        <v>0.16883388557475673</v>
      </c>
    </row>
    <row r="14" spans="3:12" x14ac:dyDescent="0.55000000000000004">
      <c r="I14" s="21" t="s">
        <v>65</v>
      </c>
      <c r="J14" s="21">
        <f>J13*100</f>
        <v>113.87719322846212</v>
      </c>
      <c r="K14" s="21">
        <f>K13*100</f>
        <v>13.738896999800989</v>
      </c>
      <c r="L14" s="21">
        <f>L13*100</f>
        <v>16.883388557475673</v>
      </c>
    </row>
    <row r="15" spans="3:12" x14ac:dyDescent="0.55000000000000004">
      <c r="C15" s="2" t="s">
        <v>60</v>
      </c>
      <c r="D15" s="17" t="s">
        <v>61</v>
      </c>
      <c r="E15" s="18" t="s">
        <v>62</v>
      </c>
      <c r="F15" s="19" t="s">
        <v>63</v>
      </c>
    </row>
    <row r="16" spans="3:12" x14ac:dyDescent="0.55000000000000004">
      <c r="C16">
        <v>4</v>
      </c>
      <c r="D16">
        <v>18.690000000000001</v>
      </c>
      <c r="E16">
        <v>15.15</v>
      </c>
      <c r="F16" s="20">
        <v>15.3</v>
      </c>
    </row>
    <row r="17" spans="3:12" x14ac:dyDescent="0.55000000000000004">
      <c r="C17">
        <v>18</v>
      </c>
      <c r="D17">
        <v>100.9</v>
      </c>
      <c r="E17">
        <v>47.17</v>
      </c>
      <c r="F17">
        <v>51.38</v>
      </c>
    </row>
    <row r="18" spans="3:12" x14ac:dyDescent="0.55000000000000004">
      <c r="C18">
        <v>30</v>
      </c>
      <c r="D18">
        <v>197.05</v>
      </c>
      <c r="E18">
        <v>101.35</v>
      </c>
      <c r="F18">
        <v>116.95</v>
      </c>
      <c r="I18" s="2" t="s">
        <v>66</v>
      </c>
    </row>
    <row r="19" spans="3:12" x14ac:dyDescent="0.55000000000000004">
      <c r="C19">
        <v>41</v>
      </c>
      <c r="D19">
        <v>273.64999999999998</v>
      </c>
      <c r="E19">
        <v>144.53</v>
      </c>
      <c r="F19">
        <v>169.04</v>
      </c>
    </row>
    <row r="20" spans="3:12" x14ac:dyDescent="0.55000000000000004">
      <c r="C20">
        <v>49</v>
      </c>
      <c r="D20">
        <v>305.02999999999997</v>
      </c>
      <c r="E20">
        <v>121.69</v>
      </c>
      <c r="F20">
        <v>141.05000000000001</v>
      </c>
      <c r="I20" s="2" t="s">
        <v>60</v>
      </c>
      <c r="J20" s="17" t="s">
        <v>61</v>
      </c>
      <c r="K20" s="18" t="s">
        <v>62</v>
      </c>
      <c r="L20" s="19" t="s">
        <v>63</v>
      </c>
    </row>
    <row r="21" spans="3:12" x14ac:dyDescent="0.55000000000000004">
      <c r="I21">
        <v>4</v>
      </c>
      <c r="J21">
        <f>18.69/D16</f>
        <v>1</v>
      </c>
      <c r="K21">
        <f>18.69/E16</f>
        <v>1.2336633663366336</v>
      </c>
      <c r="L21">
        <f>18.69/F16</f>
        <v>1.2215686274509805</v>
      </c>
    </row>
    <row r="22" spans="3:12" x14ac:dyDescent="0.55000000000000004">
      <c r="C22" s="2" t="s">
        <v>67</v>
      </c>
      <c r="I22">
        <v>18</v>
      </c>
      <c r="J22">
        <f>100.9/D17</f>
        <v>1</v>
      </c>
      <c r="K22">
        <f>100.9/E17</f>
        <v>2.1390714437142253</v>
      </c>
      <c r="L22">
        <f>100.9/F17</f>
        <v>1.9637991436356559</v>
      </c>
    </row>
    <row r="23" spans="3:12" x14ac:dyDescent="0.55000000000000004">
      <c r="I23">
        <v>30</v>
      </c>
      <c r="J23">
        <f>197.05/D18</f>
        <v>1</v>
      </c>
      <c r="K23">
        <f>197.05/E18</f>
        <v>1.944252590034534</v>
      </c>
      <c r="L23">
        <f>197.05/F18</f>
        <v>1.6849080803762293</v>
      </c>
    </row>
    <row r="24" spans="3:12" x14ac:dyDescent="0.55000000000000004">
      <c r="C24" s="2" t="s">
        <v>60</v>
      </c>
      <c r="D24" s="17" t="s">
        <v>61</v>
      </c>
      <c r="E24" s="18" t="s">
        <v>62</v>
      </c>
      <c r="F24" s="19" t="s">
        <v>63</v>
      </c>
      <c r="I24">
        <v>41</v>
      </c>
      <c r="J24">
        <f>273.65/D19</f>
        <v>1</v>
      </c>
      <c r="K24">
        <f>273.65/E19</f>
        <v>1.8933785373278902</v>
      </c>
      <c r="L24">
        <f>273.65/F19</f>
        <v>1.6188476100331282</v>
      </c>
    </row>
    <row r="25" spans="3:12" x14ac:dyDescent="0.55000000000000004">
      <c r="C25">
        <v>4</v>
      </c>
      <c r="D25">
        <f t="shared" ref="D25:F29" si="1">D16-D7</f>
        <v>4.8500000000000014</v>
      </c>
      <c r="E25">
        <f t="shared" si="1"/>
        <v>1.5999999999999996</v>
      </c>
      <c r="F25">
        <f t="shared" si="1"/>
        <v>1.1670000000000016</v>
      </c>
      <c r="I25">
        <v>49</v>
      </c>
      <c r="J25">
        <f>305.03/D20</f>
        <v>1</v>
      </c>
      <c r="K25">
        <f>305.03/E20</f>
        <v>2.5066151696934833</v>
      </c>
      <c r="L25">
        <f>305.03/F20</f>
        <v>2.1625664657922719</v>
      </c>
    </row>
    <row r="26" spans="3:12" x14ac:dyDescent="0.55000000000000004">
      <c r="C26">
        <v>18</v>
      </c>
      <c r="D26">
        <f t="shared" si="1"/>
        <v>56.350000000000009</v>
      </c>
      <c r="E26">
        <f t="shared" si="1"/>
        <v>5.6600000000000037</v>
      </c>
      <c r="F26">
        <f t="shared" si="1"/>
        <v>4.5800000000000054</v>
      </c>
    </row>
    <row r="27" spans="3:12" x14ac:dyDescent="0.55000000000000004">
      <c r="C27">
        <v>30</v>
      </c>
      <c r="D27">
        <f t="shared" si="1"/>
        <v>107.43</v>
      </c>
      <c r="E27">
        <f t="shared" si="1"/>
        <v>13.22999999999999</v>
      </c>
      <c r="F27">
        <f t="shared" si="1"/>
        <v>21.25</v>
      </c>
      <c r="I27" s="21" t="s">
        <v>64</v>
      </c>
      <c r="J27" s="21">
        <f>AVERAGE(J21:J25)</f>
        <v>1</v>
      </c>
      <c r="K27" s="21">
        <f>AVERAGE(K21:K25)</f>
        <v>1.9433962214213529</v>
      </c>
      <c r="L27" s="21">
        <f>AVERAGE(L21:L25)</f>
        <v>1.7303379854576533</v>
      </c>
    </row>
    <row r="28" spans="3:12" x14ac:dyDescent="0.55000000000000004">
      <c r="C28">
        <v>41</v>
      </c>
      <c r="D28">
        <f t="shared" si="1"/>
        <v>149.46999999999997</v>
      </c>
      <c r="E28">
        <f t="shared" si="1"/>
        <v>21.840000000000003</v>
      </c>
      <c r="F28">
        <f t="shared" si="1"/>
        <v>36.900000000000006</v>
      </c>
      <c r="I28" s="21" t="s">
        <v>65</v>
      </c>
      <c r="J28" s="21">
        <f>J27*100</f>
        <v>100</v>
      </c>
      <c r="K28" s="21">
        <f>K27*100</f>
        <v>194.33962214213528</v>
      </c>
      <c r="L28" s="21">
        <f>L27*100</f>
        <v>173.03379854576534</v>
      </c>
    </row>
    <row r="29" spans="3:12" x14ac:dyDescent="0.55000000000000004">
      <c r="C29">
        <v>49</v>
      </c>
      <c r="D29">
        <f t="shared" si="1"/>
        <v>191.04999999999995</v>
      </c>
      <c r="E29">
        <f t="shared" si="1"/>
        <v>11.5</v>
      </c>
      <c r="F29">
        <f t="shared" si="1"/>
        <v>19.710000000000008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BCB2-126E-41B0-B29E-49CCB1AA2A48}">
  <dimension ref="A1:W56"/>
  <sheetViews>
    <sheetView tabSelected="1" zoomScale="99" zoomScaleNormal="99" workbookViewId="0">
      <selection activeCell="J10" sqref="J10"/>
    </sheetView>
  </sheetViews>
  <sheetFormatPr defaultRowHeight="14.4" x14ac:dyDescent="0.55000000000000004"/>
  <cols>
    <col min="2" max="2" width="19.83984375" bestFit="1" customWidth="1"/>
    <col min="5" max="5" width="12.68359375" bestFit="1" customWidth="1"/>
    <col min="7" max="7" width="8.15625" customWidth="1"/>
    <col min="10" max="10" width="19.83984375" bestFit="1" customWidth="1"/>
    <col min="18" max="18" width="16.9453125" bestFit="1" customWidth="1"/>
  </cols>
  <sheetData>
    <row r="1" spans="1:23" ht="28.5" thickBot="1" x14ac:dyDescent="1.1000000000000001">
      <c r="H1" s="6" t="s">
        <v>69</v>
      </c>
      <c r="O1" s="10"/>
      <c r="P1" s="10"/>
      <c r="Q1" s="10"/>
    </row>
    <row r="2" spans="1:23" ht="20.7" thickTop="1" x14ac:dyDescent="0.75">
      <c r="A2" s="2"/>
      <c r="M2" s="9" t="s">
        <v>73</v>
      </c>
    </row>
    <row r="3" spans="1:23" x14ac:dyDescent="0.55000000000000004">
      <c r="A3" s="2"/>
      <c r="B3" s="5" t="s">
        <v>9</v>
      </c>
      <c r="C3" s="3"/>
      <c r="D3" s="3"/>
      <c r="E3" s="3"/>
      <c r="F3" s="3"/>
      <c r="G3" s="3"/>
    </row>
    <row r="4" spans="1:23" x14ac:dyDescent="0.55000000000000004">
      <c r="B4" s="13" t="s">
        <v>11</v>
      </c>
      <c r="C4" s="12"/>
      <c r="D4" s="12"/>
      <c r="M4" s="2" t="s">
        <v>12</v>
      </c>
      <c r="P4" s="14"/>
      <c r="Q4" s="14"/>
      <c r="R4" s="14"/>
    </row>
    <row r="5" spans="1:23" x14ac:dyDescent="0.55000000000000004">
      <c r="A5" s="2"/>
      <c r="B5" s="8" t="s">
        <v>10</v>
      </c>
      <c r="C5" s="8"/>
      <c r="D5" s="8"/>
      <c r="E5" s="8"/>
      <c r="F5" s="8"/>
      <c r="G5" s="8"/>
      <c r="H5" s="8"/>
      <c r="I5" s="8"/>
      <c r="J5" s="7"/>
      <c r="M5" s="2" t="s">
        <v>72</v>
      </c>
    </row>
    <row r="6" spans="1:23" x14ac:dyDescent="0.55000000000000004">
      <c r="B6" s="11"/>
      <c r="C6" s="11"/>
      <c r="D6" s="11"/>
      <c r="E6" s="11"/>
      <c r="F6" s="11"/>
      <c r="G6" s="11"/>
      <c r="H6" s="11"/>
      <c r="I6" s="11"/>
      <c r="J6" s="4"/>
    </row>
    <row r="7" spans="1:23" x14ac:dyDescent="0.55000000000000004">
      <c r="B7" s="11"/>
      <c r="C7" s="11"/>
      <c r="D7" s="11"/>
      <c r="E7" s="11"/>
      <c r="F7" s="11"/>
      <c r="G7" s="11"/>
      <c r="H7" s="11"/>
      <c r="I7" s="11"/>
    </row>
    <row r="8" spans="1:23" ht="17.100000000000001" thickBot="1" x14ac:dyDescent="0.7">
      <c r="C8" s="1" t="s">
        <v>6</v>
      </c>
      <c r="K8" s="1" t="s">
        <v>7</v>
      </c>
      <c r="S8" s="1" t="s">
        <v>8</v>
      </c>
    </row>
    <row r="9" spans="1:23" ht="14.7" thickTop="1" x14ac:dyDescent="0.55000000000000004"/>
    <row r="10" spans="1:23" x14ac:dyDescent="0.55000000000000004">
      <c r="B10" s="2" t="s">
        <v>4</v>
      </c>
      <c r="C10" s="2">
        <v>1</v>
      </c>
      <c r="D10" s="2">
        <v>2</v>
      </c>
      <c r="E10" s="2">
        <v>4</v>
      </c>
      <c r="F10" s="2">
        <v>8</v>
      </c>
      <c r="G10" s="2">
        <v>16</v>
      </c>
      <c r="J10" s="2" t="s">
        <v>4</v>
      </c>
      <c r="K10" s="2">
        <v>1</v>
      </c>
      <c r="L10" s="2">
        <v>2</v>
      </c>
      <c r="M10" s="2">
        <v>4</v>
      </c>
      <c r="N10" s="2">
        <v>8</v>
      </c>
      <c r="O10" s="2">
        <v>16</v>
      </c>
      <c r="R10" s="2" t="s">
        <v>4</v>
      </c>
      <c r="S10" s="2">
        <v>1</v>
      </c>
      <c r="T10" s="2">
        <v>2</v>
      </c>
      <c r="U10" s="2">
        <v>4</v>
      </c>
      <c r="V10" s="2">
        <v>8</v>
      </c>
      <c r="W10" s="2">
        <v>16</v>
      </c>
    </row>
    <row r="11" spans="1:23" x14ac:dyDescent="0.55000000000000004">
      <c r="B11" s="2">
        <v>4</v>
      </c>
      <c r="C11" s="12">
        <v>264.17399999999998</v>
      </c>
      <c r="D11">
        <v>138.51400000000001</v>
      </c>
      <c r="E11">
        <v>59.9</v>
      </c>
      <c r="F11">
        <v>29.45</v>
      </c>
      <c r="G11">
        <v>13.55</v>
      </c>
      <c r="J11" s="2">
        <v>4</v>
      </c>
      <c r="K11" s="12">
        <v>264.17399999999998</v>
      </c>
      <c r="L11">
        <v>142.57400000000001</v>
      </c>
      <c r="M11">
        <v>64.36</v>
      </c>
      <c r="N11">
        <v>30.93</v>
      </c>
      <c r="O11">
        <v>15.15</v>
      </c>
      <c r="R11" s="2">
        <v>4</v>
      </c>
      <c r="S11" s="12">
        <v>359.88799999999998</v>
      </c>
      <c r="T11">
        <v>190.96</v>
      </c>
      <c r="U11">
        <v>107.9</v>
      </c>
      <c r="V11">
        <v>68.662000000000006</v>
      </c>
      <c r="W11">
        <v>59.003999999999998</v>
      </c>
    </row>
    <row r="12" spans="1:23" x14ac:dyDescent="0.55000000000000004">
      <c r="B12" s="2">
        <v>18</v>
      </c>
      <c r="C12" s="7" t="s">
        <v>5</v>
      </c>
      <c r="D12">
        <v>380.84100000000001</v>
      </c>
      <c r="E12">
        <v>196.268</v>
      </c>
      <c r="F12">
        <v>95.281000000000006</v>
      </c>
      <c r="G12">
        <v>41.51</v>
      </c>
      <c r="J12" s="2">
        <v>18</v>
      </c>
      <c r="K12" s="7" t="s">
        <v>5</v>
      </c>
      <c r="L12">
        <v>390.84100000000001</v>
      </c>
      <c r="M12">
        <v>203.03800000000001</v>
      </c>
      <c r="N12">
        <v>103.279</v>
      </c>
      <c r="O12">
        <v>47.17</v>
      </c>
      <c r="R12" s="2">
        <v>18</v>
      </c>
      <c r="S12" s="7" t="s">
        <v>5</v>
      </c>
      <c r="T12">
        <v>487.60500000000002</v>
      </c>
      <c r="U12">
        <v>281.60899999999998</v>
      </c>
      <c r="V12">
        <v>169.93199999999999</v>
      </c>
      <c r="W12">
        <v>118.5</v>
      </c>
    </row>
    <row r="13" spans="1:23" x14ac:dyDescent="0.55000000000000004">
      <c r="B13" s="2">
        <v>30</v>
      </c>
      <c r="C13" s="7" t="s">
        <v>5</v>
      </c>
      <c r="D13" s="7" t="s">
        <v>5</v>
      </c>
      <c r="E13">
        <v>359.03699999999998</v>
      </c>
      <c r="F13">
        <v>182.47200000000001</v>
      </c>
      <c r="G13">
        <v>88.12</v>
      </c>
      <c r="J13" s="2">
        <v>30</v>
      </c>
      <c r="K13" s="7" t="s">
        <v>5</v>
      </c>
      <c r="L13" s="7" t="s">
        <v>5</v>
      </c>
      <c r="M13">
        <v>387.291</v>
      </c>
      <c r="N13">
        <v>215.304</v>
      </c>
      <c r="O13">
        <v>101.35</v>
      </c>
      <c r="R13" s="2">
        <v>30</v>
      </c>
      <c r="S13" s="7" t="s">
        <v>5</v>
      </c>
      <c r="T13" s="7" t="s">
        <v>5</v>
      </c>
      <c r="U13">
        <v>517.15200000000004</v>
      </c>
      <c r="V13">
        <v>326.29300000000001</v>
      </c>
      <c r="W13">
        <v>199.00899999999999</v>
      </c>
    </row>
    <row r="14" spans="1:23" x14ac:dyDescent="0.55000000000000004">
      <c r="B14" s="2">
        <v>41</v>
      </c>
      <c r="C14" s="7" t="s">
        <v>5</v>
      </c>
      <c r="D14" s="7" t="s">
        <v>5</v>
      </c>
      <c r="E14">
        <v>486.42500000000001</v>
      </c>
      <c r="F14">
        <v>240.05</v>
      </c>
      <c r="G14">
        <v>122.69</v>
      </c>
      <c r="J14" s="2">
        <v>41</v>
      </c>
      <c r="K14" s="7" t="s">
        <v>5</v>
      </c>
      <c r="L14" s="7" t="s">
        <v>5</v>
      </c>
      <c r="M14">
        <v>528.42499999999995</v>
      </c>
      <c r="N14">
        <v>279.93</v>
      </c>
      <c r="O14">
        <v>144.53</v>
      </c>
      <c r="R14" s="2">
        <v>41</v>
      </c>
      <c r="S14" s="7" t="s">
        <v>5</v>
      </c>
      <c r="T14" s="7" t="s">
        <v>5</v>
      </c>
      <c r="U14">
        <v>696.33900000000006</v>
      </c>
      <c r="V14">
        <v>415.68599999999998</v>
      </c>
      <c r="W14">
        <v>263.37099999999998</v>
      </c>
    </row>
    <row r="15" spans="1:23" x14ac:dyDescent="0.55000000000000004">
      <c r="B15" s="2">
        <v>49</v>
      </c>
      <c r="C15" s="7" t="s">
        <v>5</v>
      </c>
      <c r="D15" s="7" t="s">
        <v>5</v>
      </c>
      <c r="E15">
        <v>422.03199999999998</v>
      </c>
      <c r="F15">
        <v>205.57499999999999</v>
      </c>
      <c r="G15">
        <v>110.19</v>
      </c>
      <c r="J15" s="2">
        <v>49</v>
      </c>
      <c r="K15" s="7" t="s">
        <v>5</v>
      </c>
      <c r="L15" s="7" t="s">
        <v>5</v>
      </c>
      <c r="M15">
        <v>450.44200000000001</v>
      </c>
      <c r="N15">
        <v>218.46</v>
      </c>
      <c r="O15">
        <v>121.69</v>
      </c>
      <c r="R15" s="2">
        <v>49</v>
      </c>
      <c r="S15" s="7" t="s">
        <v>5</v>
      </c>
      <c r="T15" s="7" t="s">
        <v>5</v>
      </c>
      <c r="U15">
        <v>608.07799999999997</v>
      </c>
      <c r="V15">
        <v>350.01299999999998</v>
      </c>
      <c r="W15">
        <v>252.06299999999999</v>
      </c>
    </row>
    <row r="16" spans="1:23" x14ac:dyDescent="0.55000000000000004">
      <c r="J16" s="2"/>
      <c r="R16" s="2"/>
    </row>
    <row r="17" spans="2:23" x14ac:dyDescent="0.55000000000000004">
      <c r="J17" s="2"/>
      <c r="R17" s="2"/>
    </row>
    <row r="18" spans="2:23" x14ac:dyDescent="0.55000000000000004">
      <c r="J18" s="2"/>
      <c r="R18" s="2"/>
    </row>
    <row r="19" spans="2:23" ht="17.100000000000001" thickBot="1" x14ac:dyDescent="0.7">
      <c r="C19" s="1" t="s">
        <v>0</v>
      </c>
      <c r="J19" s="2" t="s">
        <v>74</v>
      </c>
      <c r="K19" s="1" t="s">
        <v>1</v>
      </c>
      <c r="R19" s="2"/>
      <c r="S19" s="1" t="s">
        <v>0</v>
      </c>
    </row>
    <row r="20" spans="2:23" ht="14.7" thickTop="1" x14ac:dyDescent="0.55000000000000004">
      <c r="J20" s="2"/>
      <c r="R20" s="2"/>
    </row>
    <row r="21" spans="2:23" x14ac:dyDescent="0.55000000000000004">
      <c r="B21" s="2" t="s">
        <v>4</v>
      </c>
      <c r="C21" s="2">
        <v>1</v>
      </c>
      <c r="D21" s="2">
        <v>2</v>
      </c>
      <c r="E21" s="2">
        <v>4</v>
      </c>
      <c r="F21" s="2">
        <v>8</v>
      </c>
      <c r="G21" s="2">
        <v>16</v>
      </c>
      <c r="H21" s="2"/>
      <c r="I21" s="2"/>
      <c r="J21" s="2" t="s">
        <v>4</v>
      </c>
      <c r="K21" s="2">
        <v>1</v>
      </c>
      <c r="L21" s="2">
        <v>2</v>
      </c>
      <c r="M21" s="2">
        <v>4</v>
      </c>
      <c r="N21" s="2">
        <v>8</v>
      </c>
      <c r="O21" s="2">
        <v>16</v>
      </c>
      <c r="P21" s="2"/>
      <c r="Q21" s="2"/>
      <c r="R21" s="2" t="s">
        <v>4</v>
      </c>
      <c r="S21" s="2">
        <v>1</v>
      </c>
      <c r="T21" s="2">
        <v>2</v>
      </c>
      <c r="U21" s="2">
        <v>4</v>
      </c>
      <c r="V21" s="2">
        <v>8</v>
      </c>
      <c r="W21" s="2">
        <v>16</v>
      </c>
    </row>
    <row r="22" spans="2:23" x14ac:dyDescent="0.55000000000000004">
      <c r="B22" s="2">
        <v>4</v>
      </c>
      <c r="C22" s="12">
        <v>1</v>
      </c>
      <c r="D22">
        <f>264.174/D11</f>
        <v>1.9072007161730942</v>
      </c>
      <c r="E22">
        <f t="shared" ref="E22:G22" si="0">264.174/E11</f>
        <v>4.4102504173622705</v>
      </c>
      <c r="F22">
        <f t="shared" si="0"/>
        <v>8.9702546689303908</v>
      </c>
      <c r="G22">
        <f t="shared" si="0"/>
        <v>19.496236162361622</v>
      </c>
      <c r="J22" s="2">
        <v>4</v>
      </c>
      <c r="K22" s="12">
        <v>1</v>
      </c>
      <c r="L22">
        <f>264.174/L11</f>
        <v>1.8528904288299406</v>
      </c>
      <c r="M22">
        <f t="shared" ref="M22:O22" si="1">264.174/M11</f>
        <v>4.104630205096333</v>
      </c>
      <c r="N22">
        <f t="shared" si="1"/>
        <v>8.5410281280310372</v>
      </c>
      <c r="O22">
        <f t="shared" si="1"/>
        <v>17.437227722772274</v>
      </c>
      <c r="R22" s="2">
        <v>4</v>
      </c>
      <c r="S22" s="12">
        <v>1</v>
      </c>
      <c r="T22">
        <f>359.888/T11</f>
        <v>1.8846250523669876</v>
      </c>
      <c r="U22">
        <f t="shared" ref="U22:W22" si="2">359.888/U11</f>
        <v>3.3353846153846152</v>
      </c>
      <c r="V22">
        <f t="shared" si="2"/>
        <v>5.2414435932539094</v>
      </c>
      <c r="W22">
        <f t="shared" si="2"/>
        <v>6.0993830926716832</v>
      </c>
    </row>
    <row r="23" spans="2:23" x14ac:dyDescent="0.55000000000000004">
      <c r="B23" s="2">
        <v>18</v>
      </c>
      <c r="C23" s="7" t="s">
        <v>5</v>
      </c>
      <c r="D23" s="3">
        <f>380.841*2/D12</f>
        <v>2</v>
      </c>
      <c r="E23">
        <f t="shared" ref="E23:G23" si="3">380.841*2/E12</f>
        <v>3.8808262172131984</v>
      </c>
      <c r="F23">
        <f t="shared" si="3"/>
        <v>7.9940596761159091</v>
      </c>
      <c r="G23">
        <f t="shared" si="3"/>
        <v>18.349361599614554</v>
      </c>
      <c r="J23" s="2">
        <v>18</v>
      </c>
      <c r="K23" s="7" t="s">
        <v>5</v>
      </c>
      <c r="L23" s="3">
        <f>390.841*2/L12</f>
        <v>2</v>
      </c>
      <c r="M23">
        <f t="shared" ref="M23:O23" si="4">390.841*2/M12</f>
        <v>3.849929569834218</v>
      </c>
      <c r="N23">
        <f t="shared" si="4"/>
        <v>7.5686441580573014</v>
      </c>
      <c r="O23">
        <f t="shared" si="4"/>
        <v>16.571592113631546</v>
      </c>
      <c r="R23" s="2">
        <v>18</v>
      </c>
      <c r="S23" s="7" t="s">
        <v>5</v>
      </c>
      <c r="T23" s="3">
        <f>487.605*2/T12</f>
        <v>2</v>
      </c>
      <c r="U23">
        <f t="shared" ref="U23:W23" si="5">487.605*2/U12</f>
        <v>3.4629930151380108</v>
      </c>
      <c r="V23">
        <f t="shared" si="5"/>
        <v>5.7388249417414032</v>
      </c>
      <c r="W23">
        <f t="shared" si="5"/>
        <v>8.2296202531645566</v>
      </c>
    </row>
    <row r="24" spans="2:23" x14ac:dyDescent="0.55000000000000004">
      <c r="B24" s="2">
        <v>30</v>
      </c>
      <c r="C24" s="7" t="s">
        <v>5</v>
      </c>
      <c r="D24" s="7" t="s">
        <v>5</v>
      </c>
      <c r="E24" s="3">
        <f>359.037*4/E13</f>
        <v>4</v>
      </c>
      <c r="F24">
        <f t="shared" ref="F24:G24" si="6">359.037*4/F13</f>
        <v>7.8705116401420483</v>
      </c>
      <c r="G24">
        <f t="shared" si="6"/>
        <v>16.297639582387653</v>
      </c>
      <c r="J24" s="2">
        <v>30</v>
      </c>
      <c r="K24" s="7" t="s">
        <v>5</v>
      </c>
      <c r="L24" s="7" t="s">
        <v>5</v>
      </c>
      <c r="M24" s="3">
        <f>387.291*4/M13</f>
        <v>4</v>
      </c>
      <c r="N24">
        <f t="shared" ref="N24:O24" si="7">387.291*4/N13</f>
        <v>7.1952402184817741</v>
      </c>
      <c r="O24">
        <f t="shared" si="7"/>
        <v>15.285288603848052</v>
      </c>
      <c r="R24" s="2">
        <v>30</v>
      </c>
      <c r="S24" s="7" t="s">
        <v>5</v>
      </c>
      <c r="T24" s="7" t="s">
        <v>5</v>
      </c>
      <c r="U24" s="3">
        <f>517.152*4/U13</f>
        <v>4</v>
      </c>
      <c r="V24">
        <f t="shared" ref="V24:W24" si="8">517.152*4/V13</f>
        <v>6.3397253388825385</v>
      </c>
      <c r="W24">
        <f t="shared" si="8"/>
        <v>10.394544970327976</v>
      </c>
    </row>
    <row r="25" spans="2:23" x14ac:dyDescent="0.55000000000000004">
      <c r="B25" s="2">
        <v>41</v>
      </c>
      <c r="C25" s="7" t="s">
        <v>5</v>
      </c>
      <c r="D25" s="7" t="s">
        <v>5</v>
      </c>
      <c r="E25" s="3">
        <f>486.425*4/E14</f>
        <v>4</v>
      </c>
      <c r="F25">
        <f t="shared" ref="F25:G25" si="9">486.425*4/F14</f>
        <v>8.1053947094355348</v>
      </c>
      <c r="G25">
        <f t="shared" si="9"/>
        <v>15.858668188116392</v>
      </c>
      <c r="J25" s="2">
        <v>41</v>
      </c>
      <c r="K25" s="7" t="s">
        <v>5</v>
      </c>
      <c r="L25" s="7" t="s">
        <v>5</v>
      </c>
      <c r="M25" s="3">
        <f>528.425*4/M14</f>
        <v>4</v>
      </c>
      <c r="N25">
        <f t="shared" ref="N25:O25" si="10">528.425*4/N14</f>
        <v>7.5508162754974446</v>
      </c>
      <c r="O25">
        <f t="shared" si="10"/>
        <v>14.624645402338613</v>
      </c>
      <c r="R25" s="2">
        <v>41</v>
      </c>
      <c r="S25" s="7" t="s">
        <v>5</v>
      </c>
      <c r="T25" s="7" t="s">
        <v>5</v>
      </c>
      <c r="U25" s="3">
        <f>696.339*4/U14</f>
        <v>4</v>
      </c>
      <c r="V25">
        <f t="shared" ref="V25:W25" si="11">696.339*4/V14</f>
        <v>6.7006249909787687</v>
      </c>
      <c r="W25">
        <f t="shared" si="11"/>
        <v>10.575788526451282</v>
      </c>
    </row>
    <row r="26" spans="2:23" x14ac:dyDescent="0.55000000000000004">
      <c r="B26" s="2">
        <v>49</v>
      </c>
      <c r="C26" s="7" t="s">
        <v>5</v>
      </c>
      <c r="D26" s="7" t="s">
        <v>5</v>
      </c>
      <c r="E26" s="3">
        <f>422.032*4/E15</f>
        <v>4</v>
      </c>
      <c r="F26">
        <f t="shared" ref="F26:G26" si="12">422.032*4/F15</f>
        <v>8.2117378085856743</v>
      </c>
      <c r="G26">
        <f t="shared" si="12"/>
        <v>15.320156094019421</v>
      </c>
      <c r="J26" s="2">
        <v>49</v>
      </c>
      <c r="K26" s="7" t="s">
        <v>5</v>
      </c>
      <c r="L26" s="7" t="s">
        <v>5</v>
      </c>
      <c r="M26" s="3">
        <f>450.442*4/M15</f>
        <v>4</v>
      </c>
      <c r="N26">
        <f t="shared" ref="N26:O26" si="13">450.442*4/N15</f>
        <v>8.2475876590680208</v>
      </c>
      <c r="O26">
        <f t="shared" si="13"/>
        <v>14.806212507190402</v>
      </c>
      <c r="R26" s="2">
        <v>49</v>
      </c>
      <c r="S26" s="7" t="s">
        <v>5</v>
      </c>
      <c r="T26" s="7" t="s">
        <v>5</v>
      </c>
      <c r="U26" s="3">
        <f>608.078*4/U15</f>
        <v>4</v>
      </c>
      <c r="V26">
        <f t="shared" ref="V26:W26" si="14">608.078*4/V15</f>
        <v>6.9492047438238007</v>
      </c>
      <c r="W26">
        <f t="shared" si="14"/>
        <v>9.6496193411964466</v>
      </c>
    </row>
    <row r="27" spans="2:23" x14ac:dyDescent="0.55000000000000004">
      <c r="B27" s="2"/>
    </row>
    <row r="28" spans="2:23" x14ac:dyDescent="0.55000000000000004">
      <c r="B28" s="2"/>
    </row>
    <row r="29" spans="2:23" ht="17.100000000000001" thickBot="1" x14ac:dyDescent="0.7">
      <c r="B29" s="2"/>
      <c r="C29" s="1" t="s">
        <v>2</v>
      </c>
      <c r="J29" s="2" t="s">
        <v>74</v>
      </c>
      <c r="K29" s="1" t="s">
        <v>3</v>
      </c>
      <c r="S29" s="1" t="s">
        <v>2</v>
      </c>
    </row>
    <row r="30" spans="2:23" ht="14.7" thickTop="1" x14ac:dyDescent="0.55000000000000004">
      <c r="B30" s="2"/>
    </row>
    <row r="31" spans="2:23" x14ac:dyDescent="0.55000000000000004">
      <c r="B31" s="2" t="s">
        <v>4</v>
      </c>
      <c r="C31" s="2">
        <v>1</v>
      </c>
      <c r="D31" s="2">
        <v>2</v>
      </c>
      <c r="E31" s="2">
        <v>4</v>
      </c>
      <c r="F31" s="2">
        <v>8</v>
      </c>
      <c r="G31" s="2">
        <v>16</v>
      </c>
      <c r="H31" s="2"/>
      <c r="I31" s="2"/>
      <c r="J31" s="2" t="s">
        <v>4</v>
      </c>
      <c r="K31" s="2">
        <v>1</v>
      </c>
      <c r="L31" s="2">
        <v>2</v>
      </c>
      <c r="M31" s="2">
        <v>4</v>
      </c>
      <c r="N31" s="2">
        <v>8</v>
      </c>
      <c r="O31" s="2">
        <v>16</v>
      </c>
      <c r="P31" s="23" t="s">
        <v>64</v>
      </c>
      <c r="Q31" s="2"/>
      <c r="R31" s="2" t="s">
        <v>4</v>
      </c>
      <c r="S31" s="2">
        <v>1</v>
      </c>
      <c r="T31" s="2">
        <v>2</v>
      </c>
      <c r="U31" s="2">
        <v>4</v>
      </c>
      <c r="V31" s="2">
        <v>8</v>
      </c>
      <c r="W31" s="2">
        <v>16</v>
      </c>
    </row>
    <row r="32" spans="2:23" x14ac:dyDescent="0.55000000000000004">
      <c r="B32" s="2">
        <v>4</v>
      </c>
      <c r="C32">
        <v>1</v>
      </c>
      <c r="D32">
        <f>D22/D31</f>
        <v>0.95360035808654708</v>
      </c>
      <c r="E32">
        <f t="shared" ref="E32:G32" si="15">E22/E31</f>
        <v>1.1025626043405676</v>
      </c>
      <c r="F32">
        <f t="shared" si="15"/>
        <v>1.1212818336162989</v>
      </c>
      <c r="G32">
        <f t="shared" si="15"/>
        <v>1.2185147601476014</v>
      </c>
      <c r="J32" s="2">
        <v>4</v>
      </c>
      <c r="K32" s="4">
        <v>1</v>
      </c>
      <c r="L32">
        <f>L22/L31</f>
        <v>0.9264452144149703</v>
      </c>
      <c r="M32">
        <f t="shared" ref="M32:O32" si="16">M22/M31</f>
        <v>1.0261575512740833</v>
      </c>
      <c r="N32">
        <f t="shared" si="16"/>
        <v>1.0676285160038796</v>
      </c>
      <c r="O32">
        <f t="shared" si="16"/>
        <v>1.0898267326732671</v>
      </c>
      <c r="P32">
        <f>AVERAGE(L32:O32)</f>
        <v>1.0275145035915501</v>
      </c>
      <c r="R32" s="2">
        <v>4</v>
      </c>
      <c r="S32">
        <v>1</v>
      </c>
      <c r="T32">
        <f>T22/T31</f>
        <v>0.94231252618349381</v>
      </c>
      <c r="U32">
        <f t="shared" ref="U32:W32" si="17">U22/U31</f>
        <v>0.83384615384615379</v>
      </c>
      <c r="V32">
        <f t="shared" si="17"/>
        <v>0.65518044915673868</v>
      </c>
      <c r="W32">
        <f t="shared" si="17"/>
        <v>0.3812114432919802</v>
      </c>
    </row>
    <row r="33" spans="2:23" x14ac:dyDescent="0.55000000000000004">
      <c r="B33" s="2">
        <v>18</v>
      </c>
      <c r="C33" s="7" t="s">
        <v>5</v>
      </c>
      <c r="D33" s="3">
        <f>D23/D31</f>
        <v>1</v>
      </c>
      <c r="E33">
        <f t="shared" ref="E33:G33" si="18">E23/E31</f>
        <v>0.97020655430329961</v>
      </c>
      <c r="F33">
        <f t="shared" si="18"/>
        <v>0.99925745951448863</v>
      </c>
      <c r="G33">
        <f t="shared" si="18"/>
        <v>1.1468350999759096</v>
      </c>
      <c r="J33" s="2">
        <v>18</v>
      </c>
      <c r="K33" s="7" t="s">
        <v>5</v>
      </c>
      <c r="L33" s="3">
        <f>L23/L31</f>
        <v>1</v>
      </c>
      <c r="M33">
        <f t="shared" ref="M33:O33" si="19">M23/M31</f>
        <v>0.96248239245855449</v>
      </c>
      <c r="N33">
        <f t="shared" si="19"/>
        <v>0.94608051975716267</v>
      </c>
      <c r="O33">
        <f t="shared" si="19"/>
        <v>1.0357245071019716</v>
      </c>
      <c r="P33">
        <f>AVERAGE(M33:O33)</f>
        <v>0.98142913977256285</v>
      </c>
      <c r="R33" s="2">
        <v>18</v>
      </c>
      <c r="S33" s="7" t="s">
        <v>5</v>
      </c>
      <c r="T33" s="3">
        <f>T23/T31</f>
        <v>1</v>
      </c>
      <c r="U33">
        <f t="shared" ref="U33:W33" si="20">U23/U31</f>
        <v>0.86574825378450271</v>
      </c>
      <c r="V33">
        <f t="shared" si="20"/>
        <v>0.7173531177176754</v>
      </c>
      <c r="W33">
        <f t="shared" si="20"/>
        <v>0.51435126582278479</v>
      </c>
    </row>
    <row r="34" spans="2:23" x14ac:dyDescent="0.55000000000000004">
      <c r="B34" s="2">
        <v>30</v>
      </c>
      <c r="C34" s="7" t="s">
        <v>5</v>
      </c>
      <c r="D34" s="7" t="s">
        <v>5</v>
      </c>
      <c r="E34" s="3">
        <f>E24/E31</f>
        <v>1</v>
      </c>
      <c r="F34">
        <f t="shared" ref="F34:G34" si="21">F24/F31</f>
        <v>0.98381395501775604</v>
      </c>
      <c r="G34">
        <f t="shared" si="21"/>
        <v>1.0186024738992283</v>
      </c>
      <c r="J34" s="2">
        <v>30</v>
      </c>
      <c r="K34" s="7" t="s">
        <v>5</v>
      </c>
      <c r="L34" s="7" t="s">
        <v>5</v>
      </c>
      <c r="M34" s="3">
        <f>M24/M31</f>
        <v>1</v>
      </c>
      <c r="N34">
        <f t="shared" ref="N34:O34" si="22">N24/N31</f>
        <v>0.89940502731022176</v>
      </c>
      <c r="O34">
        <f t="shared" si="22"/>
        <v>0.95533053774050325</v>
      </c>
      <c r="P34">
        <f>AVERAGE(N34:O34)</f>
        <v>0.92736778252536256</v>
      </c>
      <c r="R34" s="2">
        <v>30</v>
      </c>
      <c r="S34" s="7" t="s">
        <v>5</v>
      </c>
      <c r="T34" s="7" t="s">
        <v>5</v>
      </c>
      <c r="U34" s="3">
        <f>U24/U31</f>
        <v>1</v>
      </c>
      <c r="V34">
        <f t="shared" ref="V34:W34" si="23">V24/V31</f>
        <v>0.79246566736031732</v>
      </c>
      <c r="W34">
        <f t="shared" si="23"/>
        <v>0.6496590606454985</v>
      </c>
    </row>
    <row r="35" spans="2:23" x14ac:dyDescent="0.55000000000000004">
      <c r="B35" s="2">
        <v>41</v>
      </c>
      <c r="C35" s="7" t="s">
        <v>5</v>
      </c>
      <c r="D35" s="7" t="s">
        <v>5</v>
      </c>
      <c r="E35" s="3">
        <f>E25/E31</f>
        <v>1</v>
      </c>
      <c r="F35">
        <f t="shared" ref="F35:G35" si="24">F25/F31</f>
        <v>1.0131743386794418</v>
      </c>
      <c r="G35">
        <f t="shared" si="24"/>
        <v>0.99116676175727447</v>
      </c>
      <c r="J35" s="2">
        <v>41</v>
      </c>
      <c r="K35" s="7" t="s">
        <v>5</v>
      </c>
      <c r="L35" s="7" t="s">
        <v>5</v>
      </c>
      <c r="M35" s="3">
        <f>M25/M31</f>
        <v>1</v>
      </c>
      <c r="N35">
        <f t="shared" ref="N35:O35" si="25">N25/N31</f>
        <v>0.94385203443718058</v>
      </c>
      <c r="O35">
        <f t="shared" si="25"/>
        <v>0.91404033764616333</v>
      </c>
      <c r="P35">
        <f t="shared" ref="P35:P36" si="26">AVERAGE(N35:O35)</f>
        <v>0.9289461860416719</v>
      </c>
      <c r="R35" s="2">
        <v>41</v>
      </c>
      <c r="S35" s="7" t="s">
        <v>5</v>
      </c>
      <c r="T35" s="7" t="s">
        <v>5</v>
      </c>
      <c r="U35" s="3">
        <f>U25/U31</f>
        <v>1</v>
      </c>
      <c r="V35">
        <f t="shared" ref="V35:W35" si="27">V25/V31</f>
        <v>0.83757812387234609</v>
      </c>
      <c r="W35">
        <f t="shared" si="27"/>
        <v>0.66098678290320512</v>
      </c>
    </row>
    <row r="36" spans="2:23" x14ac:dyDescent="0.55000000000000004">
      <c r="B36" s="2">
        <v>49</v>
      </c>
      <c r="C36" s="7" t="s">
        <v>5</v>
      </c>
      <c r="D36" s="7" t="s">
        <v>5</v>
      </c>
      <c r="E36" s="3">
        <f>E26/E31</f>
        <v>1</v>
      </c>
      <c r="F36">
        <f t="shared" ref="F36:G36" si="28">F26/F31</f>
        <v>1.0264672260732093</v>
      </c>
      <c r="G36">
        <f t="shared" si="28"/>
        <v>0.95750975587621379</v>
      </c>
      <c r="J36" s="2">
        <v>49</v>
      </c>
      <c r="K36" s="7" t="s">
        <v>5</v>
      </c>
      <c r="L36" s="7" t="s">
        <v>5</v>
      </c>
      <c r="M36" s="3">
        <f>M26/M31</f>
        <v>1</v>
      </c>
      <c r="N36">
        <f t="shared" ref="N36:O36" si="29">N26/N31</f>
        <v>1.0309484573835026</v>
      </c>
      <c r="O36">
        <f t="shared" si="29"/>
        <v>0.92538828169940013</v>
      </c>
      <c r="P36">
        <f t="shared" si="26"/>
        <v>0.97816836954145137</v>
      </c>
      <c r="R36" s="2">
        <v>49</v>
      </c>
      <c r="S36" s="7" t="s">
        <v>5</v>
      </c>
      <c r="T36" s="7" t="s">
        <v>5</v>
      </c>
      <c r="U36" s="3">
        <f>U26/U31</f>
        <v>1</v>
      </c>
      <c r="V36">
        <f t="shared" ref="V36:W36" si="30">V26/V31</f>
        <v>0.86865059297797509</v>
      </c>
      <c r="W36">
        <f t="shared" si="30"/>
        <v>0.60310120882477791</v>
      </c>
    </row>
    <row r="39" spans="2:23" ht="17.100000000000001" thickBot="1" x14ac:dyDescent="0.7">
      <c r="J39" s="2" t="s">
        <v>75</v>
      </c>
      <c r="K39" s="1" t="s">
        <v>1</v>
      </c>
    </row>
    <row r="40" spans="2:23" ht="14.7" thickTop="1" x14ac:dyDescent="0.55000000000000004"/>
    <row r="41" spans="2:23" x14ac:dyDescent="0.55000000000000004">
      <c r="J41" s="2" t="s">
        <v>4</v>
      </c>
      <c r="K41" s="2">
        <v>1</v>
      </c>
      <c r="L41" s="2">
        <v>2</v>
      </c>
      <c r="M41" s="2">
        <v>4</v>
      </c>
      <c r="N41" s="2">
        <v>8</v>
      </c>
      <c r="O41" s="2">
        <v>16</v>
      </c>
    </row>
    <row r="42" spans="2:23" x14ac:dyDescent="0.55000000000000004">
      <c r="J42" s="2">
        <v>4</v>
      </c>
      <c r="K42" s="12">
        <v>1</v>
      </c>
      <c r="L42">
        <v>1.8528904288299406</v>
      </c>
      <c r="M42">
        <v>4.104630205096333</v>
      </c>
      <c r="N42">
        <v>8.5410281280310372</v>
      </c>
      <c r="O42">
        <v>17.437227722772274</v>
      </c>
    </row>
    <row r="43" spans="2:23" x14ac:dyDescent="0.55000000000000004">
      <c r="J43" s="2">
        <v>18</v>
      </c>
      <c r="K43" s="7" t="s">
        <v>5</v>
      </c>
      <c r="L43" s="4">
        <f>L23*0.9814</f>
        <v>1.9628000000000001</v>
      </c>
      <c r="M43" s="4">
        <f t="shared" ref="M43:O43" si="31">M23*0.9814</f>
        <v>3.7783208798353018</v>
      </c>
      <c r="N43" s="4">
        <f t="shared" si="31"/>
        <v>7.4278673767174359</v>
      </c>
      <c r="O43" s="4">
        <f t="shared" si="31"/>
        <v>16.263360500318001</v>
      </c>
    </row>
    <row r="44" spans="2:23" x14ac:dyDescent="0.55000000000000004">
      <c r="J44" s="2">
        <v>30</v>
      </c>
      <c r="K44" s="7" t="s">
        <v>5</v>
      </c>
      <c r="L44" s="7" t="s">
        <v>5</v>
      </c>
      <c r="M44" s="4">
        <f>M24*0.9273</f>
        <v>3.7092000000000001</v>
      </c>
      <c r="N44" s="4">
        <f t="shared" ref="N44:O44" si="32">N24*0.9273</f>
        <v>6.6721462545981494</v>
      </c>
      <c r="O44" s="4">
        <f t="shared" si="32"/>
        <v>14.174048122348299</v>
      </c>
    </row>
    <row r="45" spans="2:23" x14ac:dyDescent="0.55000000000000004">
      <c r="J45" s="2">
        <v>41</v>
      </c>
      <c r="K45" s="7" t="s">
        <v>5</v>
      </c>
      <c r="L45" s="7" t="s">
        <v>5</v>
      </c>
      <c r="M45" s="4">
        <f>M25*0.9289</f>
        <v>3.7155999999999998</v>
      </c>
      <c r="N45" s="4">
        <f t="shared" ref="N45:O45" si="33">N25*0.9289</f>
        <v>7.0139532383095755</v>
      </c>
      <c r="O45" s="4">
        <f t="shared" si="33"/>
        <v>13.584833114232337</v>
      </c>
    </row>
    <row r="46" spans="2:23" x14ac:dyDescent="0.55000000000000004">
      <c r="J46" s="2">
        <v>49</v>
      </c>
      <c r="K46" s="7" t="s">
        <v>5</v>
      </c>
      <c r="L46" s="7" t="s">
        <v>5</v>
      </c>
      <c r="M46" s="4">
        <f>M26*0.9781</f>
        <v>3.9123999999999999</v>
      </c>
      <c r="N46" s="4">
        <f t="shared" ref="N46:O46" si="34">N26*0.9781</f>
        <v>8.0669654893344305</v>
      </c>
      <c r="O46" s="4">
        <f t="shared" si="34"/>
        <v>14.481956453282931</v>
      </c>
    </row>
    <row r="49" spans="10:15" ht="17.100000000000001" thickBot="1" x14ac:dyDescent="0.7">
      <c r="J49" s="2" t="s">
        <v>75</v>
      </c>
      <c r="K49" s="1" t="s">
        <v>3</v>
      </c>
    </row>
    <row r="50" spans="10:15" ht="14.7" thickTop="1" x14ac:dyDescent="0.55000000000000004"/>
    <row r="51" spans="10:15" x14ac:dyDescent="0.55000000000000004">
      <c r="J51" s="2" t="s">
        <v>4</v>
      </c>
      <c r="K51" s="2">
        <v>1</v>
      </c>
      <c r="L51" s="2">
        <v>2</v>
      </c>
      <c r="M51" s="2">
        <v>4</v>
      </c>
      <c r="N51" s="2">
        <v>8</v>
      </c>
      <c r="O51" s="2">
        <v>16</v>
      </c>
    </row>
    <row r="52" spans="10:15" x14ac:dyDescent="0.55000000000000004">
      <c r="J52" s="2">
        <v>4</v>
      </c>
      <c r="K52" s="4">
        <v>1</v>
      </c>
      <c r="L52">
        <f>L42/L51</f>
        <v>0.9264452144149703</v>
      </c>
      <c r="M52">
        <f t="shared" ref="M52:O52" si="35">M42/M51</f>
        <v>1.0261575512740833</v>
      </c>
      <c r="N52">
        <f t="shared" si="35"/>
        <v>1.0676285160038796</v>
      </c>
      <c r="O52">
        <f t="shared" si="35"/>
        <v>1.0898267326732671</v>
      </c>
    </row>
    <row r="53" spans="10:15" x14ac:dyDescent="0.55000000000000004">
      <c r="J53" s="2">
        <v>18</v>
      </c>
      <c r="K53" s="7" t="s">
        <v>5</v>
      </c>
      <c r="L53" s="24">
        <f>L43/L51</f>
        <v>0.98140000000000005</v>
      </c>
      <c r="M53">
        <f t="shared" ref="M53:O53" si="36">M43/M51</f>
        <v>0.94458021995882546</v>
      </c>
      <c r="N53">
        <f t="shared" si="36"/>
        <v>0.92848342208967949</v>
      </c>
      <c r="O53">
        <f t="shared" si="36"/>
        <v>1.0164600312698751</v>
      </c>
    </row>
    <row r="54" spans="10:15" x14ac:dyDescent="0.55000000000000004">
      <c r="J54" s="2">
        <v>30</v>
      </c>
      <c r="K54" s="7" t="s">
        <v>5</v>
      </c>
      <c r="L54" s="7" t="s">
        <v>5</v>
      </c>
      <c r="M54" s="4">
        <f>M44/M51</f>
        <v>0.92730000000000001</v>
      </c>
      <c r="N54">
        <f t="shared" ref="N54:O54" si="37">N44/N51</f>
        <v>0.83401828182476867</v>
      </c>
      <c r="O54">
        <f t="shared" si="37"/>
        <v>0.88587800764676872</v>
      </c>
    </row>
    <row r="55" spans="10:15" x14ac:dyDescent="0.55000000000000004">
      <c r="J55" s="2">
        <v>41</v>
      </c>
      <c r="K55" s="7" t="s">
        <v>5</v>
      </c>
      <c r="L55" s="7" t="s">
        <v>5</v>
      </c>
      <c r="M55" s="4">
        <f>M45/M51</f>
        <v>0.92889999999999995</v>
      </c>
      <c r="N55">
        <f t="shared" ref="N55:O55" si="38">N45/N51</f>
        <v>0.87674415478869694</v>
      </c>
      <c r="O55">
        <f t="shared" si="38"/>
        <v>0.84905206963952107</v>
      </c>
    </row>
    <row r="56" spans="10:15" x14ac:dyDescent="0.55000000000000004">
      <c r="J56" s="2">
        <v>49</v>
      </c>
      <c r="K56" s="7" t="s">
        <v>5</v>
      </c>
      <c r="L56" s="7" t="s">
        <v>5</v>
      </c>
      <c r="M56" s="4">
        <f>M46/M51</f>
        <v>0.97809999999999997</v>
      </c>
      <c r="N56">
        <f t="shared" ref="N56:O56" si="39">N46/N51</f>
        <v>1.0083706861668038</v>
      </c>
      <c r="O56">
        <f t="shared" si="39"/>
        <v>0.90512227833018322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Speedup Gain</vt:lpstr>
      <vt:lpstr>Scalability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Muhammad Haseeb</cp:lastModifiedBy>
  <dcterms:created xsi:type="dcterms:W3CDTF">2019-03-07T22:15:29Z</dcterms:created>
  <dcterms:modified xsi:type="dcterms:W3CDTF">2019-03-09T05:45:22Z</dcterms:modified>
</cp:coreProperties>
</file>